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<sst xmlns="http://schemas.openxmlformats.org/spreadsheetml/2006/main" count="1943" uniqueCount="599">
  <si>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</si>
  <si>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</si>
  <si>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</si>
  <si>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</si>
  <si>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</si>
  <si>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</si>
  <si>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</si>
  <si>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</si>
  <si>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</si>
  <si>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</si>
  <si>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</si>
  <si>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</si>
  <si>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</si>
  <si>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</si>
  <si>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</si>
  <si>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</si>
  <si>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</si>
  <si>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</si>
  <si>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</si>
  <si>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</si>
  <si>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</si>
  <si>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</si>
  <si>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</si>
  <si>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</si>
  <si>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</si>
  <si>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</si>
  <si>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</si>
  <si>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</si>
  <si>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</si>
  <si>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</si>
  <si>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</si>
  <si>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</si>
  <si>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</si>
  <si>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</si>
  <si>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</si>
  <si>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</si>
  <si>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</si>
  <si>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</si>
  <si>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</si>
  <si>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</si>
  <si>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</si>
  <si>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</si>
  <si>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</si>
  <si>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</si>
  <si>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</si>
  <si>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</si>
  <si>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</si>
  <si>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</si>
  <si>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</si>
  <si>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</si>
  <si>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</si>
  <si>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</si>
  <si>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</si>
  <si>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</si>
  <si>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</si>
  <si>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</si>
  <si>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</si>
  <si>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</si>
  <si>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</si>
  <si>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</si>
  <si>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</si>
  <si>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</si>
  <si>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</si>
  <si>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</si>
  <si>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</si>
  <si>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</si>
  <si>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</si>
  <si>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</si>
  <si>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</si>
  <si>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</si>
  <si>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</si>
  <si>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</si>
  <si>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</si>
  <si>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</si>
  <si>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</si>
  <si>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</si>
  <si>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</si>
  <si>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</si>
  <si>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</si>
  <si>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</si>
  <si>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</si>
  <si>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</si>
  <si>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</si>
  <si>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</si>
  <si>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</si>
  <si>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</si>
  <si>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</si>
  <si>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</si>
  <si>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</si>
  <si>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</si>
  <si>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</si>
  <si>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</si>
  <si>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</si>
  <si>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</si>
  <si>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</si>
  <si>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</si>
  <si>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</si>
  <si>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</si>
  <si>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</si>
  <si>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</si>
  <si>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</si>
  <si>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</si>
  <si>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</si>
  <si>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</si>
  <si>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</si>
  <si>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</si>
  <si>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</si>
  <si>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</si>
  <si>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</si>
  <si>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</si>
  <si>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</si>
  <si>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</si>
  <si>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</si>
  <si>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</si>
  <si>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</si>
  <si>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</si>
  <si>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</si>
  <si>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</si>
  <si>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</si>
  <si>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</si>
  <si>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</si>
  <si>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</si>
  <si>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</si>
  <si>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</si>
  <si>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</si>
  <si>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</si>
  <si>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</si>
  <si>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</si>
  <si>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</si>
  <si>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</si>
  <si>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</si>
  <si>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</si>
  <si>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</si>
  <si>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</si>
  <si>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</si>
  <si>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</si>
  <si>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</si>
  <si>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</si>
  <si>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</si>
  <si>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</si>
  <si>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</si>
  <si>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</si>
  <si>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</si>
  <si>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</si>
  <si>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</si>
  <si>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</si>
  <si>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</si>
  <si>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</si>
  <si>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</si>
  <si>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</si>
  <si>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</si>
  <si>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</si>
  <si>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</si>
  <si>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</si>
  <si>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</si>
  <si>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</si>
  <si>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</si>
  <si>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</si>
  <si>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</si>
  <si>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</si>
  <si>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</si>
  <si>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</si>
  <si>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</si>
  <si>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</si>
  <si>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</si>
  <si>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</si>
  <si>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</si>
  <si>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</si>
  <si>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</si>
  <si>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</si>
  <si>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</si>
  <si>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</si>
  <si>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</si>
  <si>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</si>
  <si>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</si>
  <si>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</si>
  <si>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</si>
  <si>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</si>
  <si>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</si>
  <si>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</si>
  <si>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</si>
  <si>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</si>
  <si>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</si>
  <si>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</si>
  <si>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</si>
  <si>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</si>
  <si>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</si>
  <si>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</si>
  <si>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</si>
  <si>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</si>
  <si>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</si>
  <si>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</si>
  <si>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</si>
  <si>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</si>
  <si>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</si>
  <si>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</si>
  <si>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</si>
  <si>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</si>
  <si>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</si>
  <si>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</si>
  <si>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</si>
  <si>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</si>
  <si>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</si>
  <si>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</si>
  <si>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</si>
  <si>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</si>
  <si>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</si>
  <si>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</si>
  <si>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</si>
  <si>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</si>
  <si>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</si>
  <si>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</si>
  <si>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</si>
  <si>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</si>
  <si>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</si>
  <si>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</si>
  <si>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</si>
  <si>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</si>
  <si>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</si>
  <si>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</si>
  <si>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</si>
  <si>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</si>
  <si>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</si>
  <si>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</si>
  <si>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</si>
  <si>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</si>
  <si>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</si>
  <si>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</si>
  <si>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</si>
  <si>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</si>
  <si>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</si>
  <si>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</si>
  <si>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</si>
  <si>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</si>
  <si>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</si>
  <si>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</si>
  <si>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</si>
  <si>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</si>
  <si>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</si>
  <si>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</si>
  <si>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</si>
  <si>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</si>
  <si>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</si>
  <si>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</si>
  <si>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</si>
  <si>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</si>
  <si>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</si>
  <si>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</si>
  <si>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</si>
  <si>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</si>
  <si>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</si>
  <si>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</si>
  <si>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</si>
  <si>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</si>
  <si>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</si>
  <si>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</si>
  <si>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</si>
  <si>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</si>
  <si>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</si>
  <si>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</si>
  <si>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</si>
  <si>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</si>
  <si>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</si>
  <si>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</si>
  <si>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</si>
  <si>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</si>
  <si>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</si>
  <si>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</si>
  <si>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</si>
  <si>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</si>
  <si>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</si>
  <si>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</si>
  <si>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</si>
  <si>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</si>
  <si>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</si>
  <si>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</si>
  <si>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</si>
  <si>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</si>
  <si>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</si>
  <si>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</si>
  <si>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</si>
  <si>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</si>
  <si>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F85002</t>
  </si>
  <si>
    <t>F85003</t>
  </si>
  <si>
    <t>F85004</t>
  </si>
  <si>
    <t>F85009</t>
  </si>
  <si>
    <t>F85010</t>
  </si>
  <si>
    <t>F85011</t>
  </si>
  <si>
    <t>F85015</t>
  </si>
  <si>
    <t>F85016</t>
  </si>
  <si>
    <t>F85020</t>
  </si>
  <si>
    <t>F85023</t>
  </si>
  <si>
    <t>F85024</t>
  </si>
  <si>
    <t>F85025</t>
  </si>
  <si>
    <t>F85027</t>
  </si>
  <si>
    <t>F85029</t>
  </si>
  <si>
    <t>F85032</t>
  </si>
  <si>
    <t>F85033</t>
  </si>
  <si>
    <t>F85035</t>
  </si>
  <si>
    <t>F85036</t>
  </si>
  <si>
    <t>F85037</t>
  </si>
  <si>
    <t>F85039</t>
  </si>
  <si>
    <t>F85043</t>
  </si>
  <si>
    <t>F85044</t>
  </si>
  <si>
    <t>F85048</t>
  </si>
  <si>
    <t>F85053</t>
  </si>
  <si>
    <t>F85055</t>
  </si>
  <si>
    <t>F85058</t>
  </si>
  <si>
    <t>F85072</t>
  </si>
  <si>
    <t>F85076</t>
  </si>
  <si>
    <t>F85077</t>
  </si>
  <si>
    <t>F85625</t>
  </si>
  <si>
    <t>F85634</t>
  </si>
  <si>
    <t>F85638</t>
  </si>
  <si>
    <t>F85642</t>
  </si>
  <si>
    <t>F85644</t>
  </si>
  <si>
    <t>F85650</t>
  </si>
  <si>
    <t>F85652</t>
  </si>
  <si>
    <t>F85654</t>
  </si>
  <si>
    <t>F85656</t>
  </si>
  <si>
    <t>F85663</t>
  </si>
  <si>
    <t>F85666</t>
  </si>
  <si>
    <t>F85671</t>
  </si>
  <si>
    <t>F85672</t>
  </si>
  <si>
    <t>F85676</t>
  </si>
  <si>
    <t>F85678</t>
  </si>
  <si>
    <t>F85681</t>
  </si>
  <si>
    <t>F85682</t>
  </si>
  <si>
    <t>F85684</t>
  </si>
  <si>
    <t>F85686</t>
  </si>
  <si>
    <t>F85687</t>
  </si>
  <si>
    <t>F85690</t>
  </si>
  <si>
    <t>F85693</t>
  </si>
  <si>
    <t>F85700</t>
  </si>
  <si>
    <t>F85701</t>
  </si>
  <si>
    <t>F85703</t>
  </si>
  <si>
    <t>F85706</t>
  </si>
  <si>
    <t>F85707</t>
  </si>
  <si>
    <t>5CC</t>
  </si>
  <si>
    <t>Y00057</t>
  </si>
  <si>
    <t>Y00612</t>
  </si>
  <si>
    <t>Y01654</t>
  </si>
  <si>
    <t>Y01773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</si>
  <si>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</si>
  <si>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</si>
  <si>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</si>
  <si>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</si>
  <si>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</si>
  <si>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</si>
  <si>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</si>
  <si>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</si>
  <si>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</si>
  <si>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</si>
  <si>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</si>
  <si>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</si>
  <si>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</si>
  <si>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</si>
  <si>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</si>
  <si>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</si>
  <si>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</si>
  <si>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</si>
  <si>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</si>
  <si>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</si>
  <si>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</si>
  <si>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</si>
  <si>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</si>
  <si>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</si>
  <si>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</si>
  <si>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</si>
  <si>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</si>
  <si>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</si>
  <si>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</si>
  <si>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</si>
  <si>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</si>
  <si>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</si>
  <si>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</si>
  <si>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</si>
  <si>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</si>
  <si>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</si>
  <si>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</si>
  <si>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</si>
  <si>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</si>
  <si>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</si>
  <si>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</si>
  <si>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</si>
  <si>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</si>
  <si>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</si>
  <si>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</si>
  <si>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</si>
  <si>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</si>
  <si>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</si>
  <si>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</si>
  <si>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</si>
  <si>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</si>
  <si>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</si>
  <si>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</si>
  <si>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</si>
  <si>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</si>
  <si>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</si>
  <si>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</si>
  <si>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</si>
  <si>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</si>
  <si>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</si>
  <si>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</si>
  <si>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</si>
  <si>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</si>
  <si>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</si>
  <si>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</si>
  <si>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</si>
  <si>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</si>
  <si>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</si>
  <si>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</si>
  <si>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</si>
  <si>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</si>
  <si>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</si>
  <si>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</si>
  <si>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</si>
  <si>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</si>
  <si>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</si>
  <si>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</si>
  <si>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</si>
  <si>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</si>
  <si>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</si>
  <si>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</si>
  <si>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</si>
  <si>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</si>
  <si>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</si>
  <si>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</si>
  <si>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</si>
  <si>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</si>
  <si>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</si>
  <si>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</si>
  <si>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</si>
  <si>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</si>
  <si>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</si>
  <si>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</si>
  <si>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</si>
  <si>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</si>
  <si>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</si>
  <si>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</si>
  <si>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</si>
  <si>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</si>
  <si>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</si>
  <si>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</si>
  <si>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</si>
  <si>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</si>
  <si>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</si>
  <si>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</si>
  <si>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</si>
  <si>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</si>
  <si>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</si>
  <si>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</si>
  <si>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</si>
  <si>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</si>
  <si>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</si>
  <si>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</si>
  <si>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</si>
  <si>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</si>
  <si>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</si>
  <si>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</si>
  <si>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</si>
  <si>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</si>
  <si>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</si>
  <si>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</si>
  <si>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</si>
  <si>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</si>
  <si>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</si>
  <si>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</si>
  <si>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</si>
  <si>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</si>
  <si>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</si>
  <si>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</si>
  <si>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</si>
  <si>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</si>
  <si>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</si>
  <si>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</si>
  <si>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</si>
  <si>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</si>
  <si>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</si>
  <si>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</si>
  <si>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</si>
  <si>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</si>
  <si>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</si>
  <si>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</si>
  <si>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</si>
  <si>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</si>
  <si>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</si>
  <si>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</si>
  <si>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</si>
  <si>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</si>
  <si>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</si>
  <si>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</si>
  <si>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</si>
  <si>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</si>
  <si>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</si>
  <si>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</si>
  <si>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</si>
  <si>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</si>
  <si>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</si>
  <si>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</si>
  <si>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</si>
  <si>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</si>
  <si>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</si>
  <si>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</si>
  <si>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</si>
  <si>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</si>
  <si>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</si>
  <si>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</si>
  <si>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</si>
  <si>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</si>
  <si>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</si>
  <si>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</si>
  <si>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</si>
  <si>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</si>
  <si>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</si>
  <si>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</si>
  <si>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</si>
  <si>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</si>
  <si>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</si>
  <si>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</si>
  <si>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</si>
  <si>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</si>
  <si>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</si>
  <si>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</si>
  <si>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</si>
  <si>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</si>
  <si>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</si>
  <si>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(F85002) FOREST RD GROUP PRACTICE</t>
  </si>
  <si>
    <t>(F85003) RILEY HOUSE SURGERY</t>
  </si>
  <si>
    <t>(F85004) EAGLE HOUSE SURGERY</t>
  </si>
  <si>
    <t>(F85010) KEATS SURGERY</t>
  </si>
  <si>
    <t>(F85011) BOWES MEDICAL CENTRE</t>
  </si>
  <si>
    <t>(F85015) DOVER HOUSE SURGERY</t>
  </si>
  <si>
    <t>(F85016) COCKFOSTERS MEDICAL CENTRE</t>
  </si>
  <si>
    <t>(F85020) THE WOODBERRY PRACTICE</t>
  </si>
  <si>
    <t>(F85023) DMC ENFIELD LOCK</t>
  </si>
  <si>
    <t>(F85024) DEAN HOUSE SURGERY</t>
  </si>
  <si>
    <t>(F85025) WHITE LODGE MEDICAL PRACTICE</t>
  </si>
  <si>
    <t>(F85027) CARLTON HOUSE SURGERY</t>
  </si>
  <si>
    <t>(F85029) ABERNETHY HOUSE</t>
  </si>
  <si>
    <t>(F85032) SOUTHGATE</t>
  </si>
  <si>
    <t>(F85035) HIGHLANDS PRACTICE</t>
  </si>
  <si>
    <t>(F85036) WILLOW HOUSE SURGERY</t>
  </si>
  <si>
    <t>(F85037) JAINA HOUSE SURGERY</t>
  </si>
  <si>
    <t>(F85039) RAINBOW PRACTICE</t>
  </si>
  <si>
    <t>(F85043) BOUNDARY COURT SURGERY</t>
  </si>
  <si>
    <t>(F85044) THE BOUNCES ROAD SURGERY</t>
  </si>
  <si>
    <t>(F85048) MOORFIELD ROAD HEALTH CENTRE</t>
  </si>
  <si>
    <t>(F85053) PARK LODGE MEDICAL CENTRE</t>
  </si>
  <si>
    <t>(F85055) CONNAUGHT SURGERY</t>
  </si>
  <si>
    <t>(F85058) NIGHTINGALE HOUSE SURGERY</t>
  </si>
  <si>
    <t>(F85072) GROVELANDS MEDICAL CENTRE</t>
  </si>
  <si>
    <t>(F85076) FREEZYWATER PRIMARY CARE CENTRE</t>
  </si>
  <si>
    <t>(F85077) GRENOBLE GARDENS SURGERY</t>
  </si>
  <si>
    <t>(F85625) BINCOTE SURGERY</t>
  </si>
  <si>
    <t>(F85634) EAST ENFIELD PRACTICE</t>
  </si>
  <si>
    <t>(F85638) THE PALM MEDICAL CENTRE</t>
  </si>
  <si>
    <t>(F85642) THE NORTH LONDON HEALTH CENTRE</t>
  </si>
  <si>
    <t>(F85644) DR O'BRIEN</t>
  </si>
  <si>
    <t>(F85650) MORECAMBE SURGERY</t>
  </si>
  <si>
    <t>(F85652) SOUTHBURY SURGERY</t>
  </si>
  <si>
    <t>(F85654) BRICK LANE SURGERY</t>
  </si>
  <si>
    <t>(F85656) BUSH HILL PARK MEDICAL CENTRE</t>
  </si>
  <si>
    <t>(F85663) LATYMER ROAD SURGERY</t>
  </si>
  <si>
    <t>(F85666) DR ME SILVER'S PRACTICE</t>
  </si>
  <si>
    <t>(F85671) BICKLEIGH LODGE</t>
  </si>
  <si>
    <t>(F85672) CARTERHATCH LANE SURGERY</t>
  </si>
  <si>
    <t>(F85676) BOUNDARY HOUSE SURGERY</t>
  </si>
  <si>
    <t>(F85678) TOWN SURGERY</t>
  </si>
  <si>
    <t>(F85681) GREEN STREET SURGERY</t>
  </si>
  <si>
    <t>(F85682) CHALFONT ROAD SURGERY</t>
  </si>
  <si>
    <t>(F85684) CURZON AVENUE SURGERY</t>
  </si>
  <si>
    <t>(F85686) TRINITY AVENUE SURGERY</t>
  </si>
  <si>
    <t>(F85687) OAKWOOD MEDICAL CENTRE</t>
  </si>
  <si>
    <t>(F85690) DR S NATKUNARAJAH'S PRACTICE</t>
  </si>
  <si>
    <t>(F85693) DR PG PATEL'S PRACTICE</t>
  </si>
  <si>
    <t>(F85700) ARNOS GROVE MEDICAL CENTRE</t>
  </si>
  <si>
    <t>(F85701) GILLAN HOUSE SURGERY</t>
  </si>
  <si>
    <t>(F85703) LINCOLN ROAD MEDICAL PRACTICE</t>
  </si>
  <si>
    <t>(F85706) THE GREEN PRACTICE</t>
  </si>
  <si>
    <t>(F85707) ENFIELD ISLAND SURGERY</t>
  </si>
  <si>
    <t>(Y00057) ANGEL SURGERY</t>
  </si>
  <si>
    <t>(Y00612) GREEN CEDARS MEDICAL CENTRE</t>
  </si>
  <si>
    <t>(Y01654) DR RATNARAJAH</t>
  </si>
  <si>
    <t>(Y01773) DMC EDMONTON GREEN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</si>
  <si>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</si>
  <si>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</si>
  <si>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</si>
  <si>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</si>
  <si>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</si>
  <si>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</si>
  <si>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</si>
  <si>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</si>
  <si>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</si>
  <si>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</si>
  <si>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(F85009) GREEN LANES SURGERY - DR NOLAN + PARTNERS</t>
  </si>
  <si>
    <t>(F85033) GREEN LANES SURGERY - DR STERN + PRTNS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</si>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</sst>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0.8309287236065845</c:v>
                </c:pt>
                <c:pt idx="3">
                  <c:v>0.7499999720603242</c:v>
                </c:pt>
                <c:pt idx="4">
                  <c:v>1</c:v>
                </c:pt>
                <c:pt idx="5">
                  <c:v>1</c:v>
                </c:pt>
                <c:pt idx="6">
                  <c:v>1</c:v>
                </c:pt>
                <c:pt idx="7">
                  <c:v>1</c:v>
                </c:pt>
                <c:pt idx="8">
                  <c:v>1</c:v>
                </c:pt>
                <c:pt idx="9">
                  <c:v>0.6630329744640415</c:v>
                </c:pt>
                <c:pt idx="10">
                  <c:v>0.8104758583870326</c:v>
                </c:pt>
                <c:pt idx="11">
                  <c:v>0.7600159839805445</c:v>
                </c:pt>
                <c:pt idx="12">
                  <c:v>1</c:v>
                </c:pt>
                <c:pt idx="13">
                  <c:v>0</c:v>
                </c:pt>
                <c:pt idx="14">
                  <c:v>1</c:v>
                </c:pt>
                <c:pt idx="15">
                  <c:v>0.839916683888499</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0.5842656103681582</c:v>
                </c:pt>
                <c:pt idx="3">
                  <c:v>0.5999999739229692</c:v>
                </c:pt>
                <c:pt idx="4">
                  <c:v>0.6017475327678921</c:v>
                </c:pt>
                <c:pt idx="5">
                  <c:v>0.6098219293763864</c:v>
                </c:pt>
                <c:pt idx="6">
                  <c:v>0.6428571618637254</c:v>
                </c:pt>
                <c:pt idx="7">
                  <c:v>0.673267628476041</c:v>
                </c:pt>
                <c:pt idx="8">
                  <c:v>0.6911611630988691</c:v>
                </c:pt>
                <c:pt idx="9">
                  <c:v>0.5536353280711005</c:v>
                </c:pt>
                <c:pt idx="10">
                  <c:v>0.6321307529726026</c:v>
                </c:pt>
                <c:pt idx="11">
                  <c:v>0.6001515365162291</c:v>
                </c:pt>
                <c:pt idx="12">
                  <c:v>0.5771043302824517</c:v>
                </c:pt>
                <c:pt idx="13">
                  <c:v>0</c:v>
                </c:pt>
                <c:pt idx="14">
                  <c:v>0.5674164748616226</c:v>
                </c:pt>
                <c:pt idx="15">
                  <c:v>0.5703636181960021</c:v>
                </c:pt>
                <c:pt idx="16">
                  <c:v>0.5967264653766434</c:v>
                </c:pt>
                <c:pt idx="17">
                  <c:v>0.6125104141603314</c:v>
                </c:pt>
                <c:pt idx="18">
                  <c:v>0.5560305536721338</c:v>
                </c:pt>
                <c:pt idx="19">
                  <c:v>0.5756985488152908</c:v>
                </c:pt>
                <c:pt idx="20">
                  <c:v>0.6569555234871475</c:v>
                </c:pt>
                <c:pt idx="21">
                  <c:v>0.6620449471644565</c:v>
                </c:pt>
                <c:pt idx="22">
                  <c:v>0.610307321577152</c:v>
                </c:pt>
                <c:pt idx="23">
                  <c:v>0.6123291903273513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0.34135056020550136</c:v>
                </c:pt>
                <c:pt idx="3">
                  <c:v>0.17499999161809726</c:v>
                </c:pt>
                <c:pt idx="4">
                  <c:v>0.3708225840427792</c:v>
                </c:pt>
                <c:pt idx="5">
                  <c:v>0.38102481292929896</c:v>
                </c:pt>
                <c:pt idx="6">
                  <c:v>0.35714287139779405</c:v>
                </c:pt>
                <c:pt idx="7">
                  <c:v>0.3872681376454686</c:v>
                </c:pt>
                <c:pt idx="8">
                  <c:v>0.3248990015832397</c:v>
                </c:pt>
                <c:pt idx="9">
                  <c:v>0.4096175442714002</c:v>
                </c:pt>
                <c:pt idx="10">
                  <c:v>0.37796199001810327</c:v>
                </c:pt>
                <c:pt idx="11">
                  <c:v>0.37562012029234004</c:v>
                </c:pt>
                <c:pt idx="12">
                  <c:v>0.42724615664451604</c:v>
                </c:pt>
                <c:pt idx="13">
                  <c:v>0</c:v>
                </c:pt>
                <c:pt idx="14">
                  <c:v>0.3959388232612535</c:v>
                </c:pt>
                <c:pt idx="15">
                  <c:v>0.328457036624447</c:v>
                </c:pt>
                <c:pt idx="16">
                  <c:v>0.41609739011613445</c:v>
                </c:pt>
                <c:pt idx="17">
                  <c:v>0.43160166607374223</c:v>
                </c:pt>
                <c:pt idx="18">
                  <c:v>0.4473141845300031</c:v>
                </c:pt>
                <c:pt idx="19">
                  <c:v>0.46047630990146576</c:v>
                </c:pt>
                <c:pt idx="20">
                  <c:v>0.3220053902847954</c:v>
                </c:pt>
                <c:pt idx="21">
                  <c:v>0.38808570241136087</c:v>
                </c:pt>
                <c:pt idx="22">
                  <c:v>0.41855798645523956</c:v>
                </c:pt>
                <c:pt idx="23">
                  <c:v>0.440478789740197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0.10956641320816414</c:v>
                </c:pt>
                <c:pt idx="5">
                  <c:v>0.18659954664806747</c:v>
                </c:pt>
                <c:pt idx="6">
                  <c:v>0.07142858093186272</c:v>
                </c:pt>
                <c:pt idx="7">
                  <c:v>0.0743678654822865</c:v>
                </c:pt>
                <c:pt idx="8">
                  <c:v>0.06486122652288458</c:v>
                </c:pt>
                <c:pt idx="9">
                  <c:v>0</c:v>
                </c:pt>
                <c:pt idx="10">
                  <c:v>0</c:v>
                </c:pt>
                <c:pt idx="11">
                  <c:v>0</c:v>
                </c:pt>
                <c:pt idx="12">
                  <c:v>0.324442583736942</c:v>
                </c:pt>
                <c:pt idx="13">
                  <c:v>0</c:v>
                </c:pt>
                <c:pt idx="14">
                  <c:v>0.29671492922188936</c:v>
                </c:pt>
                <c:pt idx="15">
                  <c:v>0</c:v>
                </c:pt>
                <c:pt idx="16">
                  <c:v>0.28410400292112736</c:v>
                </c:pt>
                <c:pt idx="17">
                  <c:v>0.34556604792121004</c:v>
                </c:pt>
                <c:pt idx="18">
                  <c:v>0.40993229526644936</c:v>
                </c:pt>
                <c:pt idx="19">
                  <c:v>0.4315270095824267</c:v>
                </c:pt>
                <c:pt idx="20">
                  <c:v>0.039603299407665195</c:v>
                </c:pt>
                <c:pt idx="21">
                  <c:v>0.2401095306838968</c:v>
                </c:pt>
                <c:pt idx="22">
                  <c:v>0.22472911424157455</c:v>
                </c:pt>
                <c:pt idx="23">
                  <c:v>0.33487681228068694</c:v>
                </c:pt>
                <c:pt idx="24">
                  <c:v>0</c:v>
                </c:pt>
                <c:pt idx="25">
                  <c:v>0</c:v>
                </c:pt>
                <c:pt idx="26">
                  <c:v>0</c:v>
                </c:pt>
              </c:numCache>
            </c:numRef>
          </c:val>
        </c:ser>
        <c:overlap val="100"/>
        <c:gapWidth val="100"/>
        <c:axId val="19225783"/>
        <c:axId val="388143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0.634184193294806</c:v>
                </c:pt>
                <c:pt idx="3">
                  <c:v>0.12527324705505957</c:v>
                </c:pt>
                <c:pt idx="4">
                  <c:v>0.6193431905719907</c:v>
                </c:pt>
                <c:pt idx="5">
                  <c:v>0.644101039630294</c:v>
                </c:pt>
                <c:pt idx="6">
                  <c:v>0.6407402184493617</c:v>
                </c:pt>
                <c:pt idx="7">
                  <c:v>0.7960551499122833</c:v>
                </c:pt>
                <c:pt idx="8">
                  <c:v>0.830673198549883</c:v>
                </c:pt>
                <c:pt idx="9">
                  <c:v>0.46291030498668945</c:v>
                </c:pt>
                <c:pt idx="10">
                  <c:v>0.6137905577399515</c:v>
                </c:pt>
                <c:pt idx="11">
                  <c:v>0.6845166383611824</c:v>
                </c:pt>
                <c:pt idx="12">
                  <c:v>0.6045890378535514</c:v>
                </c:pt>
                <c:pt idx="13">
                  <c:v>0.5</c:v>
                </c:pt>
                <c:pt idx="14">
                  <c:v>0.46574156966629554</c:v>
                </c:pt>
                <c:pt idx="15">
                  <c:v>0.49911216694198846</c:v>
                </c:pt>
                <c:pt idx="16">
                  <c:v>0.7323508479789118</c:v>
                </c:pt>
                <c:pt idx="17">
                  <c:v>0.6053437112368336</c:v>
                </c:pt>
                <c:pt idx="18">
                  <c:v>0.5582007563738313</c:v>
                </c:pt>
                <c:pt idx="19">
                  <c:v>0.5766451782100014</c:v>
                </c:pt>
                <c:pt idx="20">
                  <c:v>0.43168354081762816</c:v>
                </c:pt>
                <c:pt idx="21">
                  <c:v>0.7321687957913215</c:v>
                </c:pt>
                <c:pt idx="22">
                  <c:v>0.6135853890989024</c:v>
                </c:pt>
                <c:pt idx="23">
                  <c:v>0.5779216081060855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0.5679786512250667</c:v>
                </c:pt>
                <c:pt idx="5">
                  <c:v>0.6055388163104749</c:v>
                </c:pt>
                <c:pt idx="6">
                  <c:v>-999</c:v>
                </c:pt>
                <c:pt idx="7">
                  <c:v>-999</c:v>
                </c:pt>
                <c:pt idx="8">
                  <c:v>0.6369459526664841</c:v>
                </c:pt>
                <c:pt idx="9">
                  <c:v>-999</c:v>
                </c:pt>
                <c:pt idx="10">
                  <c:v>-999</c:v>
                </c:pt>
                <c:pt idx="11">
                  <c:v>-999</c:v>
                </c:pt>
                <c:pt idx="12">
                  <c:v>-999</c:v>
                </c:pt>
                <c:pt idx="13">
                  <c:v>-999</c:v>
                </c:pt>
                <c:pt idx="14">
                  <c:v>-999</c:v>
                </c:pt>
                <c:pt idx="15">
                  <c:v>0.6587846601897756</c:v>
                </c:pt>
                <c:pt idx="16">
                  <c:v>0.58031534418206</c:v>
                </c:pt>
                <c:pt idx="17">
                  <c:v>-999</c:v>
                </c:pt>
                <c:pt idx="18">
                  <c:v>-999</c:v>
                </c:pt>
                <c:pt idx="19">
                  <c:v>-999</c:v>
                </c:pt>
                <c:pt idx="20">
                  <c:v>-999</c:v>
                </c:pt>
                <c:pt idx="21">
                  <c:v>-999</c:v>
                </c:pt>
                <c:pt idx="22">
                  <c:v>-999</c:v>
                </c:pt>
                <c:pt idx="23">
                  <c:v>0.5490385144858348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0.7866879757413596</c:v>
                </c:pt>
                <c:pt idx="3">
                  <c:v>0.0749999923631553</c:v>
                </c:pt>
                <c:pt idx="4">
                  <c:v>-999</c:v>
                </c:pt>
                <c:pt idx="5">
                  <c:v>-999</c:v>
                </c:pt>
                <c:pt idx="6">
                  <c:v>0.8214285577818452</c:v>
                </c:pt>
                <c:pt idx="7">
                  <c:v>0.8531428212754693</c:v>
                </c:pt>
                <c:pt idx="8">
                  <c:v>-999</c:v>
                </c:pt>
                <c:pt idx="9">
                  <c:v>0.5549183533407788</c:v>
                </c:pt>
                <c:pt idx="10">
                  <c:v>0.7720640716801058</c:v>
                </c:pt>
                <c:pt idx="11">
                  <c:v>0.7159673316627155</c:v>
                </c:pt>
                <c:pt idx="12">
                  <c:v>1.0000000221426233</c:v>
                </c:pt>
                <c:pt idx="13">
                  <c:v>1.000000010023919</c:v>
                </c:pt>
                <c:pt idx="14">
                  <c:v>0.39509807204153874</c:v>
                </c:pt>
                <c:pt idx="15">
                  <c:v>-999</c:v>
                </c:pt>
                <c:pt idx="16">
                  <c:v>-999</c:v>
                </c:pt>
                <c:pt idx="17">
                  <c:v>0.893597151562436</c:v>
                </c:pt>
                <c:pt idx="18">
                  <c:v>0.6529424389111507</c:v>
                </c:pt>
                <c:pt idx="19">
                  <c:v>0.9999999914452594</c:v>
                </c:pt>
                <c:pt idx="20">
                  <c:v>0.7719692045325292</c:v>
                </c:pt>
                <c:pt idx="21">
                  <c:v>0.8836904212590042</c:v>
                </c:pt>
                <c:pt idx="22">
                  <c:v>0.7418078626760954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784561"/>
        <c:axId val="56952186"/>
      </c:scatterChart>
      <c:catAx>
        <c:axId val="19225783"/>
        <c:scaling>
          <c:orientation val="maxMin"/>
        </c:scaling>
        <c:axPos val="l"/>
        <c:delete val="0"/>
        <c:numFmt formatCode="General" sourceLinked="1"/>
        <c:majorTickMark val="out"/>
        <c:minorTickMark val="none"/>
        <c:tickLblPos val="none"/>
        <c:spPr>
          <a:ln w="3175">
            <a:noFill/>
          </a:ln>
        </c:spPr>
        <c:crossAx val="38814320"/>
        <c:crosses val="autoZero"/>
        <c:auto val="1"/>
        <c:lblOffset val="100"/>
        <c:tickLblSkip val="1"/>
        <c:noMultiLvlLbl val="0"/>
      </c:catAx>
      <c:valAx>
        <c:axId val="38814320"/>
        <c:scaling>
          <c:orientation val="minMax"/>
          <c:max val="1"/>
          <c:min val="0"/>
        </c:scaling>
        <c:axPos val="t"/>
        <c:delete val="0"/>
        <c:numFmt formatCode="General" sourceLinked="1"/>
        <c:majorTickMark val="none"/>
        <c:minorTickMark val="none"/>
        <c:tickLblPos val="none"/>
        <c:spPr>
          <a:ln w="3175">
            <a:noFill/>
          </a:ln>
        </c:spPr>
        <c:crossAx val="19225783"/>
        <c:crossesAt val="1"/>
        <c:crossBetween val="between"/>
        <c:dispUnits/>
        <c:majorUnit val="1"/>
      </c:valAx>
      <c:valAx>
        <c:axId val="13784561"/>
        <c:scaling>
          <c:orientation val="minMax"/>
          <c:max val="1"/>
          <c:min val="0"/>
        </c:scaling>
        <c:axPos val="t"/>
        <c:delete val="0"/>
        <c:numFmt formatCode="General" sourceLinked="1"/>
        <c:majorTickMark val="none"/>
        <c:minorTickMark val="none"/>
        <c:tickLblPos val="none"/>
        <c:spPr>
          <a:ln w="3175">
            <a:noFill/>
          </a:ln>
        </c:spPr>
        <c:crossAx val="56952186"/>
        <c:crosses val="max"/>
        <c:crossBetween val="midCat"/>
        <c:dispUnits/>
        <c:majorUnit val="0.1"/>
        <c:minorUnit val="0.020000000000000004"/>
      </c:valAx>
      <c:valAx>
        <c:axId val="56952186"/>
        <c:scaling>
          <c:orientation val="maxMin"/>
          <c:max val="29"/>
          <c:min val="0"/>
        </c:scaling>
        <c:axPos val="l"/>
        <c:delete val="0"/>
        <c:numFmt formatCode="General" sourceLinked="1"/>
        <c:majorTickMark val="none"/>
        <c:minorTickMark val="none"/>
        <c:tickLblPos val="none"/>
        <c:spPr>
          <a:ln w="3175">
            <a:noFill/>
          </a:ln>
        </c:spPr>
        <c:crossAx val="137845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(F85029) ABERNETHY HOUSE, ENFIELD PCT (5C1)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496</v>
      </c>
      <c r="Q3" s="65"/>
      <c r="R3" s="66"/>
      <c r="S3" s="66"/>
      <c r="T3" s="66"/>
      <c r="U3" s="66"/>
      <c r="V3" s="66"/>
      <c r="W3" s="66"/>
      <c r="X3" s="66"/>
      <c r="Y3" s="66"/>
      <c r="Z3" s="66"/>
      <c r="AA3" s="66"/>
      <c r="AB3" s="66"/>
      <c r="AC3" s="66"/>
    </row>
    <row r="4" spans="2:29" ht="18" customHeight="1">
      <c r="B4" s="319" t="s">
        <v>588</v>
      </c>
      <c r="C4" s="320"/>
      <c r="D4" s="320"/>
      <c r="E4" s="320"/>
      <c r="F4" s="320"/>
      <c r="G4" s="321"/>
      <c r="H4" s="112"/>
      <c r="I4" s="112"/>
      <c r="J4" s="112"/>
      <c r="K4" s="112"/>
      <c r="L4" s="113"/>
      <c r="M4" s="65"/>
      <c r="N4" s="65"/>
      <c r="O4" s="65"/>
      <c r="P4" s="134" t="s">
        <v>497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587</v>
      </c>
      <c r="C8" s="115"/>
      <c r="D8" s="115"/>
      <c r="E8" s="128">
        <f>VLOOKUP('Hide - Control'!A$3,'All practice data'!A:CA,4,FALSE)</f>
        <v>11462</v>
      </c>
      <c r="F8" s="310" t="str">
        <f>VLOOKUP('Hide - Control'!B4,'Hide - Calculation'!AY:BA,3,FALSE)</f>
        <v> </v>
      </c>
      <c r="G8" s="310"/>
      <c r="H8" s="310"/>
      <c r="I8" s="115"/>
      <c r="J8" s="115"/>
      <c r="K8" s="115"/>
      <c r="L8" s="115"/>
      <c r="M8" s="109"/>
      <c r="N8" s="314" t="s">
        <v>506</v>
      </c>
      <c r="O8" s="314"/>
      <c r="P8" s="314"/>
      <c r="Q8" s="314" t="s">
        <v>32</v>
      </c>
      <c r="R8" s="314"/>
      <c r="S8" s="314"/>
      <c r="T8" s="314" t="s">
        <v>591</v>
      </c>
      <c r="U8" s="314"/>
      <c r="V8" s="314" t="s">
        <v>33</v>
      </c>
      <c r="W8" s="314"/>
      <c r="X8" s="314"/>
      <c r="Y8" s="135"/>
      <c r="Z8" s="314" t="s">
        <v>499</v>
      </c>
      <c r="AA8" s="314"/>
      <c r="AB8" s="161"/>
      <c r="AC8" s="109"/>
    </row>
    <row r="9" spans="2:29" s="61" customFormat="1" ht="19.5" customHeight="1" thickBot="1">
      <c r="B9" s="114" t="s">
        <v>491</v>
      </c>
      <c r="C9" s="114"/>
      <c r="D9" s="114"/>
      <c r="E9" s="129">
        <f>VLOOKUP('Hide - Control'!B4,'Hide - Calculation'!AY:BB,4,FALSE)</f>
        <v>291547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469</v>
      </c>
      <c r="E11" s="317"/>
      <c r="F11" s="318"/>
      <c r="G11" s="263" t="s">
        <v>467</v>
      </c>
      <c r="H11" s="255" t="s">
        <v>468</v>
      </c>
      <c r="I11" s="255" t="s">
        <v>479</v>
      </c>
      <c r="J11" s="255" t="s">
        <v>480</v>
      </c>
      <c r="K11" s="255" t="s">
        <v>352</v>
      </c>
      <c r="L11" s="256" t="s">
        <v>393</v>
      </c>
      <c r="M11" s="257" t="s">
        <v>489</v>
      </c>
      <c r="N11" s="334" t="s">
        <v>487</v>
      </c>
      <c r="O11" s="334"/>
      <c r="P11" s="334"/>
      <c r="Q11" s="334"/>
      <c r="R11" s="334"/>
      <c r="S11" s="334"/>
      <c r="T11" s="334"/>
      <c r="U11" s="334"/>
      <c r="V11" s="334"/>
      <c r="W11" s="334"/>
      <c r="X11" s="334"/>
      <c r="Y11" s="334"/>
      <c r="Z11" s="334"/>
      <c r="AA11" s="258" t="s">
        <v>490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2200</v>
      </c>
      <c r="H13" s="190">
        <f>IF(VLOOKUP('Hide - Control'!A$3,'All practice data'!A:CA,C13+30,FALSE)=" "," ",VLOOKUP('Hide - Control'!A$3,'All practice data'!A:CA,C13+30,FALSE))</f>
        <v>0.19193857965451055</v>
      </c>
      <c r="I13" s="191">
        <f>IF(LEFT(G13,1)=" "," n/a",+((2*G13+1.96^2-1.96*SQRT(1.96^2+4*G13*(1-G13/E$8)))/(2*(E$8+1.96^2))))</f>
        <v>0.18483236464833583</v>
      </c>
      <c r="J13" s="191">
        <f>IF(LEFT(G13,1)=" "," n/a",+((2*G13+1.96^2+1.96*SQRT(1.96^2+4*G13*(1-G13/E$8)))/(2*(E$8+1.96^2))))</f>
        <v>0.1992512249941375</v>
      </c>
      <c r="K13" s="190">
        <f>IF('Hide - Calculation'!N7="","",'Hide - Calculation'!N7)</f>
        <v>0.13047295976291987</v>
      </c>
      <c r="L13" s="192">
        <f>'Hide - Calculation'!O7</f>
        <v>0.1599882305185145</v>
      </c>
      <c r="M13" s="208">
        <f>IF(ISBLANK('Hide - Calculation'!K7),"",'Hide - Calculation'!U7)</f>
        <v>0.027123287320137024</v>
      </c>
      <c r="N13" s="173"/>
      <c r="O13" s="173"/>
      <c r="P13" s="173"/>
      <c r="Q13" s="173"/>
      <c r="R13" s="173"/>
      <c r="S13" s="173"/>
      <c r="T13" s="173"/>
      <c r="U13" s="173"/>
      <c r="V13" s="173"/>
      <c r="W13" s="173"/>
      <c r="X13" s="173"/>
      <c r="Y13" s="173"/>
      <c r="Z13" s="173"/>
      <c r="AA13" s="226">
        <f>IF(ISBLANK('Hide - Calculation'!K7),"",'Hide - Calculation'!T7)</f>
        <v>0.2012072503566742</v>
      </c>
      <c r="AB13" s="233" t="s">
        <v>585</v>
      </c>
      <c r="AC13" s="209" t="s">
        <v>586</v>
      </c>
    </row>
    <row r="14" spans="2:29" ht="33.75" customHeight="1">
      <c r="B14" s="306"/>
      <c r="C14" s="137">
        <v>2</v>
      </c>
      <c r="D14" s="132" t="s">
        <v>500</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0.12396692076697832</v>
      </c>
      <c r="J14" s="120">
        <f>IF(LEFT(G14,1)=" "," n/a",+((2*H14*E8+1.96^2+1.96*SQRT(1.96^2+4*H14*E8*(1-H14*E8/E$8)))/(2*(E$8+1.96^2))))</f>
        <v>0.1362810142821157</v>
      </c>
      <c r="K14" s="119">
        <f>IF('Hide - Calculation'!N8="","",'Hide - Calculation'!N8)</f>
        <v>0.2368379712361986</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0.4000000059604645</v>
      </c>
      <c r="AB14" s="234" t="s">
        <v>39</v>
      </c>
      <c r="AC14" s="130" t="s">
        <v>586</v>
      </c>
    </row>
    <row r="15" spans="2:39" s="63" customFormat="1" ht="33.75" customHeight="1">
      <c r="B15" s="306"/>
      <c r="C15" s="137">
        <v>3</v>
      </c>
      <c r="D15" s="132" t="s">
        <v>355</v>
      </c>
      <c r="E15" s="85"/>
      <c r="F15" s="85"/>
      <c r="G15" s="121">
        <f>IF(VLOOKUP('Hide - Control'!A$3,'All practice data'!A:CA,C15+4,FALSE)=" "," ",VLOOKUP('Hide - Control'!A$3,'All practice data'!A:CA,C15+4,FALSE))</f>
        <v>47</v>
      </c>
      <c r="H15" s="122">
        <f>IF(VLOOKUP('Hide - Control'!A$3,'All practice data'!A:CA,C15+30,FALSE)=" "," ",VLOOKUP('Hide - Control'!A$3,'All practice data'!A:CA,C15+30,FALSE))</f>
        <v>410.05060198918164</v>
      </c>
      <c r="I15" s="123">
        <f>IF(LEFT(G15,1)=" "," n/a",IF(G15&lt;5,100000*VLOOKUP(G15,'Hide - Calculation'!AQ:AR,2,FALSE)/$E$8,100000*(G15*(1-1/(9*G15)-1.96/(3*SQRT(G15)))^3)/$E$8))</f>
        <v>301.2620547039304</v>
      </c>
      <c r="J15" s="123">
        <f>IF(LEFT(G15,1)=" "," n/a",IF(G15&lt;5,100000*VLOOKUP(G15,'Hide - Calculation'!AQ:AS,3,FALSE)/$E$8,100000*((G15+1)*(1-1/(9*(G15+1))+1.96/(3*SQRT(G15+1)))^3)/$E$8))</f>
        <v>545.2952585947265</v>
      </c>
      <c r="K15" s="122">
        <f>IF('Hide - Calculation'!N9="","",'Hide - Calculation'!N9)</f>
        <v>363.2347443122378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709.2198486328125</v>
      </c>
      <c r="AB15" s="234" t="s">
        <v>470</v>
      </c>
      <c r="AC15" s="131">
        <v>2009</v>
      </c>
      <c r="AD15" s="64"/>
      <c r="AE15" s="64"/>
      <c r="AF15" s="64"/>
      <c r="AG15" s="64"/>
      <c r="AH15" s="64"/>
      <c r="AI15" s="64"/>
      <c r="AJ15" s="64"/>
      <c r="AK15" s="64"/>
      <c r="AL15" s="64"/>
      <c r="AM15" s="64"/>
    </row>
    <row r="16" spans="2:29" s="63" customFormat="1" ht="33.75" customHeight="1">
      <c r="B16" s="306"/>
      <c r="C16" s="137">
        <v>4</v>
      </c>
      <c r="D16" s="132" t="s">
        <v>492</v>
      </c>
      <c r="E16" s="85"/>
      <c r="F16" s="85"/>
      <c r="G16" s="121">
        <f>IF(VLOOKUP('Hide - Control'!A$3,'All practice data'!A:CA,C16+4,FALSE)=" "," ",VLOOKUP('Hide - Control'!A$3,'All practice data'!A:CA,C16+4,FALSE))</f>
        <v>25</v>
      </c>
      <c r="H16" s="122">
        <f>IF(VLOOKUP('Hide - Control'!A$3,'All practice data'!A:CA,C16+30,FALSE)=" "," ",VLOOKUP('Hide - Control'!A$3,'All practice data'!A:CA,C16+30,FALSE))</f>
        <v>218.11202233467108</v>
      </c>
      <c r="I16" s="123">
        <f>IF(LEFT(G16,1)=" "," n/a",IF(G16&lt;5,100000*VLOOKUP(G16,'Hide - Calculation'!AQ:AR,2,FALSE)/$E$8,100000*(G16*(1-1/(9*G16)-1.96/(3*SQRT(G16)))^3)/$E$8))</f>
        <v>141.11089877471906</v>
      </c>
      <c r="J16" s="123">
        <f>IF(LEFT(G16,1)=" "," n/a",IF(G16&lt;5,100000*VLOOKUP(G16,'Hide - Calculation'!AQ:AS,3,FALSE)/$E$8,100000*((G16+1)*(1-1/(9*(G16+1))+1.96/(3*SQRT(G16+1)))^3)/$E$8))</f>
        <v>321.99164755684586</v>
      </c>
      <c r="K16" s="122">
        <f>IF('Hide - Calculation'!N10="","",'Hide - Calculation'!N10)</f>
        <v>179.73088387121115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381.8876037597656</v>
      </c>
      <c r="AB16" s="234" t="s">
        <v>349</v>
      </c>
      <c r="AC16" s="131" t="s">
        <v>524</v>
      </c>
    </row>
    <row r="17" spans="2:29" s="63" customFormat="1" ht="33.75" customHeight="1" thickBot="1">
      <c r="B17" s="309"/>
      <c r="C17" s="180">
        <v>5</v>
      </c>
      <c r="D17" s="195" t="s">
        <v>354</v>
      </c>
      <c r="E17" s="182"/>
      <c r="F17" s="182"/>
      <c r="G17" s="140">
        <f>IF(VLOOKUP('Hide - Control'!A$3,'All practice data'!A:CA,C17+4,FALSE)=" "," ",VLOOKUP('Hide - Control'!A$3,'All practice data'!A:CA,C17+4,FALSE))</f>
        <v>236</v>
      </c>
      <c r="H17" s="141">
        <f>IF(VLOOKUP('Hide - Control'!A$3,'All practice data'!A:CA,C17+30,FALSE)=" "," ",VLOOKUP('Hide - Control'!A$3,'All practice data'!A:CA,C17+30,FALSE))</f>
        <v>0.021</v>
      </c>
      <c r="I17" s="142">
        <f>IF(LEFT(G17,1)=" "," n/a",+((2*G17+1.96^2-1.96*SQRT(1.96^2+4*G17*(1-G17/E$8)))/(2*(E$8+1.96^2))))</f>
        <v>0.018146113065739825</v>
      </c>
      <c r="J17" s="142">
        <f>IF(LEFT(G17,1)=" "," n/a",+((2*G17+1.96^2+1.96*SQRT(1.96^2+4*G17*(1-G17/E$8)))/(2*(E$8+1.96^2))))</f>
        <v>0.023354687015084592</v>
      </c>
      <c r="K17" s="141">
        <f>IF('Hide - Calculation'!N11="","",'Hide - Calculation'!N11)</f>
        <v>0.013003049251064151</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0.026000000536441803</v>
      </c>
      <c r="AB17" s="235" t="s">
        <v>493</v>
      </c>
      <c r="AC17" s="189" t="s">
        <v>524</v>
      </c>
    </row>
    <row r="18" spans="2:29" s="63" customFormat="1" ht="33.75" customHeight="1">
      <c r="B18" s="308" t="s">
        <v>13</v>
      </c>
      <c r="C18" s="163">
        <v>6</v>
      </c>
      <c r="D18" s="164" t="s">
        <v>501</v>
      </c>
      <c r="E18" s="165"/>
      <c r="F18" s="165"/>
      <c r="G18" s="219">
        <f>IF(OR(VLOOKUP('Hide - Control'!A$3,'All practice data'!A:CA,C18+4,FALSE)=" ",VLOOKUP('Hide - Control'!A$3,'All practice data'!A:CA,C18+52,FALSE)=0)," n/a",VLOOKUP('Hide - Control'!A$3,'All practice data'!A:CA,C18+4,FALSE))</f>
        <v>1134</v>
      </c>
      <c r="H18" s="220">
        <f>IF(OR(VLOOKUP('Hide - Control'!A$3,'All practice data'!A:CA,C18+30,FALSE)=" ",VLOOKUP('Hide - Control'!A$3,'All practice data'!A:CA,C18+52,FALSE)=0)," n/a",VLOOKUP('Hide - Control'!A$3,'All practice data'!A:CA,C18+30,FALSE))</f>
        <v>0.745072</v>
      </c>
      <c r="I18" s="191">
        <f>IF(OR(LEFT(H18,1)=" ",VLOOKUP('Hide - Control'!A$3,'All practice data'!A:CA,C18+52,FALSE)=0)," n/a",+((2*G18+1.96^2-1.96*SQRT(1.96^2+4*G18*(1-G18/(VLOOKUP('Hide - Control'!A$3,'All practice data'!A:CA,C18+52,FALSE)))))/(2*(((VLOOKUP('Hide - Control'!A$3,'All practice data'!A:CA,C18+52,FALSE)))+1.96^2))))</f>
        <v>0.7225785527910459</v>
      </c>
      <c r="J18" s="191">
        <f>IF(OR(LEFT(H18,1)=" ",VLOOKUP('Hide - Control'!A$3,'All practice data'!A:CA,C18+52,FALSE)=0)," n/a",+((2*G18+1.96^2+1.96*SQRT(1.96^2+4*G18*(1-G18/(VLOOKUP('Hide - Control'!A$3,'All practice data'!A:CA,C18+52,FALSE)))))/(2*((VLOOKUP('Hide - Control'!A$3,'All practice data'!A:CA,C18+52,FALSE))+1.96^2))))</f>
        <v>0.7663319605938299</v>
      </c>
      <c r="K18" s="220">
        <f>IF('Hide - Calculation'!N12="","",'Hide - Calculation'!N12)</f>
        <v>0.6429231276806334</v>
      </c>
      <c r="L18" s="192">
        <f>'Hide - Calculation'!O12</f>
        <v>0.7248631360507991</v>
      </c>
      <c r="M18" s="193">
        <f>IF(ISBLANK('Hide - Calculation'!K12),"",'Hide - Calculation'!U12)</f>
        <v>0.4693880081176758</v>
      </c>
      <c r="N18" s="194"/>
      <c r="O18" s="173"/>
      <c r="P18" s="173"/>
      <c r="Q18" s="173"/>
      <c r="R18" s="173"/>
      <c r="S18" s="173"/>
      <c r="T18" s="173"/>
      <c r="U18" s="173"/>
      <c r="V18" s="173"/>
      <c r="W18" s="173"/>
      <c r="X18" s="173"/>
      <c r="Y18" s="173"/>
      <c r="Z18" s="174"/>
      <c r="AA18" s="193">
        <f>IF(ISBLANK('Hide - Calculation'!K12),"",'Hide - Calculation'!T12)</f>
        <v>0.7970589995384216</v>
      </c>
      <c r="AB18" s="233" t="s">
        <v>48</v>
      </c>
      <c r="AC18" s="175" t="s">
        <v>525</v>
      </c>
    </row>
    <row r="19" spans="2:29" s="63" customFormat="1" ht="33.75" customHeight="1">
      <c r="B19" s="306"/>
      <c r="C19" s="137">
        <v>7</v>
      </c>
      <c r="D19" s="132" t="s">
        <v>502</v>
      </c>
      <c r="E19" s="85"/>
      <c r="F19" s="85"/>
      <c r="G19" s="221">
        <f>IF(OR(VLOOKUP('Hide - Control'!A$3,'All practice data'!A:CA,C19+4,FALSE)=" ",VLOOKUP('Hide - Control'!A$3,'All practice data'!A:CA,C19+52,FALSE)=0)," n/a",VLOOKUP('Hide - Control'!A$3,'All practice data'!A:CA,C19+4,FALSE))</f>
        <v>12</v>
      </c>
      <c r="H19" s="218">
        <f>IF(OR(VLOOKUP('Hide - Control'!A$3,'All practice data'!A:CA,C19+30,FALSE)=" ",VLOOKUP('Hide - Control'!A$3,'All practice data'!A:CA,C19+52,FALSE)=0)," n/a",VLOOKUP('Hide - Control'!A$3,'All practice data'!A:CA,C19+30,FALSE))</f>
        <v>0.6</v>
      </c>
      <c r="I19" s="120">
        <f>IF(OR(LEFT(H19,1)=" ",VLOOKUP('Hide - Control'!A$3,'All practice data'!A:CA,C19+52,FALSE)=0)," n/a",+((2*G19+1.96^2-1.96*SQRT(1.96^2+4*G19*(1-G19/(VLOOKUP('Hide - Control'!A$3,'All practice data'!A:CA,C19+52,FALSE)))))/(2*(((VLOOKUP('Hide - Control'!A$3,'All practice data'!A:CA,C19+52,FALSE)))+1.96^2))))</f>
        <v>0.386577942315206</v>
      </c>
      <c r="J19" s="120">
        <f>IF(OR(LEFT(H19,1)=" ",VLOOKUP('Hide - Control'!A$3,'All practice data'!A:CA,C19+52,FALSE)=0)," n/a",+((2*G19+1.96^2+1.96*SQRT(1.96^2+4*G19*(1-G19/(VLOOKUP('Hide - Control'!A$3,'All practice data'!A:CA,C19+52,FALSE)))))/(2*((VLOOKUP('Hide - Control'!A$3,'All practice data'!A:CA,C19+52,FALSE))+1.96^2))))</f>
        <v>0.7811960325858074</v>
      </c>
      <c r="K19" s="218">
        <f>IF('Hide - Calculation'!N13="","",'Hide - Calculation'!N13)</f>
        <v>0.671476819158735</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0.875</v>
      </c>
      <c r="AB19" s="234" t="s">
        <v>48</v>
      </c>
      <c r="AC19" s="131" t="s">
        <v>524</v>
      </c>
    </row>
    <row r="20" spans="2:29" s="63" customFormat="1" ht="33.75" customHeight="1">
      <c r="B20" s="306"/>
      <c r="C20" s="137">
        <v>8</v>
      </c>
      <c r="D20" s="132" t="s">
        <v>503</v>
      </c>
      <c r="E20" s="85"/>
      <c r="F20" s="85"/>
      <c r="G20" s="221">
        <f>IF(OR(VLOOKUP('Hide - Control'!A$3,'All practice data'!A:CA,C20+4,FALSE)=" ",VLOOKUP('Hide - Control'!A$3,'All practice data'!A:CA,C20+52,FALSE)=0)," n/a",VLOOKUP('Hide - Control'!A$3,'All practice data'!A:CA,C20+4,FALSE))</f>
        <v>2519</v>
      </c>
      <c r="H20" s="218">
        <f>IF(OR(VLOOKUP('Hide - Control'!A$3,'All practice data'!A:CA,C20+30,FALSE)=" ",VLOOKUP('Hide - Control'!A$3,'All practice data'!A:CA,C20+52,FALSE)=0)," n/a",VLOOKUP('Hide - Control'!A$3,'All practice data'!A:CA,C20+30,FALSE))</f>
        <v>0.791392</v>
      </c>
      <c r="I20" s="120">
        <f>IF(OR(LEFT(H20,1)=" ",VLOOKUP('Hide - Control'!A$3,'All practice data'!A:CA,C20+52,FALSE)=0)," n/a",+((2*G20+1.96^2-1.96*SQRT(1.96^2+4*G20*(1-G20/(VLOOKUP('Hide - Control'!A$3,'All practice data'!A:CA,C20+52,FALSE)))))/(2*(((VLOOKUP('Hide - Control'!A$3,'All practice data'!A:CA,C20+52,FALSE)))+1.96^2))))</f>
        <v>0.776929050025861</v>
      </c>
      <c r="J20" s="120">
        <f>IF(OR(LEFT(H20,1)=" ",VLOOKUP('Hide - Control'!A$3,'All practice data'!A:CA,C20+52,FALSE)=0)," n/a",+((2*G20+1.96^2+1.96*SQRT(1.96^2+4*G20*(1-G20/(VLOOKUP('Hide - Control'!A$3,'All practice data'!A:CA,C20+52,FALSE)))))/(2*((VLOOKUP('Hide - Control'!A$3,'All practice data'!A:CA,C20+52,FALSE))+1.96^2))))</f>
        <v>0.8051519671166287</v>
      </c>
      <c r="K20" s="218">
        <f>IF('Hide - Calculation'!N14="","",'Hide - Calculation'!N14)</f>
        <v>0.7608352632784465</v>
      </c>
      <c r="L20" s="155">
        <f>'Hide - Calculation'!O14</f>
        <v>0.7559681673907895</v>
      </c>
      <c r="M20" s="152">
        <f>IF(ISBLANK('Hide - Calculation'!K14),"",'Hide - Calculation'!U14)</f>
        <v>0.5777440071105957</v>
      </c>
      <c r="N20" s="160"/>
      <c r="O20" s="84"/>
      <c r="P20" s="84"/>
      <c r="Q20" s="84"/>
      <c r="R20" s="84"/>
      <c r="S20" s="84"/>
      <c r="T20" s="84"/>
      <c r="U20" s="84"/>
      <c r="V20" s="84"/>
      <c r="W20" s="84"/>
      <c r="X20" s="84"/>
      <c r="Y20" s="84"/>
      <c r="Z20" s="88"/>
      <c r="AA20" s="152">
        <f>IF(ISBLANK('Hide - Calculation'!K14),"",'Hide - Calculation'!T14)</f>
        <v>0.8330169916152954</v>
      </c>
      <c r="AB20" s="234" t="s">
        <v>48</v>
      </c>
      <c r="AC20" s="131" t="s">
        <v>526</v>
      </c>
    </row>
    <row r="21" spans="2:29" s="63" customFormat="1" ht="33.75" customHeight="1">
      <c r="B21" s="306"/>
      <c r="C21" s="137">
        <v>9</v>
      </c>
      <c r="D21" s="132" t="s">
        <v>504</v>
      </c>
      <c r="E21" s="85"/>
      <c r="F21" s="85"/>
      <c r="G21" s="221">
        <f>IF(OR(VLOOKUP('Hide - Control'!A$3,'All practice data'!A:CA,C21+4,FALSE)=" ",VLOOKUP('Hide - Control'!A$3,'All practice data'!A:CA,C21+52,FALSE)=0)," n/a",VLOOKUP('Hide - Control'!A$3,'All practice data'!A:CA,C21+4,FALSE))</f>
        <v>797</v>
      </c>
      <c r="H21" s="218">
        <f>IF(OR(VLOOKUP('Hide - Control'!A$3,'All practice data'!A:CA,C21+30,FALSE)=" ",VLOOKUP('Hide - Control'!A$3,'All practice data'!A:CA,C21+52,FALSE)=0)," n/a",VLOOKUP('Hide - Control'!A$3,'All practice data'!A:CA,C21+30,FALSE))</f>
        <v>0.582177</v>
      </c>
      <c r="I21" s="120">
        <f>IF(OR(LEFT(H21,1)=" ",VLOOKUP('Hide - Control'!A$3,'All practice data'!A:CA,C21+52,FALSE)=0)," n/a",+((2*G21+1.96^2-1.96*SQRT(1.96^2+4*G21*(1-G21/(VLOOKUP('Hide - Control'!A$3,'All practice data'!A:CA,C21+52,FALSE)))))/(2*(((VLOOKUP('Hide - Control'!A$3,'All practice data'!A:CA,C21+52,FALSE)))+1.96^2))))</f>
        <v>0.555856074182167</v>
      </c>
      <c r="J21" s="120">
        <f>IF(OR(LEFT(H21,1)=" ",VLOOKUP('Hide - Control'!A$3,'All practice data'!A:CA,C21+52,FALSE)=0)," n/a",+((2*G21+1.96^2+1.96*SQRT(1.96^2+4*G21*(1-G21/(VLOOKUP('Hide - Control'!A$3,'All practice data'!A:CA,C21+52,FALSE)))))/(2*((VLOOKUP('Hide - Control'!A$3,'All practice data'!A:CA,C21+52,FALSE))+1.96^2))))</f>
        <v>0.6080375607426488</v>
      </c>
      <c r="K21" s="218">
        <f>IF('Hide - Calculation'!N15="","",'Hide - Calculation'!N15)</f>
        <v>0.5004140786749482</v>
      </c>
      <c r="L21" s="155">
        <f>'Hide - Calculation'!O15</f>
        <v>0.5147293797466616</v>
      </c>
      <c r="M21" s="152">
        <f>IF(ISBLANK('Hide - Calculation'!K15),"",'Hide - Calculation'!U15)</f>
        <v>0.25316500663757324</v>
      </c>
      <c r="N21" s="160"/>
      <c r="O21" s="84"/>
      <c r="P21" s="84"/>
      <c r="Q21" s="84"/>
      <c r="R21" s="84"/>
      <c r="S21" s="84"/>
      <c r="T21" s="84"/>
      <c r="U21" s="84"/>
      <c r="V21" s="84"/>
      <c r="W21" s="84"/>
      <c r="X21" s="84"/>
      <c r="Y21" s="84"/>
      <c r="Z21" s="88"/>
      <c r="AA21" s="152">
        <f>IF(ISBLANK('Hide - Calculation'!K15),"",'Hide - Calculation'!T15)</f>
        <v>0.598546028137207</v>
      </c>
      <c r="AB21" s="234" t="s">
        <v>48</v>
      </c>
      <c r="AC21" s="131" t="s">
        <v>525</v>
      </c>
    </row>
    <row r="22" spans="2:29" s="63" customFormat="1" ht="33.75" customHeight="1" thickBot="1">
      <c r="B22" s="309"/>
      <c r="C22" s="180">
        <v>10</v>
      </c>
      <c r="D22" s="195" t="s">
        <v>505</v>
      </c>
      <c r="E22" s="182"/>
      <c r="F22" s="182"/>
      <c r="G22" s="222">
        <f>IF(OR(VLOOKUP('Hide - Control'!A$3,'All practice data'!A:CA,C22+4,FALSE)=" ",VLOOKUP('Hide - Control'!A$3,'All practice data'!A:CA,C22+52,FALSE)=0)," n/a",VLOOKUP('Hide - Control'!A$3,'All practice data'!A:CA,C22+4,FALSE))</f>
        <v>409</v>
      </c>
      <c r="H22" s="223">
        <f>IF(OR(VLOOKUP('Hide - Control'!A$3,'All practice data'!A:CA,C22+30,FALSE)=" ",VLOOKUP('Hide - Control'!A$3,'All practice data'!A:CA,C22+52,FALSE)=0)," n/a",VLOOKUP('Hide - Control'!A$3,'All practice data'!A:CA,C22+30,FALSE))</f>
        <v>0.59104</v>
      </c>
      <c r="I22" s="196">
        <f>IF(OR(LEFT(H22,1)=" ",VLOOKUP('Hide - Control'!A$3,'All practice data'!A:CA,C22+52,FALSE)=0)," n/a",+((2*G22+1.96^2-1.96*SQRT(1.96^2+4*G22*(1-G22/(VLOOKUP('Hide - Control'!A$3,'All practice data'!A:CA,C22+52,FALSE)))))/(2*(((VLOOKUP('Hide - Control'!A$3,'All practice data'!A:CA,C22+52,FALSE)))+1.96^2))))</f>
        <v>0.55400439047947</v>
      </c>
      <c r="J22" s="196">
        <f>IF(OR(LEFT(H22,1)=" ",VLOOKUP('Hide - Control'!A$3,'All practice data'!A:CA,C22+52,FALSE)=0)," n/a",+((2*G22+1.96^2+1.96*SQRT(1.96^2+4*G22*(1-G22/(VLOOKUP('Hide - Control'!A$3,'All practice data'!A:CA,C22+52,FALSE)))))/(2*((VLOOKUP('Hide - Control'!A$3,'All practice data'!A:CA,C22+52,FALSE))+1.96^2))))</f>
        <v>0.6270713026093019</v>
      </c>
      <c r="K22" s="223">
        <f>IF('Hide - Calculation'!N16="","",'Hide - Calculation'!N16)</f>
        <v>0.5148605016971604</v>
      </c>
      <c r="L22" s="197">
        <f>'Hide - Calculation'!O16</f>
        <v>0.5752927626212945</v>
      </c>
      <c r="M22" s="198">
        <f>IF(ISBLANK('Hide - Calculation'!K16),"",'Hide - Calculation'!U16)</f>
        <v>0.2325579971075058</v>
      </c>
      <c r="N22" s="199"/>
      <c r="O22" s="91"/>
      <c r="P22" s="91"/>
      <c r="Q22" s="91"/>
      <c r="R22" s="91"/>
      <c r="S22" s="91"/>
      <c r="T22" s="91"/>
      <c r="U22" s="91"/>
      <c r="V22" s="91"/>
      <c r="W22" s="91"/>
      <c r="X22" s="91"/>
      <c r="Y22" s="91"/>
      <c r="Z22" s="188"/>
      <c r="AA22" s="198">
        <f>IF(ISBLANK('Hide - Calculation'!K16),"",'Hide - Calculation'!T16)</f>
        <v>0.6130949854850769</v>
      </c>
      <c r="AB22" s="235" t="s">
        <v>48</v>
      </c>
      <c r="AC22" s="189" t="s">
        <v>524</v>
      </c>
    </row>
    <row r="23" spans="2:29" s="63" customFormat="1" ht="33.75" customHeight="1">
      <c r="B23" s="308" t="s">
        <v>344</v>
      </c>
      <c r="C23" s="163">
        <v>11</v>
      </c>
      <c r="D23" s="179" t="s">
        <v>356</v>
      </c>
      <c r="E23" s="165"/>
      <c r="F23" s="165"/>
      <c r="G23" s="118">
        <f>IF(VLOOKUP('Hide - Control'!A$3,'All practice data'!A:CA,C23+4,FALSE)=" "," ",VLOOKUP('Hide - Control'!A$3,'All practice data'!A:CA,C23+4,FALSE))</f>
        <v>457</v>
      </c>
      <c r="H23" s="216">
        <f>IF(VLOOKUP('Hide - Control'!A$3,'All practice data'!A:CA,C23+30,FALSE)=" "," ",VLOOKUP('Hide - Control'!A$3,'All practice data'!A:CA,C23+30,FALSE))</f>
        <v>3987.0877682777873</v>
      </c>
      <c r="I23" s="215">
        <f>IF(LEFT(G23,1)=" "," n/a",IF(G23&lt;5,100000*VLOOKUP(G23,'Hide - Calculation'!AQ:AR,2,FALSE)/$E$8,100000*(G23*(1-1/(9*G23)-1.96/(3*SQRT(G23)))^3)/$E$8))</f>
        <v>3629.8576362244894</v>
      </c>
      <c r="J23" s="215">
        <f>IF(LEFT(G23,1)=" "," n/a",IF(G23&lt;5,100000*VLOOKUP(G23,'Hide - Calculation'!AQ:AS,3,FALSE)/$E$8,100000*((G23+1)*(1-1/(9*(G23+1))+1.96/(3*SQRT(G23+1)))^3)/$E$8))</f>
        <v>4369.965826652743</v>
      </c>
      <c r="K23" s="216">
        <f>IF('Hide - Calculation'!N17="","",'Hide - Calculation'!N17)</f>
        <v>1523.9395363354793</v>
      </c>
      <c r="L23" s="217">
        <f>'Hide - Calculation'!O17</f>
        <v>1812.1669120472948</v>
      </c>
      <c r="M23" s="170">
        <f>IF(ISBLANK('Hide - Calculation'!K17),"",'Hide - Calculation'!U17)</f>
        <v>271.24774169921875</v>
      </c>
      <c r="N23" s="171"/>
      <c r="O23" s="172"/>
      <c r="P23" s="172"/>
      <c r="Q23" s="172"/>
      <c r="R23" s="173"/>
      <c r="S23" s="173"/>
      <c r="T23" s="173"/>
      <c r="U23" s="173"/>
      <c r="V23" s="173"/>
      <c r="W23" s="173"/>
      <c r="X23" s="173"/>
      <c r="Y23" s="173"/>
      <c r="Z23" s="174"/>
      <c r="AA23" s="170">
        <f>IF(ISBLANK('Hide - Calculation'!K17),"",'Hide - Calculation'!T17)</f>
        <v>3987.087646484375</v>
      </c>
      <c r="AB23" s="233" t="s">
        <v>26</v>
      </c>
      <c r="AC23" s="175" t="s">
        <v>524</v>
      </c>
    </row>
    <row r="24" spans="2:29" s="63" customFormat="1" ht="33.75" customHeight="1">
      <c r="B24" s="306"/>
      <c r="C24" s="137">
        <v>12</v>
      </c>
      <c r="D24" s="147" t="s">
        <v>511</v>
      </c>
      <c r="E24" s="85"/>
      <c r="F24" s="85"/>
      <c r="G24" s="118">
        <f>IF(VLOOKUP('Hide - Control'!A$3,'All practice data'!A:CA,C24+4,FALSE)=" "," ",VLOOKUP('Hide - Control'!A$3,'All practice data'!A:CA,C24+4,FALSE))</f>
        <v>457</v>
      </c>
      <c r="H24" s="119">
        <f>IF(VLOOKUP('Hide - Control'!A$3,'All practice data'!A:CA,C24+30,FALSE)=" "," ",VLOOKUP('Hide - Control'!A$3,'All practice data'!A:CA,C24+30,FALSE))</f>
        <v>1.959971924</v>
      </c>
      <c r="I24" s="212">
        <f>IF(LEFT(VLOOKUP('Hide - Control'!A$3,'All practice data'!A:CA,C24+44,FALSE),1)=" "," n/a",VLOOKUP('Hide - Control'!A$3,'All practice data'!A:CA,C24+44,FALSE))</f>
        <v>1.784367828</v>
      </c>
      <c r="J24" s="212">
        <f>IF(LEFT(VLOOKUP('Hide - Control'!A$3,'All practice data'!A:CA,C24+45,FALSE),1)=" "," n/a",VLOOKUP('Hide - Control'!A$3,'All practice data'!A:CA,C24+45,FALSE))</f>
        <v>2.148183441</v>
      </c>
      <c r="K24" s="152" t="s">
        <v>590</v>
      </c>
      <c r="L24" s="213">
        <v>1</v>
      </c>
      <c r="M24" s="152">
        <f>IF(ISBLANK('Hide - Calculation'!K18),"",'Hide - Calculation'!U18)</f>
        <v>0.16257968544960022</v>
      </c>
      <c r="N24" s="86"/>
      <c r="O24" s="87"/>
      <c r="P24" s="87"/>
      <c r="Q24" s="87"/>
      <c r="R24" s="84"/>
      <c r="S24" s="84"/>
      <c r="T24" s="84"/>
      <c r="U24" s="84"/>
      <c r="V24" s="84"/>
      <c r="W24" s="84"/>
      <c r="X24" s="84"/>
      <c r="Y24" s="84"/>
      <c r="Z24" s="88"/>
      <c r="AA24" s="152">
        <f>IF(ISBLANK('Hide - Calculation'!K18),"",'Hide - Calculation'!T18)</f>
        <v>1.9599719047546387</v>
      </c>
      <c r="AB24" s="234" t="s">
        <v>26</v>
      </c>
      <c r="AC24" s="131" t="s">
        <v>524</v>
      </c>
    </row>
    <row r="25" spans="2:29" s="63" customFormat="1" ht="33.75" customHeight="1">
      <c r="B25" s="306"/>
      <c r="C25" s="137">
        <v>13</v>
      </c>
      <c r="D25" s="147" t="s">
        <v>351</v>
      </c>
      <c r="E25" s="85"/>
      <c r="F25" s="85"/>
      <c r="G25" s="118">
        <f>IF(VLOOKUP('Hide - Control'!A$3,'All practice data'!A:CA,C25+4,FALSE)=" "," ",VLOOKUP('Hide - Control'!A$3,'All practice data'!A:CA,C25+4,FALSE))</f>
        <v>33</v>
      </c>
      <c r="H25" s="119">
        <f>IF(VLOOKUP('Hide - Control'!A$3,'All practice data'!A:CA,C25+30,FALSE)=" "," ",VLOOKUP('Hide - Control'!A$3,'All practice data'!A:CA,C25+30,FALSE))</f>
        <v>0.07221006564551423</v>
      </c>
      <c r="I25" s="120">
        <f>IF(LEFT(G25,1)=" "," n/a",IF(G25=0," n/a",+((2*G25+1.96^2-1.96*SQRT(1.96^2+4*G25*(1-G25/G23)))/(2*(G23+1.96^2)))))</f>
        <v>0.05187641236870202</v>
      </c>
      <c r="J25" s="120">
        <f>IF(LEFT(G25,1)=" "," n/a",IF(G25=0," n/a",+((2*G25+1.96^2+1.96*SQRT(1.96^2+4*G25*(1-G25/G23)))/(2*(G23+1.96^2)))))</f>
        <v>0.09967587804952412</v>
      </c>
      <c r="K25" s="125">
        <f>IF('Hide - Calculation'!N19="","",'Hide - Calculation'!N19)</f>
        <v>0.10893540400630204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0.3888888955116272</v>
      </c>
      <c r="AB25" s="234" t="s">
        <v>26</v>
      </c>
      <c r="AC25" s="131" t="s">
        <v>524</v>
      </c>
    </row>
    <row r="26" spans="2:29" s="63" customFormat="1" ht="33.75" customHeight="1">
      <c r="B26" s="306"/>
      <c r="C26" s="137">
        <v>14</v>
      </c>
      <c r="D26" s="147" t="s">
        <v>494</v>
      </c>
      <c r="E26" s="85"/>
      <c r="F26" s="85"/>
      <c r="G26" s="121">
        <f>IF(VLOOKUP('Hide - Control'!A$3,'All practice data'!A:CA,C26+4,FALSE)=" "," ",VLOOKUP('Hide - Control'!A$3,'All practice data'!A:CA,C26+4,FALSE))</f>
        <v>58</v>
      </c>
      <c r="H26" s="119">
        <f>IF(VLOOKUP('Hide - Control'!A$3,'All practice data'!A:CA,C26+30,FALSE)=" "," ",VLOOKUP('Hide - Control'!A$3,'All practice data'!A:CA,C26+30,FALSE))</f>
        <v>0.5689655172413793</v>
      </c>
      <c r="I26" s="120">
        <f>IF(OR(LEFT(G26,1)=" ",LEFT(G25,1)=" ")," n/a",IF(G26=0," n/a",+((2*G25+1.96^2-1.96*SQRT(1.96^2+4*G25*(1-G25/G26)))/(2*(G26+1.96^2)))))</f>
        <v>0.4411787670572742</v>
      </c>
      <c r="J26" s="120">
        <f>IF(OR(LEFT(G26,1)=" ",LEFT(G25,1)=" ")," n/a",IF(G26=0," n/a",+((2*G25+1.96^2+1.96*SQRT(1.96^2+4*G25*(1-G25/G26)))/(2*(G26+1.96^2)))))</f>
        <v>0.6881839919916507</v>
      </c>
      <c r="K26" s="125">
        <f>IF('Hide - Calculation'!N20="","",'Hide - Calculation'!N20)</f>
        <v>0.44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524</v>
      </c>
    </row>
    <row r="27" spans="2:29" s="63" customFormat="1" ht="33.75" customHeight="1">
      <c r="B27" s="306"/>
      <c r="C27" s="137">
        <v>15</v>
      </c>
      <c r="D27" s="147" t="s">
        <v>481</v>
      </c>
      <c r="E27" s="85"/>
      <c r="F27" s="85"/>
      <c r="G27" s="121">
        <f>IF(VLOOKUP('Hide - Control'!A$3,'All practice data'!A:CA,C27+4,FALSE)=" "," ",VLOOKUP('Hide - Control'!A$3,'All practice data'!A:CA,C27+4,FALSE))</f>
        <v>31</v>
      </c>
      <c r="H27" s="122">
        <f>IF(VLOOKUP('Hide - Control'!A$3,'All practice data'!A:CA,C27+30,FALSE)=" "," ",VLOOKUP('Hide - Control'!A$3,'All practice data'!A:CA,C27+30,FALSE))</f>
        <v>270.45890769499215</v>
      </c>
      <c r="I27" s="123">
        <f>IF(LEFT(G27,1)=" "," n/a",IF(G27&lt;5,100000*VLOOKUP(G27,'Hide - Calculation'!AQ:AR,2,FALSE)/$E$8,100000*(G27*(1-1/(9*G27)-1.96/(3*SQRT(G27)))^3)/$E$8))</f>
        <v>183.7287253201294</v>
      </c>
      <c r="J27" s="123">
        <f>IF(LEFT(G27,1)=" "," n/a",IF(G27&lt;5,100000*VLOOKUP(G27,'Hide - Calculation'!AQ:AS,3,FALSE)/$E$8,100000*((G27+1)*(1-1/(9*(G27+1))+1.96/(3*SQRT(G27+1)))^3)/$E$8))</f>
        <v>383.9101354102528</v>
      </c>
      <c r="K27" s="122">
        <f>IF('Hide - Calculation'!N21="","",'Hide - Calculation'!N21)</f>
        <v>241.81349833817532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566.572265625</v>
      </c>
      <c r="AB27" s="234" t="s">
        <v>26</v>
      </c>
      <c r="AC27" s="131" t="s">
        <v>524</v>
      </c>
    </row>
    <row r="28" spans="2:29" s="63" customFormat="1" ht="33.75" customHeight="1">
      <c r="B28" s="306"/>
      <c r="C28" s="137">
        <v>16</v>
      </c>
      <c r="D28" s="147" t="s">
        <v>482</v>
      </c>
      <c r="E28" s="85"/>
      <c r="F28" s="85"/>
      <c r="G28" s="121">
        <f>IF(VLOOKUP('Hide - Control'!A$3,'All practice data'!A:CA,C28+4,FALSE)=" "," ",VLOOKUP('Hide - Control'!A$3,'All practice data'!A:CA,C28+4,FALSE))</f>
        <v>66</v>
      </c>
      <c r="H28" s="122">
        <f>IF(VLOOKUP('Hide - Control'!A$3,'All practice data'!A:CA,C28+30,FALSE)=" "," ",VLOOKUP('Hide - Control'!A$3,'All practice data'!A:CA,C28+30,FALSE))</f>
        <v>575.8157389635317</v>
      </c>
      <c r="I28" s="123">
        <f>IF(LEFT(G28,1)=" "," n/a",IF(G28&lt;5,100000*VLOOKUP(G28,'Hide - Calculation'!AQ:AR,2,FALSE)/$E$8,100000*(G28*(1-1/(9*G28)-1.96/(3*SQRT(G28)))^3)/$E$8))</f>
        <v>445.312607914896</v>
      </c>
      <c r="J28" s="123">
        <f>IF(LEFT(G28,1)=" "," n/a",IF(G28&lt;5,100000*VLOOKUP(G28,'Hide - Calculation'!AQ:AS,3,FALSE)/$E$8,100000*((G28+1)*(1-1/(9*(G28+1))+1.96/(3*SQRT(G28+1)))^3)/$E$8))</f>
        <v>732.5931116553754</v>
      </c>
      <c r="K28" s="122">
        <f>IF('Hide - Calculation'!N22="","",'Hide - Calculation'!N22)</f>
        <v>250.0454472177728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684.1046142578125</v>
      </c>
      <c r="AB28" s="234" t="s">
        <v>26</v>
      </c>
      <c r="AC28" s="131" t="s">
        <v>524</v>
      </c>
    </row>
    <row r="29" spans="2:29" s="63" customFormat="1" ht="33.75" customHeight="1">
      <c r="B29" s="306"/>
      <c r="C29" s="137">
        <v>17</v>
      </c>
      <c r="D29" s="147" t="s">
        <v>483</v>
      </c>
      <c r="E29" s="85"/>
      <c r="F29" s="85"/>
      <c r="G29" s="121">
        <f>IF(VLOOKUP('Hide - Control'!A$3,'All practice data'!A:CA,C29+4,FALSE)=" "," ",VLOOKUP('Hide - Control'!A$3,'All practice data'!A:CA,C29+4,FALSE))</f>
        <v>13</v>
      </c>
      <c r="H29" s="122">
        <f>IF(VLOOKUP('Hide - Control'!A$3,'All practice data'!A:CA,C29+30,FALSE)=" "," ",VLOOKUP('Hide - Control'!A$3,'All practice data'!A:CA,C29+30,FALSE))</f>
        <v>113.41825161402896</v>
      </c>
      <c r="I29" s="123">
        <f>IF(LEFT(G29,1)=" "," n/a",IF(G29&lt;5,100000*VLOOKUP(G29,'Hide - Calculation'!AQ:AR,2,FALSE)/$E$8,100000*(G29*(1-1/(9*G29)-1.96/(3*SQRT(G29)))^3)/$E$8))</f>
        <v>60.331143720681624</v>
      </c>
      <c r="J29" s="123">
        <f>IF(LEFT(G29,1)=" "," n/a",IF(G29&lt;5,100000*VLOOKUP(G29,'Hide - Calculation'!AQ:AS,3,FALSE)/$E$8,100000*((G29+1)*(1-1/(9*(G29+1))+1.96/(3*SQRT(G29+1)))^3)/$E$8))</f>
        <v>193.96187778094904</v>
      </c>
      <c r="K29" s="122">
        <f>IF('Hide - Calculation'!N23="","",'Hide - Calculation'!N23)</f>
        <v>51.10668262750088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270.75811767578125</v>
      </c>
      <c r="AB29" s="234" t="s">
        <v>26</v>
      </c>
      <c r="AC29" s="131" t="s">
        <v>524</v>
      </c>
    </row>
    <row r="30" spans="2:29" s="63" customFormat="1" ht="33.75" customHeight="1" thickBot="1">
      <c r="B30" s="309"/>
      <c r="C30" s="180">
        <v>18</v>
      </c>
      <c r="D30" s="181" t="s">
        <v>484</v>
      </c>
      <c r="E30" s="182"/>
      <c r="F30" s="182"/>
      <c r="G30" s="183">
        <f>IF(VLOOKUP('Hide - Control'!A$3,'All practice data'!A:CA,C30+4,FALSE)=" "," ",VLOOKUP('Hide - Control'!A$3,'All practice data'!A:CA,C30+4,FALSE))</f>
        <v>136</v>
      </c>
      <c r="H30" s="184">
        <f>IF(VLOOKUP('Hide - Control'!A$3,'All practice data'!A:CA,C30+30,FALSE)=" "," ",VLOOKUP('Hide - Control'!A$3,'All practice data'!A:CA,C30+30,FALSE))</f>
        <v>1186.5294015006107</v>
      </c>
      <c r="I30" s="185">
        <f>IF(LEFT(G30,1)=" "," n/a",IF(G30&lt;5,100000*VLOOKUP(G30,'Hide - Calculation'!AQ:AR,2,FALSE)/$E$8,100000*(G30*(1-1/(9*G30)-1.96/(3*SQRT(G30)))^3)/$E$8))</f>
        <v>995.48521125906</v>
      </c>
      <c r="J30" s="185">
        <f>IF(LEFT(G30,1)=" "," n/a",IF(G30&lt;5,100000*VLOOKUP(G30,'Hide - Calculation'!AQ:AS,3,FALSE)/$E$8,100000*((G30+1)*(1-1/(9*(G30+1))+1.96/(3*SQRT(G30+1)))^3)/$E$8))</f>
        <v>1403.544514303504</v>
      </c>
      <c r="K30" s="184">
        <f>IF('Hide - Calculation'!N24="","",'Hide - Calculation'!N24)</f>
        <v>293.60617670564267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1186.5294189453125</v>
      </c>
      <c r="AB30" s="235" t="s">
        <v>26</v>
      </c>
      <c r="AC30" s="189" t="s">
        <v>524</v>
      </c>
    </row>
    <row r="31" spans="2:29" s="63" customFormat="1" ht="33.75" customHeight="1">
      <c r="B31" s="304" t="s">
        <v>353</v>
      </c>
      <c r="C31" s="163">
        <v>19</v>
      </c>
      <c r="D31" s="164" t="s">
        <v>357</v>
      </c>
      <c r="E31" s="165"/>
      <c r="F31" s="165"/>
      <c r="G31" s="166">
        <f>IF(VLOOKUP('Hide - Control'!A$3,'All practice data'!A:CA,C31+4,FALSE)=" "," ",VLOOKUP('Hide - Control'!A$3,'All practice data'!A:CA,C31+4,FALSE))</f>
        <v>102</v>
      </c>
      <c r="H31" s="167">
        <f>IF(VLOOKUP('Hide - Control'!A$3,'All practice data'!A:CA,C31+30,FALSE)=" "," ",VLOOKUP('Hide - Control'!A$3,'All practice data'!A:CA,C31+30,FALSE))</f>
        <v>889.897051125458</v>
      </c>
      <c r="I31" s="168">
        <f>IF(LEFT(G31,1)=" "," n/a",IF(G31&lt;5,100000*VLOOKUP(G31,'Hide - Calculation'!AQ:AR,2,FALSE)/$E$8,100000*(G31*(1-1/(9*G31)-1.96/(3*SQRT(G31)))^3)/$E$8))</f>
        <v>725.5856648441676</v>
      </c>
      <c r="J31" s="168">
        <f>IF(LEFT(G31,1)=" "," n/a",IF(G31&lt;5,100000*VLOOKUP(G31,'Hide - Calculation'!AQ:AS,3,FALSE)/$E$8,100000*((G31+1)*(1-1/(9*(G31+1))+1.96/(3*SQRT(G31+1)))^3)/$E$8))</f>
        <v>1080.2878221687874</v>
      </c>
      <c r="K31" s="167">
        <f>IF('Hide - Calculation'!N25="","",'Hide - Calculation'!N25)</f>
        <v>653.4109423180482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1109.2149658203125</v>
      </c>
      <c r="AB31" s="233" t="s">
        <v>47</v>
      </c>
      <c r="AC31" s="175" t="s">
        <v>524</v>
      </c>
    </row>
    <row r="32" spans="2:29" s="63" customFormat="1" ht="33.75" customHeight="1">
      <c r="B32" s="305"/>
      <c r="C32" s="137">
        <v>20</v>
      </c>
      <c r="D32" s="132" t="s">
        <v>358</v>
      </c>
      <c r="E32" s="85"/>
      <c r="F32" s="85"/>
      <c r="G32" s="121">
        <f>IF(VLOOKUP('Hide - Control'!A$3,'All practice data'!A:CA,C32+4,FALSE)=" "," ",VLOOKUP('Hide - Control'!A$3,'All practice data'!A:CA,C32+4,FALSE))</f>
        <v>57</v>
      </c>
      <c r="H32" s="122">
        <f>IF(VLOOKUP('Hide - Control'!A$3,'All practice data'!A:CA,C32+30,FALSE)=" "," ",VLOOKUP('Hide - Control'!A$3,'All practice data'!A:CA,C32+30,FALSE))</f>
        <v>497.2954109230501</v>
      </c>
      <c r="I32" s="123">
        <f>IF(LEFT(G32,1)=" "," n/a",IF(G32&lt;5,100000*VLOOKUP(G32,'Hide - Calculation'!AQ:AR,2,FALSE)/$E$8,100000*(G32*(1-1/(9*G32)-1.96/(3*SQRT(G32)))^3)/$E$8))</f>
        <v>376.62166066366643</v>
      </c>
      <c r="J32" s="123">
        <f>IF(LEFT(G32,1)=" "," n/a",IF(G32&lt;5,100000*VLOOKUP(G32,'Hide - Calculation'!AQ:AS,3,FALSE)/$E$8,100000*((G32+1)*(1-1/(9*(G32+1))+1.96/(3*SQRT(G32+1)))^3)/$E$8))</f>
        <v>644.3184566702936</v>
      </c>
      <c r="K32" s="122">
        <f>IF('Hide - Calculation'!N26="","",'Hide - Calculation'!N26)</f>
        <v>302.5241213252066</v>
      </c>
      <c r="L32" s="156">
        <f>'Hide - Calculation'!O26</f>
        <v>405.57105879375996</v>
      </c>
      <c r="M32" s="148">
        <f>IF(ISBLANK('Hide - Calculation'!K26),"",'Hide - Calculation'!U26)</f>
        <v>107.70059204101562</v>
      </c>
      <c r="N32" s="86"/>
      <c r="O32" s="87"/>
      <c r="P32" s="87"/>
      <c r="Q32" s="87"/>
      <c r="R32" s="84"/>
      <c r="S32" s="84"/>
      <c r="T32" s="84"/>
      <c r="U32" s="84"/>
      <c r="V32" s="84"/>
      <c r="W32" s="84"/>
      <c r="X32" s="84"/>
      <c r="Y32" s="84"/>
      <c r="Z32" s="88"/>
      <c r="AA32" s="148">
        <f>IF(ISBLANK('Hide - Calculation'!K26),"",'Hide - Calculation'!T26)</f>
        <v>567.7039794921875</v>
      </c>
      <c r="AB32" s="234" t="s">
        <v>47</v>
      </c>
      <c r="AC32" s="131" t="s">
        <v>524</v>
      </c>
    </row>
    <row r="33" spans="2:29" s="63" customFormat="1" ht="33.75" customHeight="1">
      <c r="B33" s="305"/>
      <c r="C33" s="137">
        <v>21</v>
      </c>
      <c r="D33" s="132" t="s">
        <v>360</v>
      </c>
      <c r="E33" s="85"/>
      <c r="F33" s="85"/>
      <c r="G33" s="121">
        <f>IF(VLOOKUP('Hide - Control'!A$3,'All practice data'!A:CA,C33+4,FALSE)=" "," ",VLOOKUP('Hide - Control'!A$3,'All practice data'!A:CA,C33+4,FALSE))</f>
        <v>148</v>
      </c>
      <c r="H33" s="122">
        <f>IF(VLOOKUP('Hide - Control'!A$3,'All practice data'!A:CA,C33+30,FALSE)=" "," ",VLOOKUP('Hide - Control'!A$3,'All practice data'!A:CA,C33+30,FALSE))</f>
        <v>1291.2231722212528</v>
      </c>
      <c r="I33" s="123">
        <f>IF(LEFT(G33,1)=" "," n/a",IF(G33&lt;5,100000*VLOOKUP(G33,'Hide - Calculation'!AQ:AR,2,FALSE)/$E$8,100000*(G33*(1-1/(9*G33)-1.96/(3*SQRT(G33)))^3)/$E$8))</f>
        <v>1091.5627778871387</v>
      </c>
      <c r="J33" s="123">
        <f>IF(LEFT(G33,1)=" "," n/a",IF(G33&lt;5,100000*VLOOKUP(G33,'Hide - Calculation'!AQ:AS,3,FALSE)/$E$8,100000*((G33+1)*(1-1/(9*(G33+1))+1.96/(3*SQRT(G33+1)))^3)/$E$8))</f>
        <v>1516.8253347539614</v>
      </c>
      <c r="K33" s="122">
        <f>IF('Hide - Calculation'!N27="","",'Hide - Calculation'!N27)</f>
        <v>949.7611019835567</v>
      </c>
      <c r="L33" s="156">
        <f>'Hide - Calculation'!O27</f>
        <v>1059.3522061277838</v>
      </c>
      <c r="M33" s="148">
        <f>IF(ISBLANK('Hide - Calculation'!K27),"",'Hide - Calculation'!U27)</f>
        <v>356.1643981933594</v>
      </c>
      <c r="N33" s="86"/>
      <c r="O33" s="87"/>
      <c r="P33" s="87"/>
      <c r="Q33" s="87"/>
      <c r="R33" s="84"/>
      <c r="S33" s="84"/>
      <c r="T33" s="84"/>
      <c r="U33" s="84"/>
      <c r="V33" s="84"/>
      <c r="W33" s="84"/>
      <c r="X33" s="84"/>
      <c r="Y33" s="84"/>
      <c r="Z33" s="88"/>
      <c r="AA33" s="148">
        <f>IF(ISBLANK('Hide - Calculation'!K27),"",'Hide - Calculation'!T27)</f>
        <v>1758.1246337890625</v>
      </c>
      <c r="AB33" s="234" t="s">
        <v>47</v>
      </c>
      <c r="AC33" s="131" t="s">
        <v>524</v>
      </c>
    </row>
    <row r="34" spans="2:29" s="63" customFormat="1" ht="33.75" customHeight="1">
      <c r="B34" s="305"/>
      <c r="C34" s="137">
        <v>22</v>
      </c>
      <c r="D34" s="132" t="s">
        <v>359</v>
      </c>
      <c r="E34" s="85"/>
      <c r="F34" s="85"/>
      <c r="G34" s="118">
        <f>IF(VLOOKUP('Hide - Control'!A$3,'All practice data'!A:CA,C34+4,FALSE)=" "," ",VLOOKUP('Hide - Control'!A$3,'All practice data'!A:CA,C34+4,FALSE))</f>
        <v>61</v>
      </c>
      <c r="H34" s="122">
        <f>IF(VLOOKUP('Hide - Control'!A$3,'All practice data'!A:CA,C34+30,FALSE)=" "," ",VLOOKUP('Hide - Control'!A$3,'All practice data'!A:CA,C34+30,FALSE))</f>
        <v>532.1933344965975</v>
      </c>
      <c r="I34" s="123">
        <f>IF(LEFT(G34,1)=" "," n/a",IF(G34&lt;5,100000*VLOOKUP(G34,'Hide - Calculation'!AQ:AR,2,FALSE)/$E$8,100000*(G34*(1-1/(9*G34)-1.96/(3*SQRT(G34)))^3)/$E$8))</f>
        <v>407.0615553094003</v>
      </c>
      <c r="J34" s="123">
        <f>IF(LEFT(G34,1)=" "," n/a",IF(G34&lt;5,100000*VLOOKUP(G34,'Hide - Calculation'!AQ:AS,3,FALSE)/$E$8,100000*((G34+1)*(1-1/(9*(G34+1))+1.96/(3*SQRT(G34+1)))^3)/$E$8))</f>
        <v>683.6390532371877</v>
      </c>
      <c r="K34" s="122">
        <f>IF('Hide - Calculation'!N28="","",'Hide - Calculation'!N28)</f>
        <v>506.60785396522687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1324.5032958984375</v>
      </c>
      <c r="AB34" s="234" t="s">
        <v>47</v>
      </c>
      <c r="AC34" s="131" t="s">
        <v>524</v>
      </c>
    </row>
    <row r="35" spans="2:29" s="63" customFormat="1" ht="33.75" customHeight="1">
      <c r="B35" s="305"/>
      <c r="C35" s="137">
        <v>23</v>
      </c>
      <c r="D35" s="138" t="s">
        <v>485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589</v>
      </c>
      <c r="C39" s="244"/>
      <c r="D39" s="244"/>
      <c r="E39" s="303" t="s">
        <v>593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510</v>
      </c>
      <c r="BE2" s="341"/>
      <c r="BF2" s="341"/>
      <c r="BG2" s="341"/>
      <c r="BH2" s="341"/>
      <c r="BI2" s="341"/>
      <c r="BJ2" s="342"/>
    </row>
    <row r="3" spans="1:82" s="72" customFormat="1" ht="76.5" customHeight="1">
      <c r="A3" s="266" t="s">
        <v>276</v>
      </c>
      <c r="B3" s="275" t="s">
        <v>277</v>
      </c>
      <c r="C3" s="276" t="s">
        <v>49</v>
      </c>
      <c r="D3" s="274" t="s">
        <v>495</v>
      </c>
      <c r="E3" s="267" t="s">
        <v>367</v>
      </c>
      <c r="F3" s="267" t="s">
        <v>478</v>
      </c>
      <c r="G3" s="267" t="s">
        <v>369</v>
      </c>
      <c r="H3" s="267" t="s">
        <v>370</v>
      </c>
      <c r="I3" s="267" t="s">
        <v>371</v>
      </c>
      <c r="J3" s="267" t="s">
        <v>519</v>
      </c>
      <c r="K3" s="267" t="s">
        <v>520</v>
      </c>
      <c r="L3" s="267" t="s">
        <v>521</v>
      </c>
      <c r="M3" s="267" t="s">
        <v>372</v>
      </c>
      <c r="N3" s="267" t="s">
        <v>373</v>
      </c>
      <c r="O3" s="267" t="s">
        <v>374</v>
      </c>
      <c r="P3" s="267" t="s">
        <v>509</v>
      </c>
      <c r="Q3" s="267" t="s">
        <v>375</v>
      </c>
      <c r="R3" s="267" t="s">
        <v>376</v>
      </c>
      <c r="S3" s="267" t="s">
        <v>377</v>
      </c>
      <c r="T3" s="267" t="s">
        <v>378</v>
      </c>
      <c r="U3" s="267" t="s">
        <v>379</v>
      </c>
      <c r="V3" s="267" t="s">
        <v>380</v>
      </c>
      <c r="W3" s="267" t="s">
        <v>381</v>
      </c>
      <c r="X3" s="267" t="s">
        <v>382</v>
      </c>
      <c r="Y3" s="267" t="s">
        <v>383</v>
      </c>
      <c r="Z3" s="267" t="s">
        <v>384</v>
      </c>
      <c r="AA3" s="267" t="s">
        <v>385</v>
      </c>
      <c r="AB3" s="267" t="s">
        <v>386</v>
      </c>
      <c r="AC3" s="267" t="s">
        <v>387</v>
      </c>
      <c r="AD3" s="268" t="s">
        <v>388</v>
      </c>
      <c r="AE3" s="268" t="s">
        <v>367</v>
      </c>
      <c r="AF3" s="269" t="s">
        <v>368</v>
      </c>
      <c r="AG3" s="268" t="s">
        <v>369</v>
      </c>
      <c r="AH3" s="268" t="s">
        <v>370</v>
      </c>
      <c r="AI3" s="268" t="s">
        <v>371</v>
      </c>
      <c r="AJ3" s="268" t="s">
        <v>519</v>
      </c>
      <c r="AK3" s="268" t="s">
        <v>520</v>
      </c>
      <c r="AL3" s="268" t="s">
        <v>521</v>
      </c>
      <c r="AM3" s="268" t="s">
        <v>372</v>
      </c>
      <c r="AN3" s="268" t="s">
        <v>373</v>
      </c>
      <c r="AO3" s="268" t="s">
        <v>374</v>
      </c>
      <c r="AP3" s="268" t="s">
        <v>509</v>
      </c>
      <c r="AQ3" s="268" t="s">
        <v>375</v>
      </c>
      <c r="AR3" s="268" t="s">
        <v>376</v>
      </c>
      <c r="AS3" s="268" t="s">
        <v>377</v>
      </c>
      <c r="AT3" s="268" t="s">
        <v>378</v>
      </c>
      <c r="AU3" s="268" t="s">
        <v>379</v>
      </c>
      <c r="AV3" s="268" t="s">
        <v>380</v>
      </c>
      <c r="AW3" s="268" t="s">
        <v>381</v>
      </c>
      <c r="AX3" s="268" t="s">
        <v>382</v>
      </c>
      <c r="AY3" s="270" t="s">
        <v>383</v>
      </c>
      <c r="AZ3" s="271" t="s">
        <v>384</v>
      </c>
      <c r="BA3" s="271" t="s">
        <v>385</v>
      </c>
      <c r="BB3" s="271" t="s">
        <v>386</v>
      </c>
      <c r="BC3" s="272" t="s">
        <v>387</v>
      </c>
      <c r="BD3" s="273" t="s">
        <v>507</v>
      </c>
      <c r="BE3" s="273" t="s">
        <v>508</v>
      </c>
      <c r="BF3" s="273" t="s">
        <v>515</v>
      </c>
      <c r="BG3" s="273" t="s">
        <v>516</v>
      </c>
      <c r="BH3" s="273" t="s">
        <v>514</v>
      </c>
      <c r="BI3" s="273" t="s">
        <v>517</v>
      </c>
      <c r="BJ3" s="273" t="s">
        <v>518</v>
      </c>
      <c r="BK3" s="73"/>
      <c r="BL3" s="73"/>
      <c r="BM3" s="73"/>
      <c r="BN3" s="73"/>
      <c r="BO3" s="73"/>
      <c r="BP3" s="73"/>
      <c r="BQ3" s="73"/>
      <c r="BR3" s="73"/>
      <c r="BS3" s="73"/>
      <c r="BT3" s="73"/>
      <c r="BU3" s="73"/>
      <c r="BV3" s="73"/>
      <c r="BW3" s="73"/>
      <c r="BX3" s="73"/>
      <c r="BY3" s="73"/>
      <c r="BZ3" s="73"/>
      <c r="CA3" s="73"/>
      <c r="CB3" s="73"/>
      <c r="CC3" s="73"/>
      <c r="CD3" s="73"/>
    </row>
    <row r="4" spans="1:66" ht="12.75">
      <c r="A4" s="79" t="s">
        <v>539</v>
      </c>
      <c r="B4" s="79" t="s">
        <v>295</v>
      </c>
      <c r="C4" s="79" t="s">
        <v>71</v>
      </c>
      <c r="D4" s="99">
        <v>11462</v>
      </c>
      <c r="E4" s="99">
        <v>2200</v>
      </c>
      <c r="F4" s="99" t="s">
        <v>366</v>
      </c>
      <c r="G4" s="99">
        <v>47</v>
      </c>
      <c r="H4" s="99">
        <v>25</v>
      </c>
      <c r="I4" s="99">
        <v>236</v>
      </c>
      <c r="J4" s="99">
        <v>1134</v>
      </c>
      <c r="K4" s="99">
        <v>12</v>
      </c>
      <c r="L4" s="99">
        <v>2519</v>
      </c>
      <c r="M4" s="99">
        <v>797</v>
      </c>
      <c r="N4" s="99">
        <v>409</v>
      </c>
      <c r="O4" s="99">
        <v>457</v>
      </c>
      <c r="P4" s="159">
        <v>457</v>
      </c>
      <c r="Q4" s="99">
        <v>33</v>
      </c>
      <c r="R4" s="99">
        <v>58</v>
      </c>
      <c r="S4" s="99">
        <v>31</v>
      </c>
      <c r="T4" s="99">
        <v>66</v>
      </c>
      <c r="U4" s="99">
        <v>13</v>
      </c>
      <c r="V4" s="99">
        <v>136</v>
      </c>
      <c r="W4" s="99">
        <v>102</v>
      </c>
      <c r="X4" s="99">
        <v>57</v>
      </c>
      <c r="Y4" s="99">
        <v>148</v>
      </c>
      <c r="Z4" s="99">
        <v>61</v>
      </c>
      <c r="AA4" s="99" t="s">
        <v>592</v>
      </c>
      <c r="AB4" s="99" t="s">
        <v>592</v>
      </c>
      <c r="AC4" s="99" t="s">
        <v>592</v>
      </c>
      <c r="AD4" s="98" t="s">
        <v>343</v>
      </c>
      <c r="AE4" s="100">
        <v>0.19193857965451055</v>
      </c>
      <c r="AF4" s="100">
        <v>0.13</v>
      </c>
      <c r="AG4" s="98">
        <v>410.05060198918164</v>
      </c>
      <c r="AH4" s="98">
        <v>218.11202233467108</v>
      </c>
      <c r="AI4" s="100">
        <v>0.021</v>
      </c>
      <c r="AJ4" s="100">
        <v>0.745072</v>
      </c>
      <c r="AK4" s="100">
        <v>0.6</v>
      </c>
      <c r="AL4" s="100">
        <v>0.791392</v>
      </c>
      <c r="AM4" s="100">
        <v>0.582177</v>
      </c>
      <c r="AN4" s="100">
        <v>0.59104</v>
      </c>
      <c r="AO4" s="98">
        <v>3987.0877682777873</v>
      </c>
      <c r="AP4" s="158">
        <v>1.959971924</v>
      </c>
      <c r="AQ4" s="100">
        <v>0.07221006564551423</v>
      </c>
      <c r="AR4" s="100">
        <v>0.5689655172413793</v>
      </c>
      <c r="AS4" s="98">
        <v>270.45890769499215</v>
      </c>
      <c r="AT4" s="98">
        <v>575.8157389635317</v>
      </c>
      <c r="AU4" s="98">
        <v>113.41825161402896</v>
      </c>
      <c r="AV4" s="98">
        <v>1186.5294015006107</v>
      </c>
      <c r="AW4" s="98">
        <v>889.897051125458</v>
      </c>
      <c r="AX4" s="98">
        <v>497.2954109230501</v>
      </c>
      <c r="AY4" s="98">
        <v>1291.2231722212528</v>
      </c>
      <c r="AZ4" s="98">
        <v>532.1933344965975</v>
      </c>
      <c r="BA4" s="100" t="s">
        <v>592</v>
      </c>
      <c r="BB4" s="100" t="s">
        <v>592</v>
      </c>
      <c r="BC4" s="100" t="s">
        <v>592</v>
      </c>
      <c r="BD4" s="158">
        <v>1.784367828</v>
      </c>
      <c r="BE4" s="158">
        <v>2.148183441</v>
      </c>
      <c r="BF4" s="162">
        <v>1522</v>
      </c>
      <c r="BG4" s="162">
        <v>20</v>
      </c>
      <c r="BH4" s="162">
        <v>3183</v>
      </c>
      <c r="BI4" s="162">
        <v>1369</v>
      </c>
      <c r="BJ4" s="162">
        <v>692</v>
      </c>
      <c r="BK4" s="97"/>
      <c r="BL4" s="97"/>
      <c r="BM4" s="97"/>
      <c r="BN4" s="97"/>
    </row>
    <row r="5" spans="1:66" ht="12.75">
      <c r="A5" s="79" t="s">
        <v>581</v>
      </c>
      <c r="B5" s="79" t="s">
        <v>339</v>
      </c>
      <c r="C5" s="79" t="s">
        <v>71</v>
      </c>
      <c r="D5" s="99">
        <v>3708</v>
      </c>
      <c r="E5" s="99">
        <v>177</v>
      </c>
      <c r="F5" s="99" t="s">
        <v>364</v>
      </c>
      <c r="G5" s="99" t="s">
        <v>592</v>
      </c>
      <c r="H5" s="99" t="s">
        <v>592</v>
      </c>
      <c r="I5" s="99">
        <v>26</v>
      </c>
      <c r="J5" s="99">
        <v>127</v>
      </c>
      <c r="K5" s="99">
        <v>8</v>
      </c>
      <c r="L5" s="99">
        <v>753</v>
      </c>
      <c r="M5" s="99">
        <v>68</v>
      </c>
      <c r="N5" s="99">
        <v>39</v>
      </c>
      <c r="O5" s="99">
        <v>24</v>
      </c>
      <c r="P5" s="159">
        <v>24</v>
      </c>
      <c r="Q5" s="99" t="s">
        <v>592</v>
      </c>
      <c r="R5" s="99">
        <v>10</v>
      </c>
      <c r="S5" s="99">
        <v>6</v>
      </c>
      <c r="T5" s="99" t="s">
        <v>592</v>
      </c>
      <c r="U5" s="99" t="s">
        <v>592</v>
      </c>
      <c r="V5" s="99" t="s">
        <v>592</v>
      </c>
      <c r="W5" s="99">
        <v>22</v>
      </c>
      <c r="X5" s="99" t="s">
        <v>592</v>
      </c>
      <c r="Y5" s="99">
        <v>24</v>
      </c>
      <c r="Z5" s="99">
        <v>12</v>
      </c>
      <c r="AA5" s="99" t="s">
        <v>592</v>
      </c>
      <c r="AB5" s="99" t="s">
        <v>592</v>
      </c>
      <c r="AC5" s="99" t="s">
        <v>592</v>
      </c>
      <c r="AD5" s="98" t="s">
        <v>343</v>
      </c>
      <c r="AE5" s="100">
        <v>0.04773462783171521</v>
      </c>
      <c r="AF5" s="100">
        <v>0.37</v>
      </c>
      <c r="AG5" s="98" t="s">
        <v>592</v>
      </c>
      <c r="AH5" s="98" t="s">
        <v>592</v>
      </c>
      <c r="AI5" s="100">
        <v>0.006999999999999999</v>
      </c>
      <c r="AJ5" s="100">
        <v>0.549784</v>
      </c>
      <c r="AK5" s="100">
        <v>0.363636</v>
      </c>
      <c r="AL5" s="100">
        <v>0.782744</v>
      </c>
      <c r="AM5" s="100">
        <v>0.453333</v>
      </c>
      <c r="AN5" s="100">
        <v>0.458824</v>
      </c>
      <c r="AO5" s="98">
        <v>647.2491909385113</v>
      </c>
      <c r="AP5" s="158">
        <v>0.5723603821</v>
      </c>
      <c r="AQ5" s="100" t="s">
        <v>592</v>
      </c>
      <c r="AR5" s="100" t="s">
        <v>592</v>
      </c>
      <c r="AS5" s="98">
        <v>161.81229773462783</v>
      </c>
      <c r="AT5" s="98" t="s">
        <v>592</v>
      </c>
      <c r="AU5" s="98" t="s">
        <v>592</v>
      </c>
      <c r="AV5" s="98" t="s">
        <v>592</v>
      </c>
      <c r="AW5" s="98">
        <v>593.3117583603021</v>
      </c>
      <c r="AX5" s="98" t="s">
        <v>592</v>
      </c>
      <c r="AY5" s="98">
        <v>647.2491909385113</v>
      </c>
      <c r="AZ5" s="98">
        <v>323.62459546925567</v>
      </c>
      <c r="BA5" s="100" t="s">
        <v>592</v>
      </c>
      <c r="BB5" s="100" t="s">
        <v>592</v>
      </c>
      <c r="BC5" s="100" t="s">
        <v>592</v>
      </c>
      <c r="BD5" s="158">
        <v>0.3667221069</v>
      </c>
      <c r="BE5" s="158">
        <v>0.8516268921</v>
      </c>
      <c r="BF5" s="162">
        <v>231</v>
      </c>
      <c r="BG5" s="162">
        <v>22</v>
      </c>
      <c r="BH5" s="162">
        <v>962</v>
      </c>
      <c r="BI5" s="162">
        <v>150</v>
      </c>
      <c r="BJ5" s="162">
        <v>85</v>
      </c>
      <c r="BK5" s="97"/>
      <c r="BL5" s="97"/>
      <c r="BM5" s="97"/>
      <c r="BN5" s="97"/>
    </row>
    <row r="6" spans="1:66" ht="12.75">
      <c r="A6" s="79" t="s">
        <v>576</v>
      </c>
      <c r="B6" s="79" t="s">
        <v>333</v>
      </c>
      <c r="C6" s="79" t="s">
        <v>71</v>
      </c>
      <c r="D6" s="99">
        <v>2220</v>
      </c>
      <c r="E6" s="99">
        <v>294</v>
      </c>
      <c r="F6" s="99" t="s">
        <v>363</v>
      </c>
      <c r="G6" s="99">
        <v>9</v>
      </c>
      <c r="H6" s="99" t="s">
        <v>592</v>
      </c>
      <c r="I6" s="99">
        <v>22</v>
      </c>
      <c r="J6" s="99">
        <v>101</v>
      </c>
      <c r="K6" s="99">
        <v>92</v>
      </c>
      <c r="L6" s="99">
        <v>379</v>
      </c>
      <c r="M6" s="99">
        <v>51</v>
      </c>
      <c r="N6" s="99">
        <v>36</v>
      </c>
      <c r="O6" s="99">
        <v>17</v>
      </c>
      <c r="P6" s="159">
        <v>17</v>
      </c>
      <c r="Q6" s="99" t="s">
        <v>592</v>
      </c>
      <c r="R6" s="99">
        <v>8</v>
      </c>
      <c r="S6" s="99">
        <v>8</v>
      </c>
      <c r="T6" s="99" t="s">
        <v>592</v>
      </c>
      <c r="U6" s="99" t="s">
        <v>592</v>
      </c>
      <c r="V6" s="99" t="s">
        <v>592</v>
      </c>
      <c r="W6" s="99">
        <v>12</v>
      </c>
      <c r="X6" s="99" t="s">
        <v>592</v>
      </c>
      <c r="Y6" s="99">
        <v>15</v>
      </c>
      <c r="Z6" s="99">
        <v>8</v>
      </c>
      <c r="AA6" s="99" t="s">
        <v>592</v>
      </c>
      <c r="AB6" s="99" t="s">
        <v>592</v>
      </c>
      <c r="AC6" s="99" t="s">
        <v>592</v>
      </c>
      <c r="AD6" s="98" t="s">
        <v>343</v>
      </c>
      <c r="AE6" s="100">
        <v>0.13243243243243244</v>
      </c>
      <c r="AF6" s="100">
        <v>0.21</v>
      </c>
      <c r="AG6" s="98">
        <v>405.4054054054054</v>
      </c>
      <c r="AH6" s="98" t="s">
        <v>592</v>
      </c>
      <c r="AI6" s="100">
        <v>0.01</v>
      </c>
      <c r="AJ6" s="100">
        <v>0.590643</v>
      </c>
      <c r="AK6" s="100">
        <v>0.585987</v>
      </c>
      <c r="AL6" s="100">
        <v>0.577744</v>
      </c>
      <c r="AM6" s="100">
        <v>0.359155</v>
      </c>
      <c r="AN6" s="100">
        <v>0.473684</v>
      </c>
      <c r="AO6" s="98">
        <v>765.7657657657658</v>
      </c>
      <c r="AP6" s="158">
        <v>0.4805355072</v>
      </c>
      <c r="AQ6" s="100" t="s">
        <v>592</v>
      </c>
      <c r="AR6" s="100" t="s">
        <v>592</v>
      </c>
      <c r="AS6" s="98">
        <v>360.36036036036035</v>
      </c>
      <c r="AT6" s="98" t="s">
        <v>592</v>
      </c>
      <c r="AU6" s="98" t="s">
        <v>592</v>
      </c>
      <c r="AV6" s="98" t="s">
        <v>592</v>
      </c>
      <c r="AW6" s="98">
        <v>540.5405405405405</v>
      </c>
      <c r="AX6" s="98" t="s">
        <v>592</v>
      </c>
      <c r="AY6" s="98">
        <v>675.6756756756756</v>
      </c>
      <c r="AZ6" s="98">
        <v>360.36036036036035</v>
      </c>
      <c r="BA6" s="100" t="s">
        <v>592</v>
      </c>
      <c r="BB6" s="100" t="s">
        <v>592</v>
      </c>
      <c r="BC6" s="100" t="s">
        <v>592</v>
      </c>
      <c r="BD6" s="158">
        <v>0.27992963790000003</v>
      </c>
      <c r="BE6" s="158">
        <v>0.7693839264000001</v>
      </c>
      <c r="BF6" s="162">
        <v>171</v>
      </c>
      <c r="BG6" s="162">
        <v>157</v>
      </c>
      <c r="BH6" s="162">
        <v>656</v>
      </c>
      <c r="BI6" s="162">
        <v>142</v>
      </c>
      <c r="BJ6" s="162">
        <v>76</v>
      </c>
      <c r="BK6" s="97"/>
      <c r="BL6" s="97"/>
      <c r="BM6" s="97"/>
      <c r="BN6" s="97"/>
    </row>
    <row r="7" spans="1:66" ht="12.75">
      <c r="A7" s="79" t="s">
        <v>565</v>
      </c>
      <c r="B7" s="79" t="s">
        <v>322</v>
      </c>
      <c r="C7" s="79" t="s">
        <v>71</v>
      </c>
      <c r="D7" s="99">
        <v>1714</v>
      </c>
      <c r="E7" s="99">
        <v>168</v>
      </c>
      <c r="F7" s="99" t="s">
        <v>364</v>
      </c>
      <c r="G7" s="99">
        <v>9</v>
      </c>
      <c r="H7" s="99" t="s">
        <v>592</v>
      </c>
      <c r="I7" s="99">
        <v>14</v>
      </c>
      <c r="J7" s="99">
        <v>103</v>
      </c>
      <c r="K7" s="99" t="s">
        <v>592</v>
      </c>
      <c r="L7" s="99">
        <v>319</v>
      </c>
      <c r="M7" s="99">
        <v>48</v>
      </c>
      <c r="N7" s="99">
        <v>21</v>
      </c>
      <c r="O7" s="99">
        <v>10</v>
      </c>
      <c r="P7" s="159">
        <v>10</v>
      </c>
      <c r="Q7" s="99" t="s">
        <v>592</v>
      </c>
      <c r="R7" s="99">
        <v>8</v>
      </c>
      <c r="S7" s="99" t="s">
        <v>592</v>
      </c>
      <c r="T7" s="99" t="s">
        <v>592</v>
      </c>
      <c r="U7" s="99" t="s">
        <v>592</v>
      </c>
      <c r="V7" s="99" t="s">
        <v>592</v>
      </c>
      <c r="W7" s="99">
        <v>9</v>
      </c>
      <c r="X7" s="99" t="s">
        <v>592</v>
      </c>
      <c r="Y7" s="99">
        <v>14</v>
      </c>
      <c r="Z7" s="99">
        <v>11</v>
      </c>
      <c r="AA7" s="99" t="s">
        <v>592</v>
      </c>
      <c r="AB7" s="99" t="s">
        <v>592</v>
      </c>
      <c r="AC7" s="99" t="s">
        <v>592</v>
      </c>
      <c r="AD7" s="98" t="s">
        <v>343</v>
      </c>
      <c r="AE7" s="100">
        <v>0.09801633605600933</v>
      </c>
      <c r="AF7" s="100">
        <v>0.38</v>
      </c>
      <c r="AG7" s="98">
        <v>525.0875145857643</v>
      </c>
      <c r="AH7" s="98" t="s">
        <v>592</v>
      </c>
      <c r="AI7" s="100">
        <v>0.008</v>
      </c>
      <c r="AJ7" s="100">
        <v>0.588571</v>
      </c>
      <c r="AK7" s="100" t="s">
        <v>592</v>
      </c>
      <c r="AL7" s="100">
        <v>0.677282</v>
      </c>
      <c r="AM7" s="100">
        <v>0.45283</v>
      </c>
      <c r="AN7" s="100">
        <v>0.4375</v>
      </c>
      <c r="AO7" s="98">
        <v>583.4305717619603</v>
      </c>
      <c r="AP7" s="158">
        <v>0.3952745819</v>
      </c>
      <c r="AQ7" s="100" t="s">
        <v>592</v>
      </c>
      <c r="AR7" s="100" t="s">
        <v>592</v>
      </c>
      <c r="AS7" s="98" t="s">
        <v>592</v>
      </c>
      <c r="AT7" s="98" t="s">
        <v>592</v>
      </c>
      <c r="AU7" s="98" t="s">
        <v>592</v>
      </c>
      <c r="AV7" s="98" t="s">
        <v>592</v>
      </c>
      <c r="AW7" s="98">
        <v>525.0875145857643</v>
      </c>
      <c r="AX7" s="98" t="s">
        <v>592</v>
      </c>
      <c r="AY7" s="98">
        <v>816.8028004667444</v>
      </c>
      <c r="AZ7" s="98">
        <v>641.7736289381563</v>
      </c>
      <c r="BA7" s="100" t="s">
        <v>592</v>
      </c>
      <c r="BB7" s="100" t="s">
        <v>592</v>
      </c>
      <c r="BC7" s="100" t="s">
        <v>592</v>
      </c>
      <c r="BD7" s="158">
        <v>0.1895495224</v>
      </c>
      <c r="BE7" s="158">
        <v>0.7269239807</v>
      </c>
      <c r="BF7" s="162">
        <v>175</v>
      </c>
      <c r="BG7" s="162" t="s">
        <v>592</v>
      </c>
      <c r="BH7" s="162">
        <v>471</v>
      </c>
      <c r="BI7" s="162">
        <v>106</v>
      </c>
      <c r="BJ7" s="162">
        <v>48</v>
      </c>
      <c r="BK7" s="97"/>
      <c r="BL7" s="97"/>
      <c r="BM7" s="97"/>
      <c r="BN7" s="97"/>
    </row>
    <row r="8" spans="1:66" ht="12.75">
      <c r="A8" s="79" t="s">
        <v>554</v>
      </c>
      <c r="B8" s="79" t="s">
        <v>311</v>
      </c>
      <c r="C8" s="79" t="s">
        <v>71</v>
      </c>
      <c r="D8" s="99">
        <v>5648</v>
      </c>
      <c r="E8" s="99">
        <v>843</v>
      </c>
      <c r="F8" s="99" t="s">
        <v>365</v>
      </c>
      <c r="G8" s="99">
        <v>23</v>
      </c>
      <c r="H8" s="99">
        <v>8</v>
      </c>
      <c r="I8" s="99">
        <v>96</v>
      </c>
      <c r="J8" s="99">
        <v>377</v>
      </c>
      <c r="K8" s="99">
        <v>33</v>
      </c>
      <c r="L8" s="99">
        <v>1252</v>
      </c>
      <c r="M8" s="99">
        <v>249</v>
      </c>
      <c r="N8" s="99">
        <v>134</v>
      </c>
      <c r="O8" s="99">
        <v>101</v>
      </c>
      <c r="P8" s="159">
        <v>101</v>
      </c>
      <c r="Q8" s="99">
        <v>6</v>
      </c>
      <c r="R8" s="99">
        <v>21</v>
      </c>
      <c r="S8" s="99">
        <v>32</v>
      </c>
      <c r="T8" s="99">
        <v>11</v>
      </c>
      <c r="U8" s="99" t="s">
        <v>592</v>
      </c>
      <c r="V8" s="99">
        <v>9</v>
      </c>
      <c r="W8" s="99">
        <v>37</v>
      </c>
      <c r="X8" s="99">
        <v>20</v>
      </c>
      <c r="Y8" s="99">
        <v>50</v>
      </c>
      <c r="Z8" s="99">
        <v>23</v>
      </c>
      <c r="AA8" s="99" t="s">
        <v>592</v>
      </c>
      <c r="AB8" s="99" t="s">
        <v>592</v>
      </c>
      <c r="AC8" s="99" t="s">
        <v>592</v>
      </c>
      <c r="AD8" s="98" t="s">
        <v>343</v>
      </c>
      <c r="AE8" s="100">
        <v>0.14925637393767704</v>
      </c>
      <c r="AF8" s="100">
        <v>0.12</v>
      </c>
      <c r="AG8" s="98">
        <v>407.22379603399435</v>
      </c>
      <c r="AH8" s="98">
        <v>141.643059490085</v>
      </c>
      <c r="AI8" s="100">
        <v>0.017</v>
      </c>
      <c r="AJ8" s="100">
        <v>0.606109</v>
      </c>
      <c r="AK8" s="100">
        <v>0.492537</v>
      </c>
      <c r="AL8" s="100">
        <v>0.790404</v>
      </c>
      <c r="AM8" s="100">
        <v>0.522013</v>
      </c>
      <c r="AN8" s="100">
        <v>0.538153</v>
      </c>
      <c r="AO8" s="98">
        <v>1788.2436260623228</v>
      </c>
      <c r="AP8" s="158">
        <v>0.9883349609</v>
      </c>
      <c r="AQ8" s="100">
        <v>0.0594059405940594</v>
      </c>
      <c r="AR8" s="100">
        <v>0.2857142857142857</v>
      </c>
      <c r="AS8" s="98">
        <v>566.57223796034</v>
      </c>
      <c r="AT8" s="98">
        <v>194.75920679886684</v>
      </c>
      <c r="AU8" s="98" t="s">
        <v>592</v>
      </c>
      <c r="AV8" s="98">
        <v>159.3484419263456</v>
      </c>
      <c r="AW8" s="98">
        <v>655.099150141643</v>
      </c>
      <c r="AX8" s="98">
        <v>354.10764872521247</v>
      </c>
      <c r="AY8" s="98">
        <v>885.2691218130311</v>
      </c>
      <c r="AZ8" s="98">
        <v>407.22379603399435</v>
      </c>
      <c r="BA8" s="100" t="s">
        <v>592</v>
      </c>
      <c r="BB8" s="100" t="s">
        <v>592</v>
      </c>
      <c r="BC8" s="100" t="s">
        <v>592</v>
      </c>
      <c r="BD8" s="158">
        <v>0.8050150299000001</v>
      </c>
      <c r="BE8" s="158">
        <v>1.200916595</v>
      </c>
      <c r="BF8" s="162">
        <v>622</v>
      </c>
      <c r="BG8" s="162">
        <v>67</v>
      </c>
      <c r="BH8" s="162">
        <v>1584</v>
      </c>
      <c r="BI8" s="162">
        <v>477</v>
      </c>
      <c r="BJ8" s="162">
        <v>249</v>
      </c>
      <c r="BK8" s="97"/>
      <c r="BL8" s="97"/>
      <c r="BM8" s="97"/>
      <c r="BN8" s="97"/>
    </row>
    <row r="9" spans="1:66" ht="12.75">
      <c r="A9" s="79" t="s">
        <v>545</v>
      </c>
      <c r="B9" s="79" t="s">
        <v>302</v>
      </c>
      <c r="C9" s="79" t="s">
        <v>71</v>
      </c>
      <c r="D9" s="99">
        <v>3318</v>
      </c>
      <c r="E9" s="99">
        <v>462</v>
      </c>
      <c r="F9" s="99" t="s">
        <v>364</v>
      </c>
      <c r="G9" s="99">
        <v>11</v>
      </c>
      <c r="H9" s="99">
        <v>8</v>
      </c>
      <c r="I9" s="99">
        <v>38</v>
      </c>
      <c r="J9" s="99">
        <v>254</v>
      </c>
      <c r="K9" s="99">
        <v>243</v>
      </c>
      <c r="L9" s="99">
        <v>666</v>
      </c>
      <c r="M9" s="99">
        <v>115</v>
      </c>
      <c r="N9" s="99">
        <v>58</v>
      </c>
      <c r="O9" s="99" t="s">
        <v>592</v>
      </c>
      <c r="P9" s="159" t="s">
        <v>592</v>
      </c>
      <c r="Q9" s="99" t="s">
        <v>592</v>
      </c>
      <c r="R9" s="99">
        <v>10</v>
      </c>
      <c r="S9" s="99" t="s">
        <v>592</v>
      </c>
      <c r="T9" s="99" t="s">
        <v>592</v>
      </c>
      <c r="U9" s="99" t="s">
        <v>592</v>
      </c>
      <c r="V9" s="99" t="s">
        <v>592</v>
      </c>
      <c r="W9" s="99">
        <v>19</v>
      </c>
      <c r="X9" s="99">
        <v>10</v>
      </c>
      <c r="Y9" s="99">
        <v>35</v>
      </c>
      <c r="Z9" s="99">
        <v>28</v>
      </c>
      <c r="AA9" s="99" t="s">
        <v>592</v>
      </c>
      <c r="AB9" s="99" t="s">
        <v>592</v>
      </c>
      <c r="AC9" s="99" t="s">
        <v>592</v>
      </c>
      <c r="AD9" s="98" t="s">
        <v>343</v>
      </c>
      <c r="AE9" s="100">
        <v>0.13924050632911392</v>
      </c>
      <c r="AF9" s="100">
        <v>0.36</v>
      </c>
      <c r="AG9" s="98">
        <v>331.52501506931884</v>
      </c>
      <c r="AH9" s="98">
        <v>241.10910186859553</v>
      </c>
      <c r="AI9" s="100">
        <v>0.011000000000000001</v>
      </c>
      <c r="AJ9" s="100">
        <v>0.680965</v>
      </c>
      <c r="AK9" s="100">
        <v>0.698276</v>
      </c>
      <c r="AL9" s="100">
        <v>0.763761</v>
      </c>
      <c r="AM9" s="100">
        <v>0.38206</v>
      </c>
      <c r="AN9" s="100">
        <v>0.405594</v>
      </c>
      <c r="AO9" s="98" t="s">
        <v>592</v>
      </c>
      <c r="AP9" s="158" t="s">
        <v>592</v>
      </c>
      <c r="AQ9" s="100" t="s">
        <v>592</v>
      </c>
      <c r="AR9" s="100" t="s">
        <v>592</v>
      </c>
      <c r="AS9" s="98" t="s">
        <v>592</v>
      </c>
      <c r="AT9" s="98" t="s">
        <v>592</v>
      </c>
      <c r="AU9" s="98" t="s">
        <v>592</v>
      </c>
      <c r="AV9" s="98" t="s">
        <v>592</v>
      </c>
      <c r="AW9" s="98">
        <v>572.6341169379144</v>
      </c>
      <c r="AX9" s="98">
        <v>301.38637733574444</v>
      </c>
      <c r="AY9" s="98">
        <v>1054.8523206751054</v>
      </c>
      <c r="AZ9" s="98">
        <v>843.8818565400844</v>
      </c>
      <c r="BA9" s="101" t="s">
        <v>592</v>
      </c>
      <c r="BB9" s="101" t="s">
        <v>592</v>
      </c>
      <c r="BC9" s="101" t="s">
        <v>592</v>
      </c>
      <c r="BD9" s="158">
        <v>0.07434178829</v>
      </c>
      <c r="BE9" s="158">
        <v>0.3086268997</v>
      </c>
      <c r="BF9" s="162">
        <v>373</v>
      </c>
      <c r="BG9" s="162">
        <v>348</v>
      </c>
      <c r="BH9" s="162">
        <v>872</v>
      </c>
      <c r="BI9" s="162">
        <v>301</v>
      </c>
      <c r="BJ9" s="162">
        <v>143</v>
      </c>
      <c r="BK9" s="97"/>
      <c r="BL9" s="97"/>
      <c r="BM9" s="97"/>
      <c r="BN9" s="97"/>
    </row>
    <row r="10" spans="1:66" ht="12.75">
      <c r="A10" s="79" t="s">
        <v>567</v>
      </c>
      <c r="B10" s="79" t="s">
        <v>324</v>
      </c>
      <c r="C10" s="79" t="s">
        <v>71</v>
      </c>
      <c r="D10" s="99">
        <v>2829</v>
      </c>
      <c r="E10" s="99">
        <v>273</v>
      </c>
      <c r="F10" s="99" t="s">
        <v>364</v>
      </c>
      <c r="G10" s="99">
        <v>10</v>
      </c>
      <c r="H10" s="99" t="s">
        <v>592</v>
      </c>
      <c r="I10" s="99">
        <v>17</v>
      </c>
      <c r="J10" s="99">
        <v>109</v>
      </c>
      <c r="K10" s="99">
        <v>7</v>
      </c>
      <c r="L10" s="99">
        <v>593</v>
      </c>
      <c r="M10" s="99">
        <v>62</v>
      </c>
      <c r="N10" s="99">
        <v>25</v>
      </c>
      <c r="O10" s="99">
        <v>15</v>
      </c>
      <c r="P10" s="159">
        <v>15</v>
      </c>
      <c r="Q10" s="99" t="s">
        <v>592</v>
      </c>
      <c r="R10" s="99">
        <v>12</v>
      </c>
      <c r="S10" s="99" t="s">
        <v>592</v>
      </c>
      <c r="T10" s="99" t="s">
        <v>592</v>
      </c>
      <c r="U10" s="99" t="s">
        <v>592</v>
      </c>
      <c r="V10" s="99" t="s">
        <v>592</v>
      </c>
      <c r="W10" s="99">
        <v>13</v>
      </c>
      <c r="X10" s="99" t="s">
        <v>592</v>
      </c>
      <c r="Y10" s="99">
        <v>29</v>
      </c>
      <c r="Z10" s="99">
        <v>24</v>
      </c>
      <c r="AA10" s="99" t="s">
        <v>592</v>
      </c>
      <c r="AB10" s="99" t="s">
        <v>592</v>
      </c>
      <c r="AC10" s="99" t="s">
        <v>592</v>
      </c>
      <c r="AD10" s="98" t="s">
        <v>343</v>
      </c>
      <c r="AE10" s="100">
        <v>0.09650053022269353</v>
      </c>
      <c r="AF10" s="100">
        <v>0.31</v>
      </c>
      <c r="AG10" s="98">
        <v>353.4817956875221</v>
      </c>
      <c r="AH10" s="98" t="s">
        <v>592</v>
      </c>
      <c r="AI10" s="100">
        <v>0.006</v>
      </c>
      <c r="AJ10" s="100">
        <v>0.480176</v>
      </c>
      <c r="AK10" s="100">
        <v>0.583333</v>
      </c>
      <c r="AL10" s="100">
        <v>0.756378</v>
      </c>
      <c r="AM10" s="100">
        <v>0.394904</v>
      </c>
      <c r="AN10" s="100">
        <v>0.320513</v>
      </c>
      <c r="AO10" s="98">
        <v>530.2226935312831</v>
      </c>
      <c r="AP10" s="158">
        <v>0.371468811</v>
      </c>
      <c r="AQ10" s="100" t="s">
        <v>592</v>
      </c>
      <c r="AR10" s="100" t="s">
        <v>592</v>
      </c>
      <c r="AS10" s="98" t="s">
        <v>592</v>
      </c>
      <c r="AT10" s="98" t="s">
        <v>592</v>
      </c>
      <c r="AU10" s="98" t="s">
        <v>592</v>
      </c>
      <c r="AV10" s="98" t="s">
        <v>592</v>
      </c>
      <c r="AW10" s="98">
        <v>459.5263343937787</v>
      </c>
      <c r="AX10" s="98" t="s">
        <v>592</v>
      </c>
      <c r="AY10" s="98">
        <v>1025.097207493814</v>
      </c>
      <c r="AZ10" s="98">
        <v>848.356309650053</v>
      </c>
      <c r="BA10" s="100" t="s">
        <v>592</v>
      </c>
      <c r="BB10" s="100" t="s">
        <v>592</v>
      </c>
      <c r="BC10" s="100" t="s">
        <v>592</v>
      </c>
      <c r="BD10" s="158">
        <v>0.207908268</v>
      </c>
      <c r="BE10" s="158">
        <v>0.6126813125999999</v>
      </c>
      <c r="BF10" s="162">
        <v>227</v>
      </c>
      <c r="BG10" s="162">
        <v>12</v>
      </c>
      <c r="BH10" s="162">
        <v>784</v>
      </c>
      <c r="BI10" s="162">
        <v>157</v>
      </c>
      <c r="BJ10" s="162">
        <v>78</v>
      </c>
      <c r="BK10" s="97"/>
      <c r="BL10" s="97"/>
      <c r="BM10" s="97"/>
      <c r="BN10" s="97"/>
    </row>
    <row r="11" spans="1:66" ht="12.75">
      <c r="A11" s="79" t="s">
        <v>531</v>
      </c>
      <c r="B11" s="79" t="s">
        <v>287</v>
      </c>
      <c r="C11" s="79" t="s">
        <v>71</v>
      </c>
      <c r="D11" s="99">
        <v>2554</v>
      </c>
      <c r="E11" s="99">
        <v>388</v>
      </c>
      <c r="F11" s="99" t="s">
        <v>363</v>
      </c>
      <c r="G11" s="99">
        <v>6</v>
      </c>
      <c r="H11" s="99" t="s">
        <v>592</v>
      </c>
      <c r="I11" s="99">
        <v>66</v>
      </c>
      <c r="J11" s="99">
        <v>168</v>
      </c>
      <c r="K11" s="99">
        <v>154</v>
      </c>
      <c r="L11" s="99">
        <v>457</v>
      </c>
      <c r="M11" s="99">
        <v>121</v>
      </c>
      <c r="N11" s="99">
        <v>61</v>
      </c>
      <c r="O11" s="99">
        <v>41</v>
      </c>
      <c r="P11" s="159">
        <v>41</v>
      </c>
      <c r="Q11" s="99" t="s">
        <v>592</v>
      </c>
      <c r="R11" s="99">
        <v>7</v>
      </c>
      <c r="S11" s="99">
        <v>11</v>
      </c>
      <c r="T11" s="99">
        <v>10</v>
      </c>
      <c r="U11" s="99" t="s">
        <v>592</v>
      </c>
      <c r="V11" s="99">
        <v>12</v>
      </c>
      <c r="W11" s="99">
        <v>14</v>
      </c>
      <c r="X11" s="99" t="s">
        <v>592</v>
      </c>
      <c r="Y11" s="99">
        <v>15</v>
      </c>
      <c r="Z11" s="99" t="s">
        <v>592</v>
      </c>
      <c r="AA11" s="99" t="s">
        <v>592</v>
      </c>
      <c r="AB11" s="99" t="s">
        <v>592</v>
      </c>
      <c r="AC11" s="99" t="s">
        <v>592</v>
      </c>
      <c r="AD11" s="98" t="s">
        <v>343</v>
      </c>
      <c r="AE11" s="100">
        <v>0.1519185591229444</v>
      </c>
      <c r="AF11" s="100">
        <v>0.18</v>
      </c>
      <c r="AG11" s="98">
        <v>234.92560689115115</v>
      </c>
      <c r="AH11" s="98" t="s">
        <v>592</v>
      </c>
      <c r="AI11" s="100">
        <v>0.026000000000000002</v>
      </c>
      <c r="AJ11" s="100">
        <v>0.646154</v>
      </c>
      <c r="AK11" s="100">
        <v>0.636364</v>
      </c>
      <c r="AL11" s="100">
        <v>0.652857</v>
      </c>
      <c r="AM11" s="100">
        <v>0.44</v>
      </c>
      <c r="AN11" s="100">
        <v>0.445255</v>
      </c>
      <c r="AO11" s="98">
        <v>1605.324980422866</v>
      </c>
      <c r="AP11" s="158">
        <v>0.9182478333</v>
      </c>
      <c r="AQ11" s="100" t="s">
        <v>592</v>
      </c>
      <c r="AR11" s="100" t="s">
        <v>592</v>
      </c>
      <c r="AS11" s="98">
        <v>430.6969459671104</v>
      </c>
      <c r="AT11" s="98">
        <v>391.54267815191855</v>
      </c>
      <c r="AU11" s="98" t="s">
        <v>592</v>
      </c>
      <c r="AV11" s="98">
        <v>469.8512137823023</v>
      </c>
      <c r="AW11" s="98">
        <v>548.159749412686</v>
      </c>
      <c r="AX11" s="98" t="s">
        <v>592</v>
      </c>
      <c r="AY11" s="98">
        <v>587.3140172278778</v>
      </c>
      <c r="AZ11" s="98" t="s">
        <v>592</v>
      </c>
      <c r="BA11" s="100" t="s">
        <v>592</v>
      </c>
      <c r="BB11" s="100" t="s">
        <v>592</v>
      </c>
      <c r="BC11" s="100" t="s">
        <v>592</v>
      </c>
      <c r="BD11" s="158">
        <v>0.6589505004999999</v>
      </c>
      <c r="BE11" s="158">
        <v>1.245706863</v>
      </c>
      <c r="BF11" s="162">
        <v>260</v>
      </c>
      <c r="BG11" s="162">
        <v>242</v>
      </c>
      <c r="BH11" s="162">
        <v>700</v>
      </c>
      <c r="BI11" s="162">
        <v>275</v>
      </c>
      <c r="BJ11" s="162">
        <v>137</v>
      </c>
      <c r="BK11" s="97"/>
      <c r="BL11" s="97"/>
      <c r="BM11" s="97"/>
      <c r="BN11" s="97"/>
    </row>
    <row r="12" spans="1:66" ht="12.75">
      <c r="A12" s="79" t="s">
        <v>561</v>
      </c>
      <c r="B12" s="79" t="s">
        <v>318</v>
      </c>
      <c r="C12" s="79" t="s">
        <v>71</v>
      </c>
      <c r="D12" s="99">
        <v>3324</v>
      </c>
      <c r="E12" s="99">
        <v>450</v>
      </c>
      <c r="F12" s="99" t="s">
        <v>364</v>
      </c>
      <c r="G12" s="99">
        <v>14</v>
      </c>
      <c r="H12" s="99">
        <v>6</v>
      </c>
      <c r="I12" s="99">
        <v>63</v>
      </c>
      <c r="J12" s="99">
        <v>271</v>
      </c>
      <c r="K12" s="99" t="s">
        <v>592</v>
      </c>
      <c r="L12" s="99">
        <v>670</v>
      </c>
      <c r="M12" s="99">
        <v>142</v>
      </c>
      <c r="N12" s="99">
        <v>75</v>
      </c>
      <c r="O12" s="99">
        <v>76</v>
      </c>
      <c r="P12" s="159">
        <v>76</v>
      </c>
      <c r="Q12" s="99">
        <v>14</v>
      </c>
      <c r="R12" s="99">
        <v>20</v>
      </c>
      <c r="S12" s="99">
        <v>13</v>
      </c>
      <c r="T12" s="99">
        <v>9</v>
      </c>
      <c r="U12" s="99">
        <v>9</v>
      </c>
      <c r="V12" s="99">
        <v>8</v>
      </c>
      <c r="W12" s="99">
        <v>29</v>
      </c>
      <c r="X12" s="99">
        <v>14</v>
      </c>
      <c r="Y12" s="99">
        <v>35</v>
      </c>
      <c r="Z12" s="99">
        <v>24</v>
      </c>
      <c r="AA12" s="99" t="s">
        <v>592</v>
      </c>
      <c r="AB12" s="99" t="s">
        <v>592</v>
      </c>
      <c r="AC12" s="99" t="s">
        <v>592</v>
      </c>
      <c r="AD12" s="98" t="s">
        <v>343</v>
      </c>
      <c r="AE12" s="100">
        <v>0.13537906137184116</v>
      </c>
      <c r="AF12" s="100">
        <v>0.31</v>
      </c>
      <c r="AG12" s="98">
        <v>421.17930204572804</v>
      </c>
      <c r="AH12" s="98">
        <v>180.50541516245488</v>
      </c>
      <c r="AI12" s="100">
        <v>0.019</v>
      </c>
      <c r="AJ12" s="100">
        <v>0.797059</v>
      </c>
      <c r="AK12" s="100" t="s">
        <v>592</v>
      </c>
      <c r="AL12" s="100">
        <v>0.794781</v>
      </c>
      <c r="AM12" s="100">
        <v>0.491349</v>
      </c>
      <c r="AN12" s="100">
        <v>0.487013</v>
      </c>
      <c r="AO12" s="98">
        <v>2286.401925391095</v>
      </c>
      <c r="AP12" s="158">
        <v>1.3642433170000001</v>
      </c>
      <c r="AQ12" s="100">
        <v>0.18421052631578946</v>
      </c>
      <c r="AR12" s="100">
        <v>0.7</v>
      </c>
      <c r="AS12" s="98">
        <v>391.0950661853189</v>
      </c>
      <c r="AT12" s="98">
        <v>270.7581227436823</v>
      </c>
      <c r="AU12" s="98">
        <v>270.7581227436823</v>
      </c>
      <c r="AV12" s="98">
        <v>240.67388688327316</v>
      </c>
      <c r="AW12" s="98">
        <v>872.4428399518653</v>
      </c>
      <c r="AX12" s="98">
        <v>421.17930204572804</v>
      </c>
      <c r="AY12" s="98">
        <v>1052.94825511432</v>
      </c>
      <c r="AZ12" s="98">
        <v>722.0216606498195</v>
      </c>
      <c r="BA12" s="100" t="s">
        <v>592</v>
      </c>
      <c r="BB12" s="100" t="s">
        <v>592</v>
      </c>
      <c r="BC12" s="100" t="s">
        <v>592</v>
      </c>
      <c r="BD12" s="158">
        <v>1.074868546</v>
      </c>
      <c r="BE12" s="158">
        <v>1.7075538639999999</v>
      </c>
      <c r="BF12" s="162">
        <v>340</v>
      </c>
      <c r="BG12" s="162" t="s">
        <v>592</v>
      </c>
      <c r="BH12" s="162">
        <v>843</v>
      </c>
      <c r="BI12" s="162">
        <v>289</v>
      </c>
      <c r="BJ12" s="162">
        <v>154</v>
      </c>
      <c r="BK12" s="97"/>
      <c r="BL12" s="97"/>
      <c r="BM12" s="97"/>
      <c r="BN12" s="97"/>
    </row>
    <row r="13" spans="1:66" ht="12.75">
      <c r="A13" s="79" t="s">
        <v>562</v>
      </c>
      <c r="B13" s="79" t="s">
        <v>319</v>
      </c>
      <c r="C13" s="79" t="s">
        <v>71</v>
      </c>
      <c r="D13" s="99">
        <v>1833</v>
      </c>
      <c r="E13" s="99">
        <v>258</v>
      </c>
      <c r="F13" s="99" t="s">
        <v>366</v>
      </c>
      <c r="G13" s="99">
        <v>13</v>
      </c>
      <c r="H13" s="99">
        <v>7</v>
      </c>
      <c r="I13" s="99">
        <v>21</v>
      </c>
      <c r="J13" s="99">
        <v>168</v>
      </c>
      <c r="K13" s="99" t="s">
        <v>592</v>
      </c>
      <c r="L13" s="99">
        <v>328</v>
      </c>
      <c r="M13" s="99">
        <v>118</v>
      </c>
      <c r="N13" s="99">
        <v>54</v>
      </c>
      <c r="O13" s="99">
        <v>25</v>
      </c>
      <c r="P13" s="159">
        <v>25</v>
      </c>
      <c r="Q13" s="99">
        <v>6</v>
      </c>
      <c r="R13" s="99">
        <v>9</v>
      </c>
      <c r="S13" s="99" t="s">
        <v>592</v>
      </c>
      <c r="T13" s="99" t="s">
        <v>592</v>
      </c>
      <c r="U13" s="99" t="s">
        <v>592</v>
      </c>
      <c r="V13" s="99">
        <v>6</v>
      </c>
      <c r="W13" s="99">
        <v>6</v>
      </c>
      <c r="X13" s="99" t="s">
        <v>592</v>
      </c>
      <c r="Y13" s="99">
        <v>13</v>
      </c>
      <c r="Z13" s="99">
        <v>14</v>
      </c>
      <c r="AA13" s="99" t="s">
        <v>592</v>
      </c>
      <c r="AB13" s="99" t="s">
        <v>592</v>
      </c>
      <c r="AC13" s="99" t="s">
        <v>592</v>
      </c>
      <c r="AD13" s="98" t="s">
        <v>343</v>
      </c>
      <c r="AE13" s="100">
        <v>0.1407528641571195</v>
      </c>
      <c r="AF13" s="100">
        <v>0.17</v>
      </c>
      <c r="AG13" s="98">
        <v>709.2198581560284</v>
      </c>
      <c r="AH13" s="98">
        <v>381.88761593016915</v>
      </c>
      <c r="AI13" s="100">
        <v>0.011000000000000001</v>
      </c>
      <c r="AJ13" s="100">
        <v>0.694215</v>
      </c>
      <c r="AK13" s="100" t="s">
        <v>592</v>
      </c>
      <c r="AL13" s="100">
        <v>0.654691</v>
      </c>
      <c r="AM13" s="100">
        <v>0.59596</v>
      </c>
      <c r="AN13" s="100">
        <v>0.574468</v>
      </c>
      <c r="AO13" s="98">
        <v>1363.884342607747</v>
      </c>
      <c r="AP13" s="158">
        <v>0.7344717407</v>
      </c>
      <c r="AQ13" s="100">
        <v>0.24</v>
      </c>
      <c r="AR13" s="100">
        <v>0.6666666666666666</v>
      </c>
      <c r="AS13" s="98" t="s">
        <v>592</v>
      </c>
      <c r="AT13" s="98" t="s">
        <v>592</v>
      </c>
      <c r="AU13" s="98" t="s">
        <v>592</v>
      </c>
      <c r="AV13" s="98">
        <v>327.33224222585926</v>
      </c>
      <c r="AW13" s="98">
        <v>327.33224222585926</v>
      </c>
      <c r="AX13" s="98" t="s">
        <v>592</v>
      </c>
      <c r="AY13" s="98">
        <v>709.2198581560284</v>
      </c>
      <c r="AZ13" s="98">
        <v>763.7752318603383</v>
      </c>
      <c r="BA13" s="100" t="s">
        <v>592</v>
      </c>
      <c r="BB13" s="100" t="s">
        <v>592</v>
      </c>
      <c r="BC13" s="100" t="s">
        <v>592</v>
      </c>
      <c r="BD13" s="158">
        <v>0.47531135560000004</v>
      </c>
      <c r="BE13" s="158">
        <v>1.0842251589999998</v>
      </c>
      <c r="BF13" s="162">
        <v>242</v>
      </c>
      <c r="BG13" s="162" t="s">
        <v>592</v>
      </c>
      <c r="BH13" s="162">
        <v>501</v>
      </c>
      <c r="BI13" s="162">
        <v>198</v>
      </c>
      <c r="BJ13" s="162">
        <v>94</v>
      </c>
      <c r="BK13" s="97"/>
      <c r="BL13" s="97"/>
      <c r="BM13" s="97"/>
      <c r="BN13" s="97"/>
    </row>
    <row r="14" spans="1:66" ht="12.75">
      <c r="A14" s="79" t="s">
        <v>538</v>
      </c>
      <c r="B14" s="79" t="s">
        <v>294</v>
      </c>
      <c r="C14" s="79" t="s">
        <v>71</v>
      </c>
      <c r="D14" s="99">
        <v>12082</v>
      </c>
      <c r="E14" s="99">
        <v>1905</v>
      </c>
      <c r="F14" s="99" t="s">
        <v>366</v>
      </c>
      <c r="G14" s="99">
        <v>56</v>
      </c>
      <c r="H14" s="99">
        <v>39</v>
      </c>
      <c r="I14" s="99">
        <v>189</v>
      </c>
      <c r="J14" s="99">
        <v>1098</v>
      </c>
      <c r="K14" s="99">
        <v>7</v>
      </c>
      <c r="L14" s="99">
        <v>2681</v>
      </c>
      <c r="M14" s="99">
        <v>741</v>
      </c>
      <c r="N14" s="99">
        <v>373</v>
      </c>
      <c r="O14" s="99">
        <v>174</v>
      </c>
      <c r="P14" s="159">
        <v>174</v>
      </c>
      <c r="Q14" s="99">
        <v>26</v>
      </c>
      <c r="R14" s="99">
        <v>57</v>
      </c>
      <c r="S14" s="99">
        <v>31</v>
      </c>
      <c r="T14" s="99">
        <v>35</v>
      </c>
      <c r="U14" s="99">
        <v>10</v>
      </c>
      <c r="V14" s="99">
        <v>24</v>
      </c>
      <c r="W14" s="99">
        <v>98</v>
      </c>
      <c r="X14" s="99">
        <v>42</v>
      </c>
      <c r="Y14" s="99">
        <v>121</v>
      </c>
      <c r="Z14" s="99">
        <v>66</v>
      </c>
      <c r="AA14" s="99" t="s">
        <v>592</v>
      </c>
      <c r="AB14" s="99" t="s">
        <v>592</v>
      </c>
      <c r="AC14" s="99" t="s">
        <v>592</v>
      </c>
      <c r="AD14" s="98" t="s">
        <v>343</v>
      </c>
      <c r="AE14" s="100">
        <v>0.1576725707664294</v>
      </c>
      <c r="AF14" s="100">
        <v>0.15</v>
      </c>
      <c r="AG14" s="98">
        <v>463.4994206257242</v>
      </c>
      <c r="AH14" s="98">
        <v>322.79423936434364</v>
      </c>
      <c r="AI14" s="100">
        <v>0.016</v>
      </c>
      <c r="AJ14" s="100">
        <v>0.707019</v>
      </c>
      <c r="AK14" s="100">
        <v>0.4375</v>
      </c>
      <c r="AL14" s="100">
        <v>0.802454</v>
      </c>
      <c r="AM14" s="100">
        <v>0.598546</v>
      </c>
      <c r="AN14" s="100">
        <v>0.609477</v>
      </c>
      <c r="AO14" s="98">
        <v>1440.1589140870717</v>
      </c>
      <c r="AP14" s="158">
        <v>0.7672263336</v>
      </c>
      <c r="AQ14" s="100">
        <v>0.14942528735632185</v>
      </c>
      <c r="AR14" s="100">
        <v>0.45614035087719296</v>
      </c>
      <c r="AS14" s="98">
        <v>256.58003641781164</v>
      </c>
      <c r="AT14" s="98">
        <v>289.6871378910776</v>
      </c>
      <c r="AU14" s="98">
        <v>82.76775368316504</v>
      </c>
      <c r="AV14" s="98">
        <v>198.6426088395961</v>
      </c>
      <c r="AW14" s="98">
        <v>811.1239860950174</v>
      </c>
      <c r="AX14" s="98">
        <v>347.62456546929315</v>
      </c>
      <c r="AY14" s="98">
        <v>1001.489819566297</v>
      </c>
      <c r="AZ14" s="98">
        <v>546.2671743088893</v>
      </c>
      <c r="BA14" s="100" t="s">
        <v>592</v>
      </c>
      <c r="BB14" s="100" t="s">
        <v>592</v>
      </c>
      <c r="BC14" s="100" t="s">
        <v>592</v>
      </c>
      <c r="BD14" s="158">
        <v>0.6574604797000001</v>
      </c>
      <c r="BE14" s="158">
        <v>0.890078125</v>
      </c>
      <c r="BF14" s="162">
        <v>1553</v>
      </c>
      <c r="BG14" s="162">
        <v>16</v>
      </c>
      <c r="BH14" s="162">
        <v>3341</v>
      </c>
      <c r="BI14" s="162">
        <v>1238</v>
      </c>
      <c r="BJ14" s="162">
        <v>612</v>
      </c>
      <c r="BK14" s="97"/>
      <c r="BL14" s="97"/>
      <c r="BM14" s="97"/>
      <c r="BN14" s="97"/>
    </row>
    <row r="15" spans="1:66" ht="12.75">
      <c r="A15" s="79" t="s">
        <v>566</v>
      </c>
      <c r="B15" s="79" t="s">
        <v>323</v>
      </c>
      <c r="C15" s="79" t="s">
        <v>71</v>
      </c>
      <c r="D15" s="99">
        <v>2469</v>
      </c>
      <c r="E15" s="99">
        <v>142</v>
      </c>
      <c r="F15" s="99" t="s">
        <v>364</v>
      </c>
      <c r="G15" s="99">
        <v>7</v>
      </c>
      <c r="H15" s="99" t="s">
        <v>592</v>
      </c>
      <c r="I15" s="99">
        <v>11</v>
      </c>
      <c r="J15" s="99">
        <v>90</v>
      </c>
      <c r="K15" s="99" t="s">
        <v>592</v>
      </c>
      <c r="L15" s="99">
        <v>503</v>
      </c>
      <c r="M15" s="99">
        <v>54</v>
      </c>
      <c r="N15" s="99">
        <v>31</v>
      </c>
      <c r="O15" s="99">
        <v>24</v>
      </c>
      <c r="P15" s="159">
        <v>24</v>
      </c>
      <c r="Q15" s="99" t="s">
        <v>592</v>
      </c>
      <c r="R15" s="99">
        <v>6</v>
      </c>
      <c r="S15" s="99" t="s">
        <v>592</v>
      </c>
      <c r="T15" s="99" t="s">
        <v>592</v>
      </c>
      <c r="U15" s="99" t="s">
        <v>592</v>
      </c>
      <c r="V15" s="99">
        <v>6</v>
      </c>
      <c r="W15" s="99">
        <v>16</v>
      </c>
      <c r="X15" s="99">
        <v>8</v>
      </c>
      <c r="Y15" s="99">
        <v>23</v>
      </c>
      <c r="Z15" s="99">
        <v>24</v>
      </c>
      <c r="AA15" s="99" t="s">
        <v>592</v>
      </c>
      <c r="AB15" s="99" t="s">
        <v>592</v>
      </c>
      <c r="AC15" s="99" t="s">
        <v>592</v>
      </c>
      <c r="AD15" s="98" t="s">
        <v>343</v>
      </c>
      <c r="AE15" s="100">
        <v>0.05751316322397732</v>
      </c>
      <c r="AF15" s="100">
        <v>0.31</v>
      </c>
      <c r="AG15" s="98">
        <v>283.51559335763466</v>
      </c>
      <c r="AH15" s="98" t="s">
        <v>592</v>
      </c>
      <c r="AI15" s="100">
        <v>0.004</v>
      </c>
      <c r="AJ15" s="100">
        <v>0.514286</v>
      </c>
      <c r="AK15" s="100" t="s">
        <v>592</v>
      </c>
      <c r="AL15" s="100">
        <v>0.812601</v>
      </c>
      <c r="AM15" s="100">
        <v>0.432</v>
      </c>
      <c r="AN15" s="100">
        <v>0.449275</v>
      </c>
      <c r="AO15" s="98">
        <v>972.0534629404617</v>
      </c>
      <c r="AP15" s="158">
        <v>0.7861096191</v>
      </c>
      <c r="AQ15" s="100" t="s">
        <v>592</v>
      </c>
      <c r="AR15" s="100" t="s">
        <v>592</v>
      </c>
      <c r="AS15" s="98" t="s">
        <v>592</v>
      </c>
      <c r="AT15" s="98" t="s">
        <v>592</v>
      </c>
      <c r="AU15" s="98" t="s">
        <v>592</v>
      </c>
      <c r="AV15" s="98">
        <v>243.01336573511543</v>
      </c>
      <c r="AW15" s="98">
        <v>648.0356419603078</v>
      </c>
      <c r="AX15" s="98">
        <v>324.0178209801539</v>
      </c>
      <c r="AY15" s="98">
        <v>931.5512353179425</v>
      </c>
      <c r="AZ15" s="98">
        <v>972.0534629404617</v>
      </c>
      <c r="BA15" s="100" t="s">
        <v>592</v>
      </c>
      <c r="BB15" s="100" t="s">
        <v>592</v>
      </c>
      <c r="BC15" s="100" t="s">
        <v>592</v>
      </c>
      <c r="BD15" s="158">
        <v>0.5036752319</v>
      </c>
      <c r="BE15" s="158">
        <v>1.1696687319999999</v>
      </c>
      <c r="BF15" s="162">
        <v>175</v>
      </c>
      <c r="BG15" s="162" t="s">
        <v>592</v>
      </c>
      <c r="BH15" s="162">
        <v>619</v>
      </c>
      <c r="BI15" s="162">
        <v>125</v>
      </c>
      <c r="BJ15" s="162">
        <v>69</v>
      </c>
      <c r="BK15" s="97"/>
      <c r="BL15" s="97"/>
      <c r="BM15" s="97"/>
      <c r="BN15" s="97"/>
    </row>
    <row r="16" spans="1:66" ht="12.75">
      <c r="A16" s="79" t="s">
        <v>570</v>
      </c>
      <c r="B16" s="79" t="s">
        <v>327</v>
      </c>
      <c r="C16" s="79" t="s">
        <v>71</v>
      </c>
      <c r="D16" s="99">
        <v>4952</v>
      </c>
      <c r="E16" s="99">
        <v>264</v>
      </c>
      <c r="F16" s="99" t="s">
        <v>364</v>
      </c>
      <c r="G16" s="99">
        <v>9</v>
      </c>
      <c r="H16" s="99" t="s">
        <v>592</v>
      </c>
      <c r="I16" s="99">
        <v>28</v>
      </c>
      <c r="J16" s="99">
        <v>204</v>
      </c>
      <c r="K16" s="99" t="s">
        <v>592</v>
      </c>
      <c r="L16" s="99">
        <v>893</v>
      </c>
      <c r="M16" s="99">
        <v>94</v>
      </c>
      <c r="N16" s="99">
        <v>42</v>
      </c>
      <c r="O16" s="99">
        <v>39</v>
      </c>
      <c r="P16" s="159">
        <v>39</v>
      </c>
      <c r="Q16" s="99" t="s">
        <v>592</v>
      </c>
      <c r="R16" s="99">
        <v>10</v>
      </c>
      <c r="S16" s="99">
        <v>8</v>
      </c>
      <c r="T16" s="99" t="s">
        <v>592</v>
      </c>
      <c r="U16" s="99" t="s">
        <v>592</v>
      </c>
      <c r="V16" s="99">
        <v>6</v>
      </c>
      <c r="W16" s="99">
        <v>12</v>
      </c>
      <c r="X16" s="99">
        <v>9</v>
      </c>
      <c r="Y16" s="99">
        <v>24</v>
      </c>
      <c r="Z16" s="99">
        <v>14</v>
      </c>
      <c r="AA16" s="99" t="s">
        <v>592</v>
      </c>
      <c r="AB16" s="99" t="s">
        <v>592</v>
      </c>
      <c r="AC16" s="99" t="s">
        <v>592</v>
      </c>
      <c r="AD16" s="98" t="s">
        <v>343</v>
      </c>
      <c r="AE16" s="100">
        <v>0.05331179321486268</v>
      </c>
      <c r="AF16" s="100">
        <v>0.36</v>
      </c>
      <c r="AG16" s="98">
        <v>181.74474959612277</v>
      </c>
      <c r="AH16" s="98" t="s">
        <v>592</v>
      </c>
      <c r="AI16" s="100">
        <v>0.006</v>
      </c>
      <c r="AJ16" s="100">
        <v>0.555858</v>
      </c>
      <c r="AK16" s="100" t="s">
        <v>592</v>
      </c>
      <c r="AL16" s="100">
        <v>0.717846</v>
      </c>
      <c r="AM16" s="100">
        <v>0.391667</v>
      </c>
      <c r="AN16" s="100">
        <v>0.403846</v>
      </c>
      <c r="AO16" s="98">
        <v>787.5605815831987</v>
      </c>
      <c r="AP16" s="158">
        <v>0.6436504364</v>
      </c>
      <c r="AQ16" s="100" t="s">
        <v>592</v>
      </c>
      <c r="AR16" s="100" t="s">
        <v>592</v>
      </c>
      <c r="AS16" s="98">
        <v>161.55088852988692</v>
      </c>
      <c r="AT16" s="98" t="s">
        <v>592</v>
      </c>
      <c r="AU16" s="98" t="s">
        <v>592</v>
      </c>
      <c r="AV16" s="98">
        <v>121.16316639741518</v>
      </c>
      <c r="AW16" s="98">
        <v>242.32633279483036</v>
      </c>
      <c r="AX16" s="98">
        <v>181.74474959612277</v>
      </c>
      <c r="AY16" s="98">
        <v>484.6526655896607</v>
      </c>
      <c r="AZ16" s="98">
        <v>282.7140549273021</v>
      </c>
      <c r="BA16" s="100" t="s">
        <v>592</v>
      </c>
      <c r="BB16" s="100" t="s">
        <v>592</v>
      </c>
      <c r="BC16" s="100" t="s">
        <v>592</v>
      </c>
      <c r="BD16" s="158">
        <v>0.4576984024</v>
      </c>
      <c r="BE16" s="158">
        <v>0.8798913573999999</v>
      </c>
      <c r="BF16" s="162">
        <v>367</v>
      </c>
      <c r="BG16" s="162" t="s">
        <v>592</v>
      </c>
      <c r="BH16" s="162">
        <v>1244</v>
      </c>
      <c r="BI16" s="162">
        <v>240</v>
      </c>
      <c r="BJ16" s="162">
        <v>104</v>
      </c>
      <c r="BK16" s="97"/>
      <c r="BL16" s="97"/>
      <c r="BM16" s="97"/>
      <c r="BN16" s="97"/>
    </row>
    <row r="17" spans="1:66" ht="12.75">
      <c r="A17" s="79" t="s">
        <v>533</v>
      </c>
      <c r="B17" s="79" t="s">
        <v>289</v>
      </c>
      <c r="C17" s="79" t="s">
        <v>71</v>
      </c>
      <c r="D17" s="99">
        <v>6100</v>
      </c>
      <c r="E17" s="99">
        <v>1165</v>
      </c>
      <c r="F17" s="99" t="s">
        <v>365</v>
      </c>
      <c r="G17" s="99">
        <v>22</v>
      </c>
      <c r="H17" s="99">
        <v>11</v>
      </c>
      <c r="I17" s="99">
        <v>76</v>
      </c>
      <c r="J17" s="99">
        <v>447</v>
      </c>
      <c r="K17" s="99">
        <v>15</v>
      </c>
      <c r="L17" s="99">
        <v>1051</v>
      </c>
      <c r="M17" s="99">
        <v>350</v>
      </c>
      <c r="N17" s="99">
        <v>183</v>
      </c>
      <c r="O17" s="99">
        <v>135</v>
      </c>
      <c r="P17" s="159">
        <v>135</v>
      </c>
      <c r="Q17" s="99">
        <v>6</v>
      </c>
      <c r="R17" s="99">
        <v>23</v>
      </c>
      <c r="S17" s="99">
        <v>29</v>
      </c>
      <c r="T17" s="99">
        <v>24</v>
      </c>
      <c r="U17" s="99" t="s">
        <v>592</v>
      </c>
      <c r="V17" s="99">
        <v>29</v>
      </c>
      <c r="W17" s="99">
        <v>51</v>
      </c>
      <c r="X17" s="99">
        <v>27</v>
      </c>
      <c r="Y17" s="99">
        <v>64</v>
      </c>
      <c r="Z17" s="99">
        <v>24</v>
      </c>
      <c r="AA17" s="99" t="s">
        <v>592</v>
      </c>
      <c r="AB17" s="99" t="s">
        <v>592</v>
      </c>
      <c r="AC17" s="99" t="s">
        <v>592</v>
      </c>
      <c r="AD17" s="98" t="s">
        <v>343</v>
      </c>
      <c r="AE17" s="100">
        <v>0.19098360655737706</v>
      </c>
      <c r="AF17" s="100">
        <v>0.1</v>
      </c>
      <c r="AG17" s="98">
        <v>360.655737704918</v>
      </c>
      <c r="AH17" s="98">
        <v>180.327868852459</v>
      </c>
      <c r="AI17" s="100">
        <v>0.012</v>
      </c>
      <c r="AJ17" s="100">
        <v>0.603239</v>
      </c>
      <c r="AK17" s="100">
        <v>0.6</v>
      </c>
      <c r="AL17" s="100">
        <v>0.689633</v>
      </c>
      <c r="AM17" s="100">
        <v>0.523169</v>
      </c>
      <c r="AN17" s="100">
        <v>0.543027</v>
      </c>
      <c r="AO17" s="98">
        <v>2213.1147540983607</v>
      </c>
      <c r="AP17" s="158">
        <v>1.112413788</v>
      </c>
      <c r="AQ17" s="100">
        <v>0.044444444444444446</v>
      </c>
      <c r="AR17" s="100">
        <v>0.2608695652173913</v>
      </c>
      <c r="AS17" s="98">
        <v>475.40983606557376</v>
      </c>
      <c r="AT17" s="98">
        <v>393.44262295081967</v>
      </c>
      <c r="AU17" s="98" t="s">
        <v>592</v>
      </c>
      <c r="AV17" s="98">
        <v>475.40983606557376</v>
      </c>
      <c r="AW17" s="98">
        <v>836.0655737704918</v>
      </c>
      <c r="AX17" s="98">
        <v>442.62295081967216</v>
      </c>
      <c r="AY17" s="98">
        <v>1049.1803278688524</v>
      </c>
      <c r="AZ17" s="98">
        <v>393.44262295081967</v>
      </c>
      <c r="BA17" s="100" t="s">
        <v>592</v>
      </c>
      <c r="BB17" s="100" t="s">
        <v>592</v>
      </c>
      <c r="BC17" s="100" t="s">
        <v>592</v>
      </c>
      <c r="BD17" s="158">
        <v>0.9326864624</v>
      </c>
      <c r="BE17" s="158">
        <v>1.3166763309999998</v>
      </c>
      <c r="BF17" s="162">
        <v>741</v>
      </c>
      <c r="BG17" s="162">
        <v>25</v>
      </c>
      <c r="BH17" s="162">
        <v>1524</v>
      </c>
      <c r="BI17" s="162">
        <v>669</v>
      </c>
      <c r="BJ17" s="162">
        <v>337</v>
      </c>
      <c r="BK17" s="97"/>
      <c r="BL17" s="97"/>
      <c r="BM17" s="97"/>
      <c r="BN17" s="97"/>
    </row>
    <row r="18" spans="1:66" ht="12.75">
      <c r="A18" s="79" t="s">
        <v>549</v>
      </c>
      <c r="B18" s="79" t="s">
        <v>306</v>
      </c>
      <c r="C18" s="79" t="s">
        <v>71</v>
      </c>
      <c r="D18" s="99">
        <v>3473</v>
      </c>
      <c r="E18" s="99">
        <v>526</v>
      </c>
      <c r="F18" s="99" t="s">
        <v>363</v>
      </c>
      <c r="G18" s="99">
        <v>10</v>
      </c>
      <c r="H18" s="99" t="s">
        <v>592</v>
      </c>
      <c r="I18" s="99">
        <v>55</v>
      </c>
      <c r="J18" s="99">
        <v>341</v>
      </c>
      <c r="K18" s="99">
        <v>329</v>
      </c>
      <c r="L18" s="99">
        <v>776</v>
      </c>
      <c r="M18" s="99">
        <v>197</v>
      </c>
      <c r="N18" s="99">
        <v>97</v>
      </c>
      <c r="O18" s="99">
        <v>68</v>
      </c>
      <c r="P18" s="159">
        <v>68</v>
      </c>
      <c r="Q18" s="99">
        <v>8</v>
      </c>
      <c r="R18" s="99">
        <v>21</v>
      </c>
      <c r="S18" s="99">
        <v>11</v>
      </c>
      <c r="T18" s="99">
        <v>11</v>
      </c>
      <c r="U18" s="99" t="s">
        <v>592</v>
      </c>
      <c r="V18" s="99">
        <v>13</v>
      </c>
      <c r="W18" s="99">
        <v>23</v>
      </c>
      <c r="X18" s="99">
        <v>14</v>
      </c>
      <c r="Y18" s="99">
        <v>39</v>
      </c>
      <c r="Z18" s="99">
        <v>22</v>
      </c>
      <c r="AA18" s="99" t="s">
        <v>592</v>
      </c>
      <c r="AB18" s="99" t="s">
        <v>592</v>
      </c>
      <c r="AC18" s="99" t="s">
        <v>592</v>
      </c>
      <c r="AD18" s="98" t="s">
        <v>343</v>
      </c>
      <c r="AE18" s="100">
        <v>0.15145407428735963</v>
      </c>
      <c r="AF18" s="100">
        <v>0.18</v>
      </c>
      <c r="AG18" s="98">
        <v>287.93550244745177</v>
      </c>
      <c r="AH18" s="98" t="s">
        <v>592</v>
      </c>
      <c r="AI18" s="100">
        <v>0.016</v>
      </c>
      <c r="AJ18" s="100">
        <v>0.768018</v>
      </c>
      <c r="AK18" s="100">
        <v>0.779621</v>
      </c>
      <c r="AL18" s="100">
        <v>0.806653</v>
      </c>
      <c r="AM18" s="100">
        <v>0.550279</v>
      </c>
      <c r="AN18" s="100">
        <v>0.577381</v>
      </c>
      <c r="AO18" s="98">
        <v>1957.961416642672</v>
      </c>
      <c r="AP18" s="158">
        <v>1.065467377</v>
      </c>
      <c r="AQ18" s="100">
        <v>0.11764705882352941</v>
      </c>
      <c r="AR18" s="100">
        <v>0.38095238095238093</v>
      </c>
      <c r="AS18" s="98">
        <v>316.72905269219694</v>
      </c>
      <c r="AT18" s="98">
        <v>316.72905269219694</v>
      </c>
      <c r="AU18" s="98" t="s">
        <v>592</v>
      </c>
      <c r="AV18" s="98">
        <v>374.3161531816873</v>
      </c>
      <c r="AW18" s="98">
        <v>662.2516556291391</v>
      </c>
      <c r="AX18" s="98">
        <v>403.1097034264325</v>
      </c>
      <c r="AY18" s="98">
        <v>1122.948459545062</v>
      </c>
      <c r="AZ18" s="98">
        <v>633.4581053843939</v>
      </c>
      <c r="BA18" s="100" t="s">
        <v>592</v>
      </c>
      <c r="BB18" s="100" t="s">
        <v>592</v>
      </c>
      <c r="BC18" s="100" t="s">
        <v>592</v>
      </c>
      <c r="BD18" s="158">
        <v>0.8273770905000001</v>
      </c>
      <c r="BE18" s="158">
        <v>1.3507337949999998</v>
      </c>
      <c r="BF18" s="162">
        <v>444</v>
      </c>
      <c r="BG18" s="162">
        <v>422</v>
      </c>
      <c r="BH18" s="162">
        <v>962</v>
      </c>
      <c r="BI18" s="162">
        <v>358</v>
      </c>
      <c r="BJ18" s="162">
        <v>168</v>
      </c>
      <c r="BK18" s="97"/>
      <c r="BL18" s="97"/>
      <c r="BM18" s="97"/>
      <c r="BN18" s="97"/>
    </row>
    <row r="19" spans="1:66" ht="12.75">
      <c r="A19" s="79" t="s">
        <v>571</v>
      </c>
      <c r="B19" s="79" t="s">
        <v>328</v>
      </c>
      <c r="C19" s="79" t="s">
        <v>71</v>
      </c>
      <c r="D19" s="99">
        <v>5924</v>
      </c>
      <c r="E19" s="99">
        <v>405</v>
      </c>
      <c r="F19" s="99" t="s">
        <v>364</v>
      </c>
      <c r="G19" s="99">
        <v>17</v>
      </c>
      <c r="H19" s="99">
        <v>11</v>
      </c>
      <c r="I19" s="99">
        <v>76</v>
      </c>
      <c r="J19" s="99">
        <v>236</v>
      </c>
      <c r="K19" s="99" t="s">
        <v>592</v>
      </c>
      <c r="L19" s="99">
        <v>1181</v>
      </c>
      <c r="M19" s="99">
        <v>116</v>
      </c>
      <c r="N19" s="99">
        <v>65</v>
      </c>
      <c r="O19" s="99">
        <v>63</v>
      </c>
      <c r="P19" s="159">
        <v>63</v>
      </c>
      <c r="Q19" s="99">
        <v>8</v>
      </c>
      <c r="R19" s="99">
        <v>20</v>
      </c>
      <c r="S19" s="99">
        <v>22</v>
      </c>
      <c r="T19" s="99" t="s">
        <v>592</v>
      </c>
      <c r="U19" s="99" t="s">
        <v>592</v>
      </c>
      <c r="V19" s="99" t="s">
        <v>592</v>
      </c>
      <c r="W19" s="99">
        <v>26</v>
      </c>
      <c r="X19" s="99">
        <v>16</v>
      </c>
      <c r="Y19" s="99">
        <v>53</v>
      </c>
      <c r="Z19" s="99">
        <v>23</v>
      </c>
      <c r="AA19" s="99" t="s">
        <v>592</v>
      </c>
      <c r="AB19" s="99" t="s">
        <v>592</v>
      </c>
      <c r="AC19" s="99" t="s">
        <v>592</v>
      </c>
      <c r="AD19" s="98" t="s">
        <v>343</v>
      </c>
      <c r="AE19" s="100">
        <v>0.06836596893990547</v>
      </c>
      <c r="AF19" s="100">
        <v>0.34</v>
      </c>
      <c r="AG19" s="98">
        <v>286.96826468602296</v>
      </c>
      <c r="AH19" s="98">
        <v>185.68534773801485</v>
      </c>
      <c r="AI19" s="100">
        <v>0.013000000000000001</v>
      </c>
      <c r="AJ19" s="100">
        <v>0.514161</v>
      </c>
      <c r="AK19" s="100" t="s">
        <v>592</v>
      </c>
      <c r="AL19" s="100">
        <v>0.75851</v>
      </c>
      <c r="AM19" s="100">
        <v>0.394558</v>
      </c>
      <c r="AN19" s="100">
        <v>0.40625</v>
      </c>
      <c r="AO19" s="98">
        <v>1063.470627954085</v>
      </c>
      <c r="AP19" s="158">
        <v>0.8230286407</v>
      </c>
      <c r="AQ19" s="100">
        <v>0.12698412698412698</v>
      </c>
      <c r="AR19" s="100">
        <v>0.4</v>
      </c>
      <c r="AS19" s="98">
        <v>371.3706954760297</v>
      </c>
      <c r="AT19" s="98" t="s">
        <v>592</v>
      </c>
      <c r="AU19" s="98" t="s">
        <v>592</v>
      </c>
      <c r="AV19" s="98" t="s">
        <v>592</v>
      </c>
      <c r="AW19" s="98">
        <v>438.8926401080351</v>
      </c>
      <c r="AX19" s="98">
        <v>270.0877785280216</v>
      </c>
      <c r="AY19" s="98">
        <v>894.6657663740716</v>
      </c>
      <c r="AZ19" s="98">
        <v>388.25118163403107</v>
      </c>
      <c r="BA19" s="100" t="s">
        <v>592</v>
      </c>
      <c r="BB19" s="100" t="s">
        <v>592</v>
      </c>
      <c r="BC19" s="100" t="s">
        <v>592</v>
      </c>
      <c r="BD19" s="158">
        <v>0.6324378204</v>
      </c>
      <c r="BE19" s="158">
        <v>1.053011169</v>
      </c>
      <c r="BF19" s="162">
        <v>459</v>
      </c>
      <c r="BG19" s="162" t="s">
        <v>592</v>
      </c>
      <c r="BH19" s="162">
        <v>1557</v>
      </c>
      <c r="BI19" s="162">
        <v>294</v>
      </c>
      <c r="BJ19" s="162">
        <v>160</v>
      </c>
      <c r="BK19" s="97"/>
      <c r="BL19" s="97"/>
      <c r="BM19" s="97"/>
      <c r="BN19" s="97"/>
    </row>
    <row r="20" spans="1:66" ht="12.75">
      <c r="A20" s="79" t="s">
        <v>536</v>
      </c>
      <c r="B20" s="79" t="s">
        <v>292</v>
      </c>
      <c r="C20" s="79" t="s">
        <v>71</v>
      </c>
      <c r="D20" s="99">
        <v>2190</v>
      </c>
      <c r="E20" s="99">
        <v>293</v>
      </c>
      <c r="F20" s="99" t="s">
        <v>364</v>
      </c>
      <c r="G20" s="99">
        <v>8</v>
      </c>
      <c r="H20" s="99" t="s">
        <v>592</v>
      </c>
      <c r="I20" s="99">
        <v>36</v>
      </c>
      <c r="J20" s="99">
        <v>158</v>
      </c>
      <c r="K20" s="99" t="s">
        <v>592</v>
      </c>
      <c r="L20" s="99">
        <v>439</v>
      </c>
      <c r="M20" s="99">
        <v>84</v>
      </c>
      <c r="N20" s="99">
        <v>39</v>
      </c>
      <c r="O20" s="99">
        <v>13</v>
      </c>
      <c r="P20" s="159">
        <v>13</v>
      </c>
      <c r="Q20" s="99" t="s">
        <v>592</v>
      </c>
      <c r="R20" s="99">
        <v>7</v>
      </c>
      <c r="S20" s="99" t="s">
        <v>592</v>
      </c>
      <c r="T20" s="99" t="s">
        <v>592</v>
      </c>
      <c r="U20" s="99" t="s">
        <v>592</v>
      </c>
      <c r="V20" s="99" t="s">
        <v>592</v>
      </c>
      <c r="W20" s="99">
        <v>13</v>
      </c>
      <c r="X20" s="99">
        <v>8</v>
      </c>
      <c r="Y20" s="99">
        <v>17</v>
      </c>
      <c r="Z20" s="99">
        <v>6</v>
      </c>
      <c r="AA20" s="99" t="s">
        <v>592</v>
      </c>
      <c r="AB20" s="99" t="s">
        <v>592</v>
      </c>
      <c r="AC20" s="99" t="s">
        <v>592</v>
      </c>
      <c r="AD20" s="98" t="s">
        <v>343</v>
      </c>
      <c r="AE20" s="100">
        <v>0.13378995433789953</v>
      </c>
      <c r="AF20" s="100">
        <v>0.32</v>
      </c>
      <c r="AG20" s="98">
        <v>365.29680365296804</v>
      </c>
      <c r="AH20" s="98" t="s">
        <v>592</v>
      </c>
      <c r="AI20" s="100">
        <v>0.016</v>
      </c>
      <c r="AJ20" s="100">
        <v>0.689956</v>
      </c>
      <c r="AK20" s="100" t="s">
        <v>592</v>
      </c>
      <c r="AL20" s="100">
        <v>0.833017</v>
      </c>
      <c r="AM20" s="100">
        <v>0.396226</v>
      </c>
      <c r="AN20" s="100">
        <v>0.382353</v>
      </c>
      <c r="AO20" s="98">
        <v>593.6073059360731</v>
      </c>
      <c r="AP20" s="158">
        <v>0.3711393356</v>
      </c>
      <c r="AQ20" s="100" t="s">
        <v>592</v>
      </c>
      <c r="AR20" s="100" t="s">
        <v>592</v>
      </c>
      <c r="AS20" s="98" t="s">
        <v>592</v>
      </c>
      <c r="AT20" s="98" t="s">
        <v>592</v>
      </c>
      <c r="AU20" s="98" t="s">
        <v>592</v>
      </c>
      <c r="AV20" s="98" t="s">
        <v>592</v>
      </c>
      <c r="AW20" s="98">
        <v>593.6073059360731</v>
      </c>
      <c r="AX20" s="98">
        <v>365.29680365296804</v>
      </c>
      <c r="AY20" s="98">
        <v>776.2557077625571</v>
      </c>
      <c r="AZ20" s="98">
        <v>273.972602739726</v>
      </c>
      <c r="BA20" s="100" t="s">
        <v>592</v>
      </c>
      <c r="BB20" s="100" t="s">
        <v>592</v>
      </c>
      <c r="BC20" s="100" t="s">
        <v>592</v>
      </c>
      <c r="BD20" s="158">
        <v>0.1976160622</v>
      </c>
      <c r="BE20" s="158">
        <v>0.6346595383</v>
      </c>
      <c r="BF20" s="162">
        <v>229</v>
      </c>
      <c r="BG20" s="162" t="s">
        <v>592</v>
      </c>
      <c r="BH20" s="162">
        <v>527</v>
      </c>
      <c r="BI20" s="162">
        <v>212</v>
      </c>
      <c r="BJ20" s="162">
        <v>102</v>
      </c>
      <c r="BK20" s="97"/>
      <c r="BL20" s="97"/>
      <c r="BM20" s="97"/>
      <c r="BN20" s="97"/>
    </row>
    <row r="21" spans="1:66" ht="12.75">
      <c r="A21" s="79" t="s">
        <v>584</v>
      </c>
      <c r="B21" s="79" t="s">
        <v>342</v>
      </c>
      <c r="C21" s="79" t="s">
        <v>71</v>
      </c>
      <c r="D21" s="99">
        <v>4615</v>
      </c>
      <c r="E21" s="99">
        <v>332</v>
      </c>
      <c r="F21" s="99" t="s">
        <v>364</v>
      </c>
      <c r="G21" s="99">
        <v>11</v>
      </c>
      <c r="H21" s="99">
        <v>7</v>
      </c>
      <c r="I21" s="99">
        <v>38</v>
      </c>
      <c r="J21" s="99">
        <v>184</v>
      </c>
      <c r="K21" s="99" t="s">
        <v>592</v>
      </c>
      <c r="L21" s="99">
        <v>862</v>
      </c>
      <c r="M21" s="99">
        <v>96</v>
      </c>
      <c r="N21" s="99">
        <v>47</v>
      </c>
      <c r="O21" s="99">
        <v>106</v>
      </c>
      <c r="P21" s="159">
        <v>106</v>
      </c>
      <c r="Q21" s="99">
        <v>7</v>
      </c>
      <c r="R21" s="99">
        <v>14</v>
      </c>
      <c r="S21" s="99">
        <v>9</v>
      </c>
      <c r="T21" s="99">
        <v>28</v>
      </c>
      <c r="U21" s="99" t="s">
        <v>592</v>
      </c>
      <c r="V21" s="99">
        <v>11</v>
      </c>
      <c r="W21" s="99">
        <v>29</v>
      </c>
      <c r="X21" s="99">
        <v>11</v>
      </c>
      <c r="Y21" s="99">
        <v>71</v>
      </c>
      <c r="Z21" s="99">
        <v>19</v>
      </c>
      <c r="AA21" s="99" t="s">
        <v>592</v>
      </c>
      <c r="AB21" s="99" t="s">
        <v>592</v>
      </c>
      <c r="AC21" s="99" t="s">
        <v>592</v>
      </c>
      <c r="AD21" s="98" t="s">
        <v>343</v>
      </c>
      <c r="AE21" s="100">
        <v>0.07193932827735644</v>
      </c>
      <c r="AF21" s="100">
        <v>0.4</v>
      </c>
      <c r="AG21" s="98">
        <v>238.35319609967496</v>
      </c>
      <c r="AH21" s="98">
        <v>151.67930660888408</v>
      </c>
      <c r="AI21" s="100">
        <v>0.008</v>
      </c>
      <c r="AJ21" s="100">
        <v>0.554217</v>
      </c>
      <c r="AK21" s="100" t="s">
        <v>592</v>
      </c>
      <c r="AL21" s="100">
        <v>0.750871</v>
      </c>
      <c r="AM21" s="100">
        <v>0.39834</v>
      </c>
      <c r="AN21" s="100">
        <v>0.382114</v>
      </c>
      <c r="AO21" s="98">
        <v>2296.858071505959</v>
      </c>
      <c r="AP21" s="158">
        <v>1.894375916</v>
      </c>
      <c r="AQ21" s="100">
        <v>0.0660377358490566</v>
      </c>
      <c r="AR21" s="100">
        <v>0.5</v>
      </c>
      <c r="AS21" s="98">
        <v>195.01625135427952</v>
      </c>
      <c r="AT21" s="98">
        <v>606.7172264355363</v>
      </c>
      <c r="AU21" s="98" t="s">
        <v>592</v>
      </c>
      <c r="AV21" s="98">
        <v>238.35319609967496</v>
      </c>
      <c r="AW21" s="98">
        <v>628.385698808234</v>
      </c>
      <c r="AX21" s="98">
        <v>238.35319609967496</v>
      </c>
      <c r="AY21" s="98">
        <v>1538.4615384615386</v>
      </c>
      <c r="AZ21" s="98">
        <v>411.7009750812568</v>
      </c>
      <c r="BA21" s="101" t="s">
        <v>592</v>
      </c>
      <c r="BB21" s="101" t="s">
        <v>592</v>
      </c>
      <c r="BC21" s="101" t="s">
        <v>592</v>
      </c>
      <c r="BD21" s="158">
        <v>1.550959778</v>
      </c>
      <c r="BE21" s="158">
        <v>2.2911930849999997</v>
      </c>
      <c r="BF21" s="162">
        <v>332</v>
      </c>
      <c r="BG21" s="162" t="s">
        <v>592</v>
      </c>
      <c r="BH21" s="162">
        <v>1148</v>
      </c>
      <c r="BI21" s="162">
        <v>241</v>
      </c>
      <c r="BJ21" s="162">
        <v>123</v>
      </c>
      <c r="BK21" s="97"/>
      <c r="BL21" s="97"/>
      <c r="BM21" s="97"/>
      <c r="BN21" s="97"/>
    </row>
    <row r="22" spans="1:66" ht="12.75">
      <c r="A22" s="79" t="s">
        <v>535</v>
      </c>
      <c r="B22" s="79" t="s">
        <v>291</v>
      </c>
      <c r="C22" s="79" t="s">
        <v>71</v>
      </c>
      <c r="D22" s="99">
        <v>3603</v>
      </c>
      <c r="E22" s="99">
        <v>396</v>
      </c>
      <c r="F22" s="99" t="s">
        <v>364</v>
      </c>
      <c r="G22" s="99">
        <v>18</v>
      </c>
      <c r="H22" s="99">
        <v>11</v>
      </c>
      <c r="I22" s="99">
        <v>61</v>
      </c>
      <c r="J22" s="99">
        <v>194</v>
      </c>
      <c r="K22" s="99">
        <v>6</v>
      </c>
      <c r="L22" s="99">
        <v>640</v>
      </c>
      <c r="M22" s="99">
        <v>117</v>
      </c>
      <c r="N22" s="99">
        <v>60</v>
      </c>
      <c r="O22" s="99">
        <v>65</v>
      </c>
      <c r="P22" s="159">
        <v>65</v>
      </c>
      <c r="Q22" s="99">
        <v>6</v>
      </c>
      <c r="R22" s="99">
        <v>13</v>
      </c>
      <c r="S22" s="99">
        <v>7</v>
      </c>
      <c r="T22" s="99">
        <v>13</v>
      </c>
      <c r="U22" s="99" t="s">
        <v>592</v>
      </c>
      <c r="V22" s="99" t="s">
        <v>592</v>
      </c>
      <c r="W22" s="99">
        <v>24</v>
      </c>
      <c r="X22" s="99">
        <v>12</v>
      </c>
      <c r="Y22" s="99">
        <v>59</v>
      </c>
      <c r="Z22" s="99">
        <v>17</v>
      </c>
      <c r="AA22" s="99" t="s">
        <v>592</v>
      </c>
      <c r="AB22" s="99" t="s">
        <v>592</v>
      </c>
      <c r="AC22" s="99" t="s">
        <v>592</v>
      </c>
      <c r="AD22" s="98" t="s">
        <v>343</v>
      </c>
      <c r="AE22" s="100">
        <v>0.10990840965861781</v>
      </c>
      <c r="AF22" s="100">
        <v>0.31</v>
      </c>
      <c r="AG22" s="98">
        <v>499.5836802664446</v>
      </c>
      <c r="AH22" s="98">
        <v>305.30113794060503</v>
      </c>
      <c r="AI22" s="100">
        <v>0.017</v>
      </c>
      <c r="AJ22" s="100">
        <v>0.653199</v>
      </c>
      <c r="AK22" s="100">
        <v>0.75</v>
      </c>
      <c r="AL22" s="100">
        <v>0.777643</v>
      </c>
      <c r="AM22" s="100">
        <v>0.491597</v>
      </c>
      <c r="AN22" s="100">
        <v>0.521739</v>
      </c>
      <c r="AO22" s="98">
        <v>1804.0521787399389</v>
      </c>
      <c r="AP22" s="158">
        <v>1.267592545</v>
      </c>
      <c r="AQ22" s="100">
        <v>0.09230769230769231</v>
      </c>
      <c r="AR22" s="100">
        <v>0.46153846153846156</v>
      </c>
      <c r="AS22" s="98">
        <v>194.2825423258396</v>
      </c>
      <c r="AT22" s="98">
        <v>360.8104357479878</v>
      </c>
      <c r="AU22" s="98" t="s">
        <v>592</v>
      </c>
      <c r="AV22" s="98" t="s">
        <v>592</v>
      </c>
      <c r="AW22" s="98">
        <v>666.1115736885928</v>
      </c>
      <c r="AX22" s="98">
        <v>333.0557868442964</v>
      </c>
      <c r="AY22" s="98">
        <v>1637.5242853177908</v>
      </c>
      <c r="AZ22" s="98">
        <v>471.82903136275326</v>
      </c>
      <c r="BA22" s="100" t="s">
        <v>592</v>
      </c>
      <c r="BB22" s="100" t="s">
        <v>592</v>
      </c>
      <c r="BC22" s="100" t="s">
        <v>592</v>
      </c>
      <c r="BD22" s="158">
        <v>0.9783011627</v>
      </c>
      <c r="BE22" s="158">
        <v>1.6156507869999999</v>
      </c>
      <c r="BF22" s="162">
        <v>297</v>
      </c>
      <c r="BG22" s="162">
        <v>8</v>
      </c>
      <c r="BH22" s="162">
        <v>823</v>
      </c>
      <c r="BI22" s="162">
        <v>238</v>
      </c>
      <c r="BJ22" s="162">
        <v>115</v>
      </c>
      <c r="BK22" s="97"/>
      <c r="BL22" s="97"/>
      <c r="BM22" s="97"/>
      <c r="BN22" s="97"/>
    </row>
    <row r="23" spans="1:66" ht="12.75">
      <c r="A23" s="79" t="s">
        <v>532</v>
      </c>
      <c r="B23" s="79" t="s">
        <v>288</v>
      </c>
      <c r="C23" s="79" t="s">
        <v>71</v>
      </c>
      <c r="D23" s="99">
        <v>2931</v>
      </c>
      <c r="E23" s="99">
        <v>403</v>
      </c>
      <c r="F23" s="99" t="s">
        <v>364</v>
      </c>
      <c r="G23" s="99">
        <v>15</v>
      </c>
      <c r="H23" s="99">
        <v>6</v>
      </c>
      <c r="I23" s="99">
        <v>34</v>
      </c>
      <c r="J23" s="99">
        <v>138</v>
      </c>
      <c r="K23" s="99" t="s">
        <v>592</v>
      </c>
      <c r="L23" s="99">
        <v>951</v>
      </c>
      <c r="M23" s="99">
        <v>149</v>
      </c>
      <c r="N23" s="99">
        <v>74</v>
      </c>
      <c r="O23" s="99">
        <v>24</v>
      </c>
      <c r="P23" s="159">
        <v>24</v>
      </c>
      <c r="Q23" s="99" t="s">
        <v>592</v>
      </c>
      <c r="R23" s="99">
        <v>12</v>
      </c>
      <c r="S23" s="99" t="s">
        <v>592</v>
      </c>
      <c r="T23" s="99" t="s">
        <v>592</v>
      </c>
      <c r="U23" s="99" t="s">
        <v>592</v>
      </c>
      <c r="V23" s="99" t="s">
        <v>592</v>
      </c>
      <c r="W23" s="99">
        <v>18</v>
      </c>
      <c r="X23" s="99">
        <v>6</v>
      </c>
      <c r="Y23" s="99">
        <v>22</v>
      </c>
      <c r="Z23" s="99">
        <v>19</v>
      </c>
      <c r="AA23" s="99" t="s">
        <v>592</v>
      </c>
      <c r="AB23" s="99" t="s">
        <v>592</v>
      </c>
      <c r="AC23" s="99" t="s">
        <v>592</v>
      </c>
      <c r="AD23" s="98" t="s">
        <v>343</v>
      </c>
      <c r="AE23" s="100">
        <v>0.13749573524394404</v>
      </c>
      <c r="AF23" s="100">
        <v>0.35</v>
      </c>
      <c r="AG23" s="98">
        <v>511.77072671443193</v>
      </c>
      <c r="AH23" s="98">
        <v>204.70829068577277</v>
      </c>
      <c r="AI23" s="100">
        <v>0.012</v>
      </c>
      <c r="AJ23" s="100">
        <v>0.522727</v>
      </c>
      <c r="AK23" s="100" t="s">
        <v>592</v>
      </c>
      <c r="AL23" s="100">
        <v>0.747054</v>
      </c>
      <c r="AM23" s="100">
        <v>0.420904</v>
      </c>
      <c r="AN23" s="100">
        <v>0.418079</v>
      </c>
      <c r="AO23" s="98">
        <v>818.8331627430911</v>
      </c>
      <c r="AP23" s="158">
        <v>0.5077045059</v>
      </c>
      <c r="AQ23" s="100" t="s">
        <v>592</v>
      </c>
      <c r="AR23" s="100" t="s">
        <v>592</v>
      </c>
      <c r="AS23" s="98" t="s">
        <v>592</v>
      </c>
      <c r="AT23" s="98" t="s">
        <v>592</v>
      </c>
      <c r="AU23" s="98" t="s">
        <v>592</v>
      </c>
      <c r="AV23" s="98" t="s">
        <v>592</v>
      </c>
      <c r="AW23" s="98">
        <v>614.1248720573183</v>
      </c>
      <c r="AX23" s="98">
        <v>204.70829068577277</v>
      </c>
      <c r="AY23" s="98">
        <v>750.5970658478335</v>
      </c>
      <c r="AZ23" s="98">
        <v>648.2429205049472</v>
      </c>
      <c r="BA23" s="100" t="s">
        <v>592</v>
      </c>
      <c r="BB23" s="100" t="s">
        <v>592</v>
      </c>
      <c r="BC23" s="100" t="s">
        <v>592</v>
      </c>
      <c r="BD23" s="158">
        <v>0.32529586790000004</v>
      </c>
      <c r="BE23" s="158">
        <v>0.7554240417</v>
      </c>
      <c r="BF23" s="162">
        <v>264</v>
      </c>
      <c r="BG23" s="162" t="s">
        <v>592</v>
      </c>
      <c r="BH23" s="162">
        <v>1273</v>
      </c>
      <c r="BI23" s="162">
        <v>354</v>
      </c>
      <c r="BJ23" s="162">
        <v>177</v>
      </c>
      <c r="BK23" s="97"/>
      <c r="BL23" s="97"/>
      <c r="BM23" s="97"/>
      <c r="BN23" s="97"/>
    </row>
    <row r="24" spans="1:66" ht="12.75">
      <c r="A24" s="79" t="s">
        <v>564</v>
      </c>
      <c r="B24" s="79" t="s">
        <v>321</v>
      </c>
      <c r="C24" s="79" t="s">
        <v>71</v>
      </c>
      <c r="D24" s="99">
        <v>3702</v>
      </c>
      <c r="E24" s="99">
        <v>379</v>
      </c>
      <c r="F24" s="99" t="s">
        <v>364</v>
      </c>
      <c r="G24" s="99">
        <v>9</v>
      </c>
      <c r="H24" s="99" t="s">
        <v>592</v>
      </c>
      <c r="I24" s="99">
        <v>55</v>
      </c>
      <c r="J24" s="99">
        <v>222</v>
      </c>
      <c r="K24" s="99" t="s">
        <v>592</v>
      </c>
      <c r="L24" s="99">
        <v>687</v>
      </c>
      <c r="M24" s="99">
        <v>92</v>
      </c>
      <c r="N24" s="99">
        <v>57</v>
      </c>
      <c r="O24" s="99">
        <v>38</v>
      </c>
      <c r="P24" s="159">
        <v>38</v>
      </c>
      <c r="Q24" s="99">
        <v>6</v>
      </c>
      <c r="R24" s="99">
        <v>14</v>
      </c>
      <c r="S24" s="99">
        <v>10</v>
      </c>
      <c r="T24" s="99" t="s">
        <v>592</v>
      </c>
      <c r="U24" s="99" t="s">
        <v>592</v>
      </c>
      <c r="V24" s="99" t="s">
        <v>592</v>
      </c>
      <c r="W24" s="99">
        <v>29</v>
      </c>
      <c r="X24" s="99">
        <v>15</v>
      </c>
      <c r="Y24" s="99">
        <v>31</v>
      </c>
      <c r="Z24" s="99">
        <v>16</v>
      </c>
      <c r="AA24" s="99" t="s">
        <v>592</v>
      </c>
      <c r="AB24" s="99" t="s">
        <v>592</v>
      </c>
      <c r="AC24" s="99" t="s">
        <v>592</v>
      </c>
      <c r="AD24" s="98" t="s">
        <v>343</v>
      </c>
      <c r="AE24" s="100">
        <v>0.10237709346299298</v>
      </c>
      <c r="AF24" s="100">
        <v>0.38</v>
      </c>
      <c r="AG24" s="98">
        <v>243.11183144246354</v>
      </c>
      <c r="AH24" s="98" t="s">
        <v>592</v>
      </c>
      <c r="AI24" s="100">
        <v>0.015</v>
      </c>
      <c r="AJ24" s="100">
        <v>0.637931</v>
      </c>
      <c r="AK24" s="100" t="s">
        <v>592</v>
      </c>
      <c r="AL24" s="100">
        <v>0.650568</v>
      </c>
      <c r="AM24" s="100">
        <v>0.360784</v>
      </c>
      <c r="AN24" s="100">
        <v>0.459677</v>
      </c>
      <c r="AO24" s="98">
        <v>1026.4721772015127</v>
      </c>
      <c r="AP24" s="158">
        <v>0.6660848236</v>
      </c>
      <c r="AQ24" s="100">
        <v>0.15789473684210525</v>
      </c>
      <c r="AR24" s="100">
        <v>0.42857142857142855</v>
      </c>
      <c r="AS24" s="98">
        <v>270.12425715829283</v>
      </c>
      <c r="AT24" s="98" t="s">
        <v>592</v>
      </c>
      <c r="AU24" s="98" t="s">
        <v>592</v>
      </c>
      <c r="AV24" s="98" t="s">
        <v>592</v>
      </c>
      <c r="AW24" s="98">
        <v>783.3603457590492</v>
      </c>
      <c r="AX24" s="98">
        <v>405.1863857374392</v>
      </c>
      <c r="AY24" s="98">
        <v>837.3851971907077</v>
      </c>
      <c r="AZ24" s="98">
        <v>432.1988114532685</v>
      </c>
      <c r="BA24" s="100" t="s">
        <v>592</v>
      </c>
      <c r="BB24" s="100" t="s">
        <v>592</v>
      </c>
      <c r="BC24" s="100" t="s">
        <v>592</v>
      </c>
      <c r="BD24" s="158">
        <v>0.4713612747</v>
      </c>
      <c r="BE24" s="158">
        <v>0.9142534637</v>
      </c>
      <c r="BF24" s="162">
        <v>348</v>
      </c>
      <c r="BG24" s="162" t="s">
        <v>592</v>
      </c>
      <c r="BH24" s="162">
        <v>1056</v>
      </c>
      <c r="BI24" s="162">
        <v>255</v>
      </c>
      <c r="BJ24" s="162">
        <v>124</v>
      </c>
      <c r="BK24" s="97"/>
      <c r="BL24" s="97"/>
      <c r="BM24" s="97"/>
      <c r="BN24" s="97"/>
    </row>
    <row r="25" spans="1:66" ht="12.75">
      <c r="A25" s="79" t="s">
        <v>558</v>
      </c>
      <c r="B25" s="79" t="s">
        <v>315</v>
      </c>
      <c r="C25" s="79" t="s">
        <v>71</v>
      </c>
      <c r="D25" s="99">
        <v>1877</v>
      </c>
      <c r="E25" s="99">
        <v>255</v>
      </c>
      <c r="F25" s="99" t="s">
        <v>364</v>
      </c>
      <c r="G25" s="99">
        <v>9</v>
      </c>
      <c r="H25" s="99" t="s">
        <v>592</v>
      </c>
      <c r="I25" s="99">
        <v>36</v>
      </c>
      <c r="J25" s="99">
        <v>113</v>
      </c>
      <c r="K25" s="99" t="s">
        <v>592</v>
      </c>
      <c r="L25" s="99">
        <v>328</v>
      </c>
      <c r="M25" s="99">
        <v>38</v>
      </c>
      <c r="N25" s="99">
        <v>23</v>
      </c>
      <c r="O25" s="99">
        <v>27</v>
      </c>
      <c r="P25" s="159">
        <v>27</v>
      </c>
      <c r="Q25" s="99" t="s">
        <v>592</v>
      </c>
      <c r="R25" s="99" t="s">
        <v>592</v>
      </c>
      <c r="S25" s="99" t="s">
        <v>592</v>
      </c>
      <c r="T25" s="99" t="s">
        <v>592</v>
      </c>
      <c r="U25" s="99" t="s">
        <v>592</v>
      </c>
      <c r="V25" s="99">
        <v>6</v>
      </c>
      <c r="W25" s="99">
        <v>20</v>
      </c>
      <c r="X25" s="99">
        <v>9</v>
      </c>
      <c r="Y25" s="99">
        <v>33</v>
      </c>
      <c r="Z25" s="99">
        <v>13</v>
      </c>
      <c r="AA25" s="99" t="s">
        <v>592</v>
      </c>
      <c r="AB25" s="99" t="s">
        <v>592</v>
      </c>
      <c r="AC25" s="99" t="s">
        <v>592</v>
      </c>
      <c r="AD25" s="98" t="s">
        <v>343</v>
      </c>
      <c r="AE25" s="100">
        <v>0.13585508790623335</v>
      </c>
      <c r="AF25" s="100">
        <v>0.39</v>
      </c>
      <c r="AG25" s="98">
        <v>479.48854555141185</v>
      </c>
      <c r="AH25" s="98" t="s">
        <v>592</v>
      </c>
      <c r="AI25" s="100">
        <v>0.019</v>
      </c>
      <c r="AJ25" s="100">
        <v>0.607527</v>
      </c>
      <c r="AK25" s="100" t="s">
        <v>592</v>
      </c>
      <c r="AL25" s="100">
        <v>0.713043</v>
      </c>
      <c r="AM25" s="100">
        <v>0.269504</v>
      </c>
      <c r="AN25" s="100">
        <v>0.328571</v>
      </c>
      <c r="AO25" s="98">
        <v>1438.4656366542356</v>
      </c>
      <c r="AP25" s="158">
        <v>0.8684869385</v>
      </c>
      <c r="AQ25" s="100" t="s">
        <v>592</v>
      </c>
      <c r="AR25" s="100" t="s">
        <v>592</v>
      </c>
      <c r="AS25" s="98" t="s">
        <v>592</v>
      </c>
      <c r="AT25" s="98" t="s">
        <v>592</v>
      </c>
      <c r="AU25" s="98" t="s">
        <v>592</v>
      </c>
      <c r="AV25" s="98">
        <v>319.6590303676079</v>
      </c>
      <c r="AW25" s="98">
        <v>1065.5301012253597</v>
      </c>
      <c r="AX25" s="98">
        <v>479.48854555141185</v>
      </c>
      <c r="AY25" s="98">
        <v>1758.1246670218434</v>
      </c>
      <c r="AZ25" s="98">
        <v>692.5945657964837</v>
      </c>
      <c r="BA25" s="100" t="s">
        <v>592</v>
      </c>
      <c r="BB25" s="100" t="s">
        <v>592</v>
      </c>
      <c r="BC25" s="100" t="s">
        <v>592</v>
      </c>
      <c r="BD25" s="158">
        <v>0.5723383713</v>
      </c>
      <c r="BE25" s="158">
        <v>1.263602982</v>
      </c>
      <c r="BF25" s="162">
        <v>186</v>
      </c>
      <c r="BG25" s="162" t="s">
        <v>592</v>
      </c>
      <c r="BH25" s="162">
        <v>460</v>
      </c>
      <c r="BI25" s="162">
        <v>141</v>
      </c>
      <c r="BJ25" s="162">
        <v>70</v>
      </c>
      <c r="BK25" s="97"/>
      <c r="BL25" s="97"/>
      <c r="BM25" s="97"/>
      <c r="BN25" s="97"/>
    </row>
    <row r="26" spans="1:66" ht="12.75">
      <c r="A26" s="79" t="s">
        <v>575</v>
      </c>
      <c r="B26" s="79" t="s">
        <v>332</v>
      </c>
      <c r="C26" s="79" t="s">
        <v>71</v>
      </c>
      <c r="D26" s="99">
        <v>1438</v>
      </c>
      <c r="E26" s="99">
        <v>123</v>
      </c>
      <c r="F26" s="99" t="s">
        <v>364</v>
      </c>
      <c r="G26" s="99">
        <v>6</v>
      </c>
      <c r="H26" s="99" t="s">
        <v>592</v>
      </c>
      <c r="I26" s="99">
        <v>15</v>
      </c>
      <c r="J26" s="99">
        <v>46</v>
      </c>
      <c r="K26" s="99" t="s">
        <v>592</v>
      </c>
      <c r="L26" s="99">
        <v>258</v>
      </c>
      <c r="M26" s="99">
        <v>20</v>
      </c>
      <c r="N26" s="99">
        <v>11</v>
      </c>
      <c r="O26" s="99" t="s">
        <v>592</v>
      </c>
      <c r="P26" s="159" t="s">
        <v>592</v>
      </c>
      <c r="Q26" s="99" t="s">
        <v>592</v>
      </c>
      <c r="R26" s="99" t="s">
        <v>592</v>
      </c>
      <c r="S26" s="99" t="s">
        <v>592</v>
      </c>
      <c r="T26" s="99" t="s">
        <v>592</v>
      </c>
      <c r="U26" s="99" t="s">
        <v>592</v>
      </c>
      <c r="V26" s="99" t="s">
        <v>592</v>
      </c>
      <c r="W26" s="99" t="s">
        <v>592</v>
      </c>
      <c r="X26" s="99" t="s">
        <v>592</v>
      </c>
      <c r="Y26" s="99">
        <v>6</v>
      </c>
      <c r="Z26" s="99" t="s">
        <v>592</v>
      </c>
      <c r="AA26" s="99" t="s">
        <v>592</v>
      </c>
      <c r="AB26" s="99" t="s">
        <v>592</v>
      </c>
      <c r="AC26" s="99" t="s">
        <v>592</v>
      </c>
      <c r="AD26" s="98" t="s">
        <v>343</v>
      </c>
      <c r="AE26" s="100">
        <v>0.08553546592489569</v>
      </c>
      <c r="AF26" s="100">
        <v>0.34</v>
      </c>
      <c r="AG26" s="98">
        <v>417.2461752433936</v>
      </c>
      <c r="AH26" s="98" t="s">
        <v>592</v>
      </c>
      <c r="AI26" s="100">
        <v>0.01</v>
      </c>
      <c r="AJ26" s="100">
        <v>0.469388</v>
      </c>
      <c r="AK26" s="100" t="s">
        <v>592</v>
      </c>
      <c r="AL26" s="100">
        <v>0.716667</v>
      </c>
      <c r="AM26" s="100">
        <v>0.253165</v>
      </c>
      <c r="AN26" s="100">
        <v>0.323529</v>
      </c>
      <c r="AO26" s="98" t="s">
        <v>592</v>
      </c>
      <c r="AP26" s="158" t="s">
        <v>592</v>
      </c>
      <c r="AQ26" s="100" t="s">
        <v>592</v>
      </c>
      <c r="AR26" s="100" t="s">
        <v>592</v>
      </c>
      <c r="AS26" s="98" t="s">
        <v>592</v>
      </c>
      <c r="AT26" s="98" t="s">
        <v>592</v>
      </c>
      <c r="AU26" s="98" t="s">
        <v>592</v>
      </c>
      <c r="AV26" s="98" t="s">
        <v>592</v>
      </c>
      <c r="AW26" s="98" t="s">
        <v>592</v>
      </c>
      <c r="AX26" s="98" t="s">
        <v>592</v>
      </c>
      <c r="AY26" s="98">
        <v>417.2461752433936</v>
      </c>
      <c r="AZ26" s="98" t="s">
        <v>592</v>
      </c>
      <c r="BA26" s="100" t="s">
        <v>592</v>
      </c>
      <c r="BB26" s="100" t="s">
        <v>592</v>
      </c>
      <c r="BC26" s="100" t="s">
        <v>592</v>
      </c>
      <c r="BD26" s="158" t="s">
        <v>592</v>
      </c>
      <c r="BE26" s="158" t="s">
        <v>592</v>
      </c>
      <c r="BF26" s="162">
        <v>98</v>
      </c>
      <c r="BG26" s="162" t="s">
        <v>592</v>
      </c>
      <c r="BH26" s="162">
        <v>360</v>
      </c>
      <c r="BI26" s="162">
        <v>79</v>
      </c>
      <c r="BJ26" s="162">
        <v>34</v>
      </c>
      <c r="BK26" s="97"/>
      <c r="BL26" s="97"/>
      <c r="BM26" s="97"/>
      <c r="BN26" s="97"/>
    </row>
    <row r="27" spans="1:66" ht="12.75">
      <c r="A27" s="79" t="s">
        <v>583</v>
      </c>
      <c r="B27" s="79" t="s">
        <v>341</v>
      </c>
      <c r="C27" s="79" t="s">
        <v>71</v>
      </c>
      <c r="D27" s="99">
        <v>2227</v>
      </c>
      <c r="E27" s="99">
        <v>108</v>
      </c>
      <c r="F27" s="99" t="s">
        <v>364</v>
      </c>
      <c r="G27" s="99" t="s">
        <v>592</v>
      </c>
      <c r="H27" s="99" t="s">
        <v>592</v>
      </c>
      <c r="I27" s="99">
        <v>12</v>
      </c>
      <c r="J27" s="99">
        <v>90</v>
      </c>
      <c r="K27" s="99" t="s">
        <v>592</v>
      </c>
      <c r="L27" s="99">
        <v>499</v>
      </c>
      <c r="M27" s="99">
        <v>33</v>
      </c>
      <c r="N27" s="99">
        <v>10</v>
      </c>
      <c r="O27" s="99">
        <v>24</v>
      </c>
      <c r="P27" s="159">
        <v>24</v>
      </c>
      <c r="Q27" s="99" t="s">
        <v>592</v>
      </c>
      <c r="R27" s="99" t="s">
        <v>592</v>
      </c>
      <c r="S27" s="99" t="s">
        <v>592</v>
      </c>
      <c r="T27" s="99" t="s">
        <v>592</v>
      </c>
      <c r="U27" s="99" t="s">
        <v>592</v>
      </c>
      <c r="V27" s="99" t="s">
        <v>592</v>
      </c>
      <c r="W27" s="99" t="s">
        <v>592</v>
      </c>
      <c r="X27" s="99" t="s">
        <v>592</v>
      </c>
      <c r="Y27" s="99">
        <v>12</v>
      </c>
      <c r="Z27" s="99">
        <v>6</v>
      </c>
      <c r="AA27" s="99" t="s">
        <v>592</v>
      </c>
      <c r="AB27" s="99" t="s">
        <v>592</v>
      </c>
      <c r="AC27" s="99" t="s">
        <v>592</v>
      </c>
      <c r="AD27" s="98" t="s">
        <v>343</v>
      </c>
      <c r="AE27" s="100">
        <v>0.048495734171531205</v>
      </c>
      <c r="AF27" s="100">
        <v>0.39</v>
      </c>
      <c r="AG27" s="98" t="s">
        <v>592</v>
      </c>
      <c r="AH27" s="98" t="s">
        <v>592</v>
      </c>
      <c r="AI27" s="100">
        <v>0.005</v>
      </c>
      <c r="AJ27" s="100">
        <v>0.6</v>
      </c>
      <c r="AK27" s="100" t="s">
        <v>592</v>
      </c>
      <c r="AL27" s="100">
        <v>0.77605</v>
      </c>
      <c r="AM27" s="100">
        <v>0.366667</v>
      </c>
      <c r="AN27" s="100">
        <v>0.232558</v>
      </c>
      <c r="AO27" s="98">
        <v>1077.6829815895824</v>
      </c>
      <c r="AP27" s="158">
        <v>0.9529320525999999</v>
      </c>
      <c r="AQ27" s="100" t="s">
        <v>592</v>
      </c>
      <c r="AR27" s="100" t="s">
        <v>592</v>
      </c>
      <c r="AS27" s="98" t="s">
        <v>592</v>
      </c>
      <c r="AT27" s="98" t="s">
        <v>592</v>
      </c>
      <c r="AU27" s="98" t="s">
        <v>592</v>
      </c>
      <c r="AV27" s="98" t="s">
        <v>592</v>
      </c>
      <c r="AW27" s="98" t="s">
        <v>592</v>
      </c>
      <c r="AX27" s="98" t="s">
        <v>592</v>
      </c>
      <c r="AY27" s="98">
        <v>538.8414907947912</v>
      </c>
      <c r="AZ27" s="98">
        <v>269.4207453973956</v>
      </c>
      <c r="BA27" s="100" t="s">
        <v>592</v>
      </c>
      <c r="BB27" s="100" t="s">
        <v>592</v>
      </c>
      <c r="BC27" s="100" t="s">
        <v>592</v>
      </c>
      <c r="BD27" s="158">
        <v>0.6105615616</v>
      </c>
      <c r="BE27" s="158">
        <v>1.417887421</v>
      </c>
      <c r="BF27" s="162">
        <v>150</v>
      </c>
      <c r="BG27" s="162" t="s">
        <v>592</v>
      </c>
      <c r="BH27" s="162">
        <v>643</v>
      </c>
      <c r="BI27" s="162">
        <v>90</v>
      </c>
      <c r="BJ27" s="162">
        <v>43</v>
      </c>
      <c r="BK27" s="97"/>
      <c r="BL27" s="97"/>
      <c r="BM27" s="97"/>
      <c r="BN27" s="97"/>
    </row>
    <row r="28" spans="1:66" ht="12.75">
      <c r="A28" s="79" t="s">
        <v>574</v>
      </c>
      <c r="B28" s="79" t="s">
        <v>331</v>
      </c>
      <c r="C28" s="79" t="s">
        <v>71</v>
      </c>
      <c r="D28" s="99">
        <v>2165</v>
      </c>
      <c r="E28" s="99">
        <v>214</v>
      </c>
      <c r="F28" s="99" t="s">
        <v>364</v>
      </c>
      <c r="G28" s="99" t="s">
        <v>592</v>
      </c>
      <c r="H28" s="99" t="s">
        <v>592</v>
      </c>
      <c r="I28" s="99">
        <v>15</v>
      </c>
      <c r="J28" s="99">
        <v>124</v>
      </c>
      <c r="K28" s="99">
        <v>133</v>
      </c>
      <c r="L28" s="99" t="s">
        <v>343</v>
      </c>
      <c r="M28" s="99" t="s">
        <v>343</v>
      </c>
      <c r="N28" s="99" t="s">
        <v>343</v>
      </c>
      <c r="O28" s="99" t="s">
        <v>592</v>
      </c>
      <c r="P28" s="159" t="s">
        <v>592</v>
      </c>
      <c r="Q28" s="99" t="s">
        <v>592</v>
      </c>
      <c r="R28" s="99" t="s">
        <v>592</v>
      </c>
      <c r="S28" s="99" t="s">
        <v>592</v>
      </c>
      <c r="T28" s="99" t="s">
        <v>592</v>
      </c>
      <c r="U28" s="99" t="s">
        <v>592</v>
      </c>
      <c r="V28" s="99" t="s">
        <v>592</v>
      </c>
      <c r="W28" s="99">
        <v>7</v>
      </c>
      <c r="X28" s="99" t="s">
        <v>592</v>
      </c>
      <c r="Y28" s="99">
        <v>8</v>
      </c>
      <c r="Z28" s="99">
        <v>6</v>
      </c>
      <c r="AA28" s="99" t="s">
        <v>592</v>
      </c>
      <c r="AB28" s="99" t="s">
        <v>592</v>
      </c>
      <c r="AC28" s="99" t="s">
        <v>592</v>
      </c>
      <c r="AD28" s="98" t="s">
        <v>343</v>
      </c>
      <c r="AE28" s="100">
        <v>0.09884526558891454</v>
      </c>
      <c r="AF28" s="100">
        <v>0.35</v>
      </c>
      <c r="AG28" s="98" t="s">
        <v>592</v>
      </c>
      <c r="AH28" s="98" t="s">
        <v>592</v>
      </c>
      <c r="AI28" s="100">
        <v>0.006999999999999999</v>
      </c>
      <c r="AJ28" s="100">
        <v>0.579439</v>
      </c>
      <c r="AK28" s="100">
        <v>0.655172</v>
      </c>
      <c r="AL28" s="100" t="s">
        <v>343</v>
      </c>
      <c r="AM28" s="100" t="s">
        <v>343</v>
      </c>
      <c r="AN28" s="100" t="s">
        <v>343</v>
      </c>
      <c r="AO28" s="98" t="s">
        <v>592</v>
      </c>
      <c r="AP28" s="158" t="s">
        <v>592</v>
      </c>
      <c r="AQ28" s="100" t="s">
        <v>592</v>
      </c>
      <c r="AR28" s="100" t="s">
        <v>592</v>
      </c>
      <c r="AS28" s="98" t="s">
        <v>592</v>
      </c>
      <c r="AT28" s="98" t="s">
        <v>592</v>
      </c>
      <c r="AU28" s="98" t="s">
        <v>592</v>
      </c>
      <c r="AV28" s="98" t="s">
        <v>592</v>
      </c>
      <c r="AW28" s="98">
        <v>323.3256351039261</v>
      </c>
      <c r="AX28" s="98" t="s">
        <v>592</v>
      </c>
      <c r="AY28" s="98">
        <v>369.5150115473441</v>
      </c>
      <c r="AZ28" s="98">
        <v>277.1362586605081</v>
      </c>
      <c r="BA28" s="100" t="s">
        <v>592</v>
      </c>
      <c r="BB28" s="100" t="s">
        <v>592</v>
      </c>
      <c r="BC28" s="100" t="s">
        <v>592</v>
      </c>
      <c r="BD28" s="158" t="s">
        <v>592</v>
      </c>
      <c r="BE28" s="158" t="s">
        <v>592</v>
      </c>
      <c r="BF28" s="162">
        <v>214</v>
      </c>
      <c r="BG28" s="162">
        <v>203</v>
      </c>
      <c r="BH28" s="162" t="s">
        <v>343</v>
      </c>
      <c r="BI28" s="162" t="s">
        <v>343</v>
      </c>
      <c r="BJ28" s="162" t="s">
        <v>343</v>
      </c>
      <c r="BK28" s="97"/>
      <c r="BL28" s="97"/>
      <c r="BM28" s="97"/>
      <c r="BN28" s="97"/>
    </row>
    <row r="29" spans="1:66" ht="12.75">
      <c r="A29" s="79" t="s">
        <v>529</v>
      </c>
      <c r="B29" s="79" t="s">
        <v>284</v>
      </c>
      <c r="C29" s="79" t="s">
        <v>71</v>
      </c>
      <c r="D29" s="99">
        <v>12559</v>
      </c>
      <c r="E29" s="99">
        <v>1545</v>
      </c>
      <c r="F29" s="99" t="s">
        <v>364</v>
      </c>
      <c r="G29" s="99">
        <v>49</v>
      </c>
      <c r="H29" s="99">
        <v>25</v>
      </c>
      <c r="I29" s="99">
        <v>180</v>
      </c>
      <c r="J29" s="99">
        <v>775</v>
      </c>
      <c r="K29" s="99">
        <v>16</v>
      </c>
      <c r="L29" s="99">
        <v>2595</v>
      </c>
      <c r="M29" s="99">
        <v>518</v>
      </c>
      <c r="N29" s="99">
        <v>248</v>
      </c>
      <c r="O29" s="99">
        <v>207</v>
      </c>
      <c r="P29" s="159">
        <v>207</v>
      </c>
      <c r="Q29" s="99">
        <v>33</v>
      </c>
      <c r="R29" s="99">
        <v>73</v>
      </c>
      <c r="S29" s="99">
        <v>27</v>
      </c>
      <c r="T29" s="99">
        <v>36</v>
      </c>
      <c r="U29" s="99">
        <v>9</v>
      </c>
      <c r="V29" s="99">
        <v>27</v>
      </c>
      <c r="W29" s="99">
        <v>81</v>
      </c>
      <c r="X29" s="99">
        <v>36</v>
      </c>
      <c r="Y29" s="99">
        <v>162</v>
      </c>
      <c r="Z29" s="99">
        <v>68</v>
      </c>
      <c r="AA29" s="99" t="s">
        <v>592</v>
      </c>
      <c r="AB29" s="99" t="s">
        <v>592</v>
      </c>
      <c r="AC29" s="99" t="s">
        <v>592</v>
      </c>
      <c r="AD29" s="98" t="s">
        <v>343</v>
      </c>
      <c r="AE29" s="100">
        <v>0.1230193486742575</v>
      </c>
      <c r="AF29" s="100">
        <v>0.31</v>
      </c>
      <c r="AG29" s="98">
        <v>390.15845210605937</v>
      </c>
      <c r="AH29" s="98">
        <v>199.0604347479895</v>
      </c>
      <c r="AI29" s="100">
        <v>0.013999999999999999</v>
      </c>
      <c r="AJ29" s="100">
        <v>0.597072</v>
      </c>
      <c r="AK29" s="100">
        <v>0.372093</v>
      </c>
      <c r="AL29" s="100">
        <v>0.77509</v>
      </c>
      <c r="AM29" s="100">
        <v>0.500483</v>
      </c>
      <c r="AN29" s="100">
        <v>0.496994</v>
      </c>
      <c r="AO29" s="98">
        <v>1648.220399713353</v>
      </c>
      <c r="AP29" s="158">
        <v>1.0191343689999999</v>
      </c>
      <c r="AQ29" s="100">
        <v>0.15942028985507245</v>
      </c>
      <c r="AR29" s="100">
        <v>0.4520547945205479</v>
      </c>
      <c r="AS29" s="98">
        <v>214.98526952782865</v>
      </c>
      <c r="AT29" s="98">
        <v>286.64702603710487</v>
      </c>
      <c r="AU29" s="98">
        <v>71.66175650927622</v>
      </c>
      <c r="AV29" s="98">
        <v>214.98526952782865</v>
      </c>
      <c r="AW29" s="98">
        <v>644.9558085834859</v>
      </c>
      <c r="AX29" s="98">
        <v>286.64702603710487</v>
      </c>
      <c r="AY29" s="98">
        <v>1289.9116171669718</v>
      </c>
      <c r="AZ29" s="98">
        <v>541.4443825145314</v>
      </c>
      <c r="BA29" s="100" t="s">
        <v>592</v>
      </c>
      <c r="BB29" s="100" t="s">
        <v>592</v>
      </c>
      <c r="BC29" s="100" t="s">
        <v>592</v>
      </c>
      <c r="BD29" s="158">
        <v>0.8850211334</v>
      </c>
      <c r="BE29" s="158">
        <v>1.167829132</v>
      </c>
      <c r="BF29" s="162">
        <v>1298</v>
      </c>
      <c r="BG29" s="162">
        <v>43</v>
      </c>
      <c r="BH29" s="162">
        <v>3348</v>
      </c>
      <c r="BI29" s="162">
        <v>1035</v>
      </c>
      <c r="BJ29" s="162">
        <v>499</v>
      </c>
      <c r="BK29" s="97"/>
      <c r="BL29" s="97"/>
      <c r="BM29" s="97"/>
      <c r="BN29" s="97"/>
    </row>
    <row r="30" spans="1:66" ht="12.75">
      <c r="A30" s="79" t="s">
        <v>555</v>
      </c>
      <c r="B30" s="79" t="s">
        <v>312</v>
      </c>
      <c r="C30" s="79" t="s">
        <v>71</v>
      </c>
      <c r="D30" s="99">
        <v>3186</v>
      </c>
      <c r="E30" s="99">
        <v>160</v>
      </c>
      <c r="F30" s="99" t="s">
        <v>364</v>
      </c>
      <c r="G30" s="99" t="s">
        <v>592</v>
      </c>
      <c r="H30" s="99" t="s">
        <v>592</v>
      </c>
      <c r="I30" s="99">
        <v>20</v>
      </c>
      <c r="J30" s="99">
        <v>111</v>
      </c>
      <c r="K30" s="99">
        <v>7</v>
      </c>
      <c r="L30" s="99">
        <v>602</v>
      </c>
      <c r="M30" s="99">
        <v>42</v>
      </c>
      <c r="N30" s="99">
        <v>20</v>
      </c>
      <c r="O30" s="99">
        <v>58</v>
      </c>
      <c r="P30" s="159">
        <v>58</v>
      </c>
      <c r="Q30" s="99" t="s">
        <v>592</v>
      </c>
      <c r="R30" s="99" t="s">
        <v>592</v>
      </c>
      <c r="S30" s="99">
        <v>7</v>
      </c>
      <c r="T30" s="99" t="s">
        <v>592</v>
      </c>
      <c r="U30" s="99" t="s">
        <v>592</v>
      </c>
      <c r="V30" s="99" t="s">
        <v>592</v>
      </c>
      <c r="W30" s="99">
        <v>17</v>
      </c>
      <c r="X30" s="99">
        <v>11</v>
      </c>
      <c r="Y30" s="99">
        <v>42</v>
      </c>
      <c r="Z30" s="99">
        <v>8</v>
      </c>
      <c r="AA30" s="99" t="s">
        <v>592</v>
      </c>
      <c r="AB30" s="99" t="s">
        <v>592</v>
      </c>
      <c r="AC30" s="99" t="s">
        <v>592</v>
      </c>
      <c r="AD30" s="98" t="s">
        <v>343</v>
      </c>
      <c r="AE30" s="100">
        <v>0.050219711236660386</v>
      </c>
      <c r="AF30" s="100">
        <v>0.33</v>
      </c>
      <c r="AG30" s="98" t="s">
        <v>592</v>
      </c>
      <c r="AH30" s="98" t="s">
        <v>592</v>
      </c>
      <c r="AI30" s="100">
        <v>0.006</v>
      </c>
      <c r="AJ30" s="100">
        <v>0.6</v>
      </c>
      <c r="AK30" s="100">
        <v>0.411765</v>
      </c>
      <c r="AL30" s="100">
        <v>0.811321</v>
      </c>
      <c r="AM30" s="100">
        <v>0.365217</v>
      </c>
      <c r="AN30" s="100">
        <v>0.338983</v>
      </c>
      <c r="AO30" s="98">
        <v>1820.4645323289392</v>
      </c>
      <c r="AP30" s="158">
        <v>1.72453186</v>
      </c>
      <c r="AQ30" s="100" t="s">
        <v>592</v>
      </c>
      <c r="AR30" s="100" t="s">
        <v>592</v>
      </c>
      <c r="AS30" s="98">
        <v>219.7112366603892</v>
      </c>
      <c r="AT30" s="98" t="s">
        <v>592</v>
      </c>
      <c r="AU30" s="98" t="s">
        <v>592</v>
      </c>
      <c r="AV30" s="98" t="s">
        <v>592</v>
      </c>
      <c r="AW30" s="98">
        <v>533.5844318895166</v>
      </c>
      <c r="AX30" s="98">
        <v>345.2605147520402</v>
      </c>
      <c r="AY30" s="98">
        <v>1318.2674199623352</v>
      </c>
      <c r="AZ30" s="98">
        <v>251.09855618330195</v>
      </c>
      <c r="BA30" s="100" t="s">
        <v>592</v>
      </c>
      <c r="BB30" s="100" t="s">
        <v>592</v>
      </c>
      <c r="BC30" s="100" t="s">
        <v>592</v>
      </c>
      <c r="BD30" s="158">
        <v>1.3095094299999999</v>
      </c>
      <c r="BE30" s="158">
        <v>2.2293574520000004</v>
      </c>
      <c r="BF30" s="162">
        <v>185</v>
      </c>
      <c r="BG30" s="162">
        <v>17</v>
      </c>
      <c r="BH30" s="162">
        <v>742</v>
      </c>
      <c r="BI30" s="162">
        <v>115</v>
      </c>
      <c r="BJ30" s="162">
        <v>59</v>
      </c>
      <c r="BK30" s="97"/>
      <c r="BL30" s="97"/>
      <c r="BM30" s="97"/>
      <c r="BN30" s="97"/>
    </row>
    <row r="31" spans="1:66" ht="12.75">
      <c r="A31" s="79" t="s">
        <v>580</v>
      </c>
      <c r="B31" s="79" t="s">
        <v>337</v>
      </c>
      <c r="C31" s="79" t="s">
        <v>71</v>
      </c>
      <c r="D31" s="99">
        <v>3650</v>
      </c>
      <c r="E31" s="99">
        <v>99</v>
      </c>
      <c r="F31" s="99" t="s">
        <v>364</v>
      </c>
      <c r="G31" s="99" t="s">
        <v>592</v>
      </c>
      <c r="H31" s="99" t="s">
        <v>592</v>
      </c>
      <c r="I31" s="99">
        <v>22</v>
      </c>
      <c r="J31" s="99">
        <v>109</v>
      </c>
      <c r="K31" s="99" t="s">
        <v>592</v>
      </c>
      <c r="L31" s="99">
        <v>872</v>
      </c>
      <c r="M31" s="99">
        <v>36</v>
      </c>
      <c r="N31" s="99">
        <v>16</v>
      </c>
      <c r="O31" s="99">
        <v>25</v>
      </c>
      <c r="P31" s="159">
        <v>25</v>
      </c>
      <c r="Q31" s="99" t="s">
        <v>592</v>
      </c>
      <c r="R31" s="99" t="s">
        <v>592</v>
      </c>
      <c r="S31" s="99" t="s">
        <v>592</v>
      </c>
      <c r="T31" s="99">
        <v>6</v>
      </c>
      <c r="U31" s="99" t="s">
        <v>592</v>
      </c>
      <c r="V31" s="99" t="s">
        <v>592</v>
      </c>
      <c r="W31" s="99">
        <v>11</v>
      </c>
      <c r="X31" s="99">
        <v>6</v>
      </c>
      <c r="Y31" s="99">
        <v>13</v>
      </c>
      <c r="Z31" s="99">
        <v>37</v>
      </c>
      <c r="AA31" s="99" t="s">
        <v>592</v>
      </c>
      <c r="AB31" s="99" t="s">
        <v>592</v>
      </c>
      <c r="AC31" s="99" t="s">
        <v>592</v>
      </c>
      <c r="AD31" s="98" t="s">
        <v>343</v>
      </c>
      <c r="AE31" s="100">
        <v>0.027123287671232878</v>
      </c>
      <c r="AF31" s="100">
        <v>0.34</v>
      </c>
      <c r="AG31" s="98" t="s">
        <v>592</v>
      </c>
      <c r="AH31" s="98" t="s">
        <v>592</v>
      </c>
      <c r="AI31" s="100">
        <v>0.006</v>
      </c>
      <c r="AJ31" s="100">
        <v>0.61236</v>
      </c>
      <c r="AK31" s="100" t="s">
        <v>592</v>
      </c>
      <c r="AL31" s="100">
        <v>0.787004</v>
      </c>
      <c r="AM31" s="100">
        <v>0.321429</v>
      </c>
      <c r="AN31" s="100">
        <v>0.280702</v>
      </c>
      <c r="AO31" s="98">
        <v>684.931506849315</v>
      </c>
      <c r="AP31" s="158">
        <v>0.6483341217</v>
      </c>
      <c r="AQ31" s="100" t="s">
        <v>592</v>
      </c>
      <c r="AR31" s="100" t="s">
        <v>592</v>
      </c>
      <c r="AS31" s="98" t="s">
        <v>592</v>
      </c>
      <c r="AT31" s="98">
        <v>164.3835616438356</v>
      </c>
      <c r="AU31" s="98" t="s">
        <v>592</v>
      </c>
      <c r="AV31" s="98" t="s">
        <v>592</v>
      </c>
      <c r="AW31" s="98">
        <v>301.36986301369865</v>
      </c>
      <c r="AX31" s="98">
        <v>164.3835616438356</v>
      </c>
      <c r="AY31" s="98">
        <v>356.16438356164383</v>
      </c>
      <c r="AZ31" s="98">
        <v>1013.6986301369863</v>
      </c>
      <c r="BA31" s="100" t="s">
        <v>592</v>
      </c>
      <c r="BB31" s="100" t="s">
        <v>592</v>
      </c>
      <c r="BC31" s="100" t="s">
        <v>592</v>
      </c>
      <c r="BD31" s="158">
        <v>0.4195676422</v>
      </c>
      <c r="BE31" s="158">
        <v>0.9570690155</v>
      </c>
      <c r="BF31" s="162">
        <v>178</v>
      </c>
      <c r="BG31" s="162" t="s">
        <v>592</v>
      </c>
      <c r="BH31" s="162">
        <v>1108</v>
      </c>
      <c r="BI31" s="162">
        <v>112</v>
      </c>
      <c r="BJ31" s="162">
        <v>57</v>
      </c>
      <c r="BK31" s="97"/>
      <c r="BL31" s="97"/>
      <c r="BM31" s="97"/>
      <c r="BN31" s="97"/>
    </row>
    <row r="32" spans="1:66" ht="12.75">
      <c r="A32" s="79" t="s">
        <v>527</v>
      </c>
      <c r="B32" s="79" t="s">
        <v>282</v>
      </c>
      <c r="C32" s="79" t="s">
        <v>71</v>
      </c>
      <c r="D32" s="99">
        <v>9277</v>
      </c>
      <c r="E32" s="99">
        <v>1037</v>
      </c>
      <c r="F32" s="99" t="s">
        <v>364</v>
      </c>
      <c r="G32" s="99">
        <v>37</v>
      </c>
      <c r="H32" s="99">
        <v>14</v>
      </c>
      <c r="I32" s="99">
        <v>108</v>
      </c>
      <c r="J32" s="99">
        <v>481</v>
      </c>
      <c r="K32" s="99">
        <v>15</v>
      </c>
      <c r="L32" s="99">
        <v>1866</v>
      </c>
      <c r="M32" s="99">
        <v>276</v>
      </c>
      <c r="N32" s="99">
        <v>162</v>
      </c>
      <c r="O32" s="99">
        <v>115</v>
      </c>
      <c r="P32" s="159">
        <v>115</v>
      </c>
      <c r="Q32" s="99">
        <v>13</v>
      </c>
      <c r="R32" s="99">
        <v>25</v>
      </c>
      <c r="S32" s="99">
        <v>10</v>
      </c>
      <c r="T32" s="99">
        <v>16</v>
      </c>
      <c r="U32" s="99" t="s">
        <v>592</v>
      </c>
      <c r="V32" s="99">
        <v>16</v>
      </c>
      <c r="W32" s="99">
        <v>79</v>
      </c>
      <c r="X32" s="99">
        <v>22</v>
      </c>
      <c r="Y32" s="99">
        <v>98</v>
      </c>
      <c r="Z32" s="99">
        <v>50</v>
      </c>
      <c r="AA32" s="99" t="s">
        <v>592</v>
      </c>
      <c r="AB32" s="99" t="s">
        <v>592</v>
      </c>
      <c r="AC32" s="99" t="s">
        <v>592</v>
      </c>
      <c r="AD32" s="98" t="s">
        <v>343</v>
      </c>
      <c r="AE32" s="100">
        <v>0.11178182602134311</v>
      </c>
      <c r="AF32" s="100">
        <v>0.33</v>
      </c>
      <c r="AG32" s="98">
        <v>398.83583054866875</v>
      </c>
      <c r="AH32" s="98">
        <v>150.910854802199</v>
      </c>
      <c r="AI32" s="100">
        <v>0.012</v>
      </c>
      <c r="AJ32" s="100">
        <v>0.568558</v>
      </c>
      <c r="AK32" s="100">
        <v>0.405405</v>
      </c>
      <c r="AL32" s="100">
        <v>0.775884</v>
      </c>
      <c r="AM32" s="100">
        <v>0.445161</v>
      </c>
      <c r="AN32" s="100">
        <v>0.498462</v>
      </c>
      <c r="AO32" s="98">
        <v>1239.6248787323489</v>
      </c>
      <c r="AP32" s="158">
        <v>0.8202478790000001</v>
      </c>
      <c r="AQ32" s="100">
        <v>0.11304347826086956</v>
      </c>
      <c r="AR32" s="100">
        <v>0.52</v>
      </c>
      <c r="AS32" s="98">
        <v>107.79346771585642</v>
      </c>
      <c r="AT32" s="98">
        <v>172.46954834537027</v>
      </c>
      <c r="AU32" s="98" t="s">
        <v>592</v>
      </c>
      <c r="AV32" s="98">
        <v>172.46954834537027</v>
      </c>
      <c r="AW32" s="98">
        <v>851.5683949552657</v>
      </c>
      <c r="AX32" s="98">
        <v>237.14562897488412</v>
      </c>
      <c r="AY32" s="98">
        <v>1056.375983615393</v>
      </c>
      <c r="AZ32" s="98">
        <v>538.9673385792821</v>
      </c>
      <c r="BA32" s="100" t="s">
        <v>592</v>
      </c>
      <c r="BB32" s="100" t="s">
        <v>592</v>
      </c>
      <c r="BC32" s="100" t="s">
        <v>592</v>
      </c>
      <c r="BD32" s="158">
        <v>0.6771987915</v>
      </c>
      <c r="BE32" s="158">
        <v>0.9845833588</v>
      </c>
      <c r="BF32" s="162">
        <v>846</v>
      </c>
      <c r="BG32" s="162">
        <v>37</v>
      </c>
      <c r="BH32" s="162">
        <v>2405</v>
      </c>
      <c r="BI32" s="162">
        <v>620</v>
      </c>
      <c r="BJ32" s="162">
        <v>325</v>
      </c>
      <c r="BK32" s="97"/>
      <c r="BL32" s="97"/>
      <c r="BM32" s="97"/>
      <c r="BN32" s="97"/>
    </row>
    <row r="33" spans="1:66" ht="12.75">
      <c r="A33" s="79" t="s">
        <v>552</v>
      </c>
      <c r="B33" s="79" t="s">
        <v>309</v>
      </c>
      <c r="C33" s="79" t="s">
        <v>71</v>
      </c>
      <c r="D33" s="99">
        <v>10734</v>
      </c>
      <c r="E33" s="99">
        <v>1333</v>
      </c>
      <c r="F33" s="99" t="s">
        <v>364</v>
      </c>
      <c r="G33" s="99">
        <v>33</v>
      </c>
      <c r="H33" s="99">
        <v>17</v>
      </c>
      <c r="I33" s="99">
        <v>147</v>
      </c>
      <c r="J33" s="99">
        <v>706</v>
      </c>
      <c r="K33" s="99">
        <v>7</v>
      </c>
      <c r="L33" s="99">
        <v>2222</v>
      </c>
      <c r="M33" s="99">
        <v>468</v>
      </c>
      <c r="N33" s="99">
        <v>238</v>
      </c>
      <c r="O33" s="99">
        <v>104</v>
      </c>
      <c r="P33" s="159">
        <v>104</v>
      </c>
      <c r="Q33" s="99">
        <v>18</v>
      </c>
      <c r="R33" s="99">
        <v>38</v>
      </c>
      <c r="S33" s="99">
        <v>23</v>
      </c>
      <c r="T33" s="99">
        <v>23</v>
      </c>
      <c r="U33" s="99" t="s">
        <v>592</v>
      </c>
      <c r="V33" s="99">
        <v>7</v>
      </c>
      <c r="W33" s="99">
        <v>75</v>
      </c>
      <c r="X33" s="99">
        <v>34</v>
      </c>
      <c r="Y33" s="99">
        <v>103</v>
      </c>
      <c r="Z33" s="99">
        <v>66</v>
      </c>
      <c r="AA33" s="99" t="s">
        <v>592</v>
      </c>
      <c r="AB33" s="99" t="s">
        <v>592</v>
      </c>
      <c r="AC33" s="99" t="s">
        <v>592</v>
      </c>
      <c r="AD33" s="98" t="s">
        <v>343</v>
      </c>
      <c r="AE33" s="100">
        <v>0.12418483324017142</v>
      </c>
      <c r="AF33" s="100">
        <v>0.28</v>
      </c>
      <c r="AG33" s="98">
        <v>307.43432084963666</v>
      </c>
      <c r="AH33" s="98">
        <v>158.37525619526738</v>
      </c>
      <c r="AI33" s="100">
        <v>0.013999999999999999</v>
      </c>
      <c r="AJ33" s="100">
        <v>0.643573</v>
      </c>
      <c r="AK33" s="100">
        <v>0.411765</v>
      </c>
      <c r="AL33" s="100">
        <v>0.798419</v>
      </c>
      <c r="AM33" s="100">
        <v>0.516556</v>
      </c>
      <c r="AN33" s="100">
        <v>0.509636</v>
      </c>
      <c r="AO33" s="98">
        <v>968.8839202534004</v>
      </c>
      <c r="AP33" s="158">
        <v>0.5994017028999999</v>
      </c>
      <c r="AQ33" s="100">
        <v>0.17307692307692307</v>
      </c>
      <c r="AR33" s="100">
        <v>0.47368421052631576</v>
      </c>
      <c r="AS33" s="98">
        <v>214.27240544065586</v>
      </c>
      <c r="AT33" s="98">
        <v>214.27240544065586</v>
      </c>
      <c r="AU33" s="98" t="s">
        <v>592</v>
      </c>
      <c r="AV33" s="98">
        <v>65.21334078628657</v>
      </c>
      <c r="AW33" s="98">
        <v>698.714365567356</v>
      </c>
      <c r="AX33" s="98">
        <v>316.75051239053477</v>
      </c>
      <c r="AY33" s="98">
        <v>959.5677287125023</v>
      </c>
      <c r="AZ33" s="98">
        <v>614.8686416992733</v>
      </c>
      <c r="BA33" s="100" t="s">
        <v>592</v>
      </c>
      <c r="BB33" s="100" t="s">
        <v>592</v>
      </c>
      <c r="BC33" s="100" t="s">
        <v>592</v>
      </c>
      <c r="BD33" s="158">
        <v>0.48975463869999997</v>
      </c>
      <c r="BE33" s="158">
        <v>0.7262754821999999</v>
      </c>
      <c r="BF33" s="162">
        <v>1097</v>
      </c>
      <c r="BG33" s="162">
        <v>17</v>
      </c>
      <c r="BH33" s="162">
        <v>2783</v>
      </c>
      <c r="BI33" s="162">
        <v>906</v>
      </c>
      <c r="BJ33" s="162">
        <v>467</v>
      </c>
      <c r="BK33" s="97"/>
      <c r="BL33" s="97"/>
      <c r="BM33" s="97"/>
      <c r="BN33" s="97"/>
    </row>
    <row r="34" spans="1:66" ht="12.75">
      <c r="A34" s="79" t="s">
        <v>577</v>
      </c>
      <c r="B34" s="79" t="s">
        <v>334</v>
      </c>
      <c r="C34" s="79" t="s">
        <v>71</v>
      </c>
      <c r="D34" s="99">
        <v>4756</v>
      </c>
      <c r="E34" s="99">
        <v>693</v>
      </c>
      <c r="F34" s="99" t="s">
        <v>363</v>
      </c>
      <c r="G34" s="99">
        <v>19</v>
      </c>
      <c r="H34" s="99">
        <v>13</v>
      </c>
      <c r="I34" s="99">
        <v>92</v>
      </c>
      <c r="J34" s="99">
        <v>219</v>
      </c>
      <c r="K34" s="99">
        <v>189</v>
      </c>
      <c r="L34" s="99">
        <v>957</v>
      </c>
      <c r="M34" s="99">
        <v>156</v>
      </c>
      <c r="N34" s="99">
        <v>84</v>
      </c>
      <c r="O34" s="99">
        <v>83</v>
      </c>
      <c r="P34" s="159">
        <v>83</v>
      </c>
      <c r="Q34" s="99">
        <v>11</v>
      </c>
      <c r="R34" s="99">
        <v>23</v>
      </c>
      <c r="S34" s="99">
        <v>12</v>
      </c>
      <c r="T34" s="99">
        <v>14</v>
      </c>
      <c r="U34" s="99" t="s">
        <v>592</v>
      </c>
      <c r="V34" s="99">
        <v>14</v>
      </c>
      <c r="W34" s="99">
        <v>21</v>
      </c>
      <c r="X34" s="99">
        <v>27</v>
      </c>
      <c r="Y34" s="99">
        <v>46</v>
      </c>
      <c r="Z34" s="99">
        <v>16</v>
      </c>
      <c r="AA34" s="99" t="s">
        <v>592</v>
      </c>
      <c r="AB34" s="99" t="s">
        <v>592</v>
      </c>
      <c r="AC34" s="99" t="s">
        <v>592</v>
      </c>
      <c r="AD34" s="98" t="s">
        <v>343</v>
      </c>
      <c r="AE34" s="100">
        <v>0.14571068124474348</v>
      </c>
      <c r="AF34" s="100">
        <v>0.18</v>
      </c>
      <c r="AG34" s="98">
        <v>399.49537426408745</v>
      </c>
      <c r="AH34" s="98">
        <v>273.3389402859546</v>
      </c>
      <c r="AI34" s="100">
        <v>0.019</v>
      </c>
      <c r="AJ34" s="100">
        <v>0.584</v>
      </c>
      <c r="AK34" s="100">
        <v>0.559172</v>
      </c>
      <c r="AL34" s="100">
        <v>0.74649</v>
      </c>
      <c r="AM34" s="100">
        <v>0.428571</v>
      </c>
      <c r="AN34" s="100">
        <v>0.48</v>
      </c>
      <c r="AO34" s="98">
        <v>1745.1640033641715</v>
      </c>
      <c r="AP34" s="158">
        <v>1.057036133</v>
      </c>
      <c r="AQ34" s="100">
        <v>0.13253012048192772</v>
      </c>
      <c r="AR34" s="100">
        <v>0.4782608695652174</v>
      </c>
      <c r="AS34" s="98">
        <v>252.31286795626576</v>
      </c>
      <c r="AT34" s="98">
        <v>294.3650126156434</v>
      </c>
      <c r="AU34" s="98" t="s">
        <v>592</v>
      </c>
      <c r="AV34" s="98">
        <v>294.3650126156434</v>
      </c>
      <c r="AW34" s="98">
        <v>441.5475189234651</v>
      </c>
      <c r="AX34" s="98">
        <v>567.703952901598</v>
      </c>
      <c r="AY34" s="98">
        <v>967.1993271656854</v>
      </c>
      <c r="AZ34" s="98">
        <v>336.41715727502105</v>
      </c>
      <c r="BA34" s="100" t="s">
        <v>592</v>
      </c>
      <c r="BB34" s="100" t="s">
        <v>592</v>
      </c>
      <c r="BC34" s="100" t="s">
        <v>592</v>
      </c>
      <c r="BD34" s="158">
        <v>0.8419233704</v>
      </c>
      <c r="BE34" s="158">
        <v>1.3103553769999998</v>
      </c>
      <c r="BF34" s="162">
        <v>375</v>
      </c>
      <c r="BG34" s="162">
        <v>338</v>
      </c>
      <c r="BH34" s="162">
        <v>1282</v>
      </c>
      <c r="BI34" s="162">
        <v>364</v>
      </c>
      <c r="BJ34" s="162">
        <v>175</v>
      </c>
      <c r="BK34" s="97"/>
      <c r="BL34" s="97"/>
      <c r="BM34" s="97"/>
      <c r="BN34" s="97"/>
    </row>
    <row r="35" spans="1:66" ht="12.75">
      <c r="A35" s="79" t="s">
        <v>582</v>
      </c>
      <c r="B35" s="79" t="s">
        <v>340</v>
      </c>
      <c r="C35" s="79" t="s">
        <v>71</v>
      </c>
      <c r="D35" s="99">
        <v>4684</v>
      </c>
      <c r="E35" s="99">
        <v>286</v>
      </c>
      <c r="F35" s="99" t="s">
        <v>364</v>
      </c>
      <c r="G35" s="99">
        <v>10</v>
      </c>
      <c r="H35" s="99" t="s">
        <v>592</v>
      </c>
      <c r="I35" s="99">
        <v>11</v>
      </c>
      <c r="J35" s="99">
        <v>216</v>
      </c>
      <c r="K35" s="99">
        <v>9</v>
      </c>
      <c r="L35" s="99">
        <v>921</v>
      </c>
      <c r="M35" s="99">
        <v>88</v>
      </c>
      <c r="N35" s="99">
        <v>46</v>
      </c>
      <c r="O35" s="99">
        <v>47</v>
      </c>
      <c r="P35" s="159">
        <v>47</v>
      </c>
      <c r="Q35" s="99">
        <v>6</v>
      </c>
      <c r="R35" s="99">
        <v>12</v>
      </c>
      <c r="S35" s="99">
        <v>13</v>
      </c>
      <c r="T35" s="99" t="s">
        <v>592</v>
      </c>
      <c r="U35" s="99" t="s">
        <v>592</v>
      </c>
      <c r="V35" s="99" t="s">
        <v>592</v>
      </c>
      <c r="W35" s="99">
        <v>12</v>
      </c>
      <c r="X35" s="99">
        <v>7</v>
      </c>
      <c r="Y35" s="99">
        <v>34</v>
      </c>
      <c r="Z35" s="99">
        <v>16</v>
      </c>
      <c r="AA35" s="99" t="s">
        <v>592</v>
      </c>
      <c r="AB35" s="99" t="s">
        <v>592</v>
      </c>
      <c r="AC35" s="99" t="s">
        <v>592</v>
      </c>
      <c r="AD35" s="98" t="s">
        <v>343</v>
      </c>
      <c r="AE35" s="100">
        <v>0.061058923996584115</v>
      </c>
      <c r="AF35" s="100">
        <v>0.37</v>
      </c>
      <c r="AG35" s="98">
        <v>213.4927412467976</v>
      </c>
      <c r="AH35" s="98" t="s">
        <v>592</v>
      </c>
      <c r="AI35" s="100">
        <v>0.002</v>
      </c>
      <c r="AJ35" s="100">
        <v>0.566929</v>
      </c>
      <c r="AK35" s="100">
        <v>0.428571</v>
      </c>
      <c r="AL35" s="100">
        <v>0.72292</v>
      </c>
      <c r="AM35" s="100">
        <v>0.409302</v>
      </c>
      <c r="AN35" s="100">
        <v>0.418182</v>
      </c>
      <c r="AO35" s="98">
        <v>1003.4158838599487</v>
      </c>
      <c r="AP35" s="158">
        <v>0.8039194489</v>
      </c>
      <c r="AQ35" s="100">
        <v>0.1276595744680851</v>
      </c>
      <c r="AR35" s="100">
        <v>0.5</v>
      </c>
      <c r="AS35" s="98">
        <v>277.5405636208369</v>
      </c>
      <c r="AT35" s="98" t="s">
        <v>592</v>
      </c>
      <c r="AU35" s="98" t="s">
        <v>592</v>
      </c>
      <c r="AV35" s="98" t="s">
        <v>592</v>
      </c>
      <c r="AW35" s="98">
        <v>256.19128949615714</v>
      </c>
      <c r="AX35" s="98">
        <v>149.44491887275834</v>
      </c>
      <c r="AY35" s="98">
        <v>725.8753202391118</v>
      </c>
      <c r="AZ35" s="98">
        <v>341.58838599487615</v>
      </c>
      <c r="BA35" s="100" t="s">
        <v>592</v>
      </c>
      <c r="BB35" s="100" t="s">
        <v>592</v>
      </c>
      <c r="BC35" s="100" t="s">
        <v>592</v>
      </c>
      <c r="BD35" s="158">
        <v>0.5906897354</v>
      </c>
      <c r="BE35" s="158">
        <v>1.069042358</v>
      </c>
      <c r="BF35" s="162">
        <v>381</v>
      </c>
      <c r="BG35" s="162">
        <v>21</v>
      </c>
      <c r="BH35" s="162">
        <v>1274</v>
      </c>
      <c r="BI35" s="162">
        <v>215</v>
      </c>
      <c r="BJ35" s="162">
        <v>110</v>
      </c>
      <c r="BK35" s="97"/>
      <c r="BL35" s="97"/>
      <c r="BM35" s="97"/>
      <c r="BN35" s="97"/>
    </row>
    <row r="36" spans="1:66" ht="12.75">
      <c r="A36" s="79" t="s">
        <v>595</v>
      </c>
      <c r="B36" s="79" t="s">
        <v>285</v>
      </c>
      <c r="C36" s="79" t="s">
        <v>71</v>
      </c>
      <c r="D36" s="99">
        <v>6292</v>
      </c>
      <c r="E36" s="99">
        <v>1135</v>
      </c>
      <c r="F36" s="99" t="s">
        <v>365</v>
      </c>
      <c r="G36" s="99">
        <v>32</v>
      </c>
      <c r="H36" s="99">
        <v>11</v>
      </c>
      <c r="I36" s="99">
        <v>116</v>
      </c>
      <c r="J36" s="99">
        <v>507</v>
      </c>
      <c r="K36" s="99">
        <v>13</v>
      </c>
      <c r="L36" s="99">
        <v>1373</v>
      </c>
      <c r="M36" s="99">
        <v>373</v>
      </c>
      <c r="N36" s="99">
        <v>206</v>
      </c>
      <c r="O36" s="99">
        <v>86</v>
      </c>
      <c r="P36" s="159">
        <v>86</v>
      </c>
      <c r="Q36" s="99">
        <v>11</v>
      </c>
      <c r="R36" s="99">
        <v>31</v>
      </c>
      <c r="S36" s="99">
        <v>10</v>
      </c>
      <c r="T36" s="99">
        <v>11</v>
      </c>
      <c r="U36" s="99" t="s">
        <v>592</v>
      </c>
      <c r="V36" s="99">
        <v>20</v>
      </c>
      <c r="W36" s="99">
        <v>41</v>
      </c>
      <c r="X36" s="99">
        <v>17</v>
      </c>
      <c r="Y36" s="99">
        <v>56</v>
      </c>
      <c r="Z36" s="99">
        <v>34</v>
      </c>
      <c r="AA36" s="99" t="s">
        <v>592</v>
      </c>
      <c r="AB36" s="99" t="s">
        <v>592</v>
      </c>
      <c r="AC36" s="99" t="s">
        <v>592</v>
      </c>
      <c r="AD36" s="98" t="s">
        <v>343</v>
      </c>
      <c r="AE36" s="100">
        <v>0.18038779402415767</v>
      </c>
      <c r="AF36" s="100">
        <v>0.1</v>
      </c>
      <c r="AG36" s="98">
        <v>508.58232676414497</v>
      </c>
      <c r="AH36" s="98">
        <v>174.82517482517483</v>
      </c>
      <c r="AI36" s="100">
        <v>0.018000000000000002</v>
      </c>
      <c r="AJ36" s="100">
        <v>0.628253</v>
      </c>
      <c r="AK36" s="100">
        <v>0.565217</v>
      </c>
      <c r="AL36" s="100">
        <v>0.764477</v>
      </c>
      <c r="AM36" s="100">
        <v>0.568598</v>
      </c>
      <c r="AN36" s="100">
        <v>0.613095</v>
      </c>
      <c r="AO36" s="98">
        <v>1366.8150031786395</v>
      </c>
      <c r="AP36" s="158">
        <v>0.6890850067</v>
      </c>
      <c r="AQ36" s="100">
        <v>0.12790697674418605</v>
      </c>
      <c r="AR36" s="100">
        <v>0.3548387096774194</v>
      </c>
      <c r="AS36" s="98">
        <v>158.93197711379528</v>
      </c>
      <c r="AT36" s="98">
        <v>174.82517482517483</v>
      </c>
      <c r="AU36" s="98" t="s">
        <v>592</v>
      </c>
      <c r="AV36" s="98">
        <v>317.86395422759057</v>
      </c>
      <c r="AW36" s="98">
        <v>651.6211061665607</v>
      </c>
      <c r="AX36" s="98">
        <v>270.184361093452</v>
      </c>
      <c r="AY36" s="98">
        <v>890.0190718372537</v>
      </c>
      <c r="AZ36" s="98">
        <v>540.368722186904</v>
      </c>
      <c r="BA36" s="100" t="s">
        <v>592</v>
      </c>
      <c r="BB36" s="100" t="s">
        <v>592</v>
      </c>
      <c r="BC36" s="100" t="s">
        <v>592</v>
      </c>
      <c r="BD36" s="158">
        <v>0.5511790466</v>
      </c>
      <c r="BE36" s="158">
        <v>0.851014328</v>
      </c>
      <c r="BF36" s="162">
        <v>807</v>
      </c>
      <c r="BG36" s="162">
        <v>23</v>
      </c>
      <c r="BH36" s="162">
        <v>1796</v>
      </c>
      <c r="BI36" s="162">
        <v>656</v>
      </c>
      <c r="BJ36" s="162">
        <v>336</v>
      </c>
      <c r="BK36" s="97"/>
      <c r="BL36" s="97"/>
      <c r="BM36" s="97"/>
      <c r="BN36" s="97"/>
    </row>
    <row r="37" spans="1:66" ht="12.75">
      <c r="A37" s="79" t="s">
        <v>596</v>
      </c>
      <c r="B37" s="79" t="s">
        <v>297</v>
      </c>
      <c r="C37" s="79" t="s">
        <v>71</v>
      </c>
      <c r="D37" s="99">
        <v>7455</v>
      </c>
      <c r="E37" s="99">
        <v>1500</v>
      </c>
      <c r="F37" s="99" t="s">
        <v>365</v>
      </c>
      <c r="G37" s="99">
        <v>38</v>
      </c>
      <c r="H37" s="99">
        <v>15</v>
      </c>
      <c r="I37" s="99">
        <v>191</v>
      </c>
      <c r="J37" s="99">
        <v>661</v>
      </c>
      <c r="K37" s="99">
        <v>7</v>
      </c>
      <c r="L37" s="99">
        <v>1459</v>
      </c>
      <c r="M37" s="99">
        <v>512</v>
      </c>
      <c r="N37" s="99">
        <v>263</v>
      </c>
      <c r="O37" s="99">
        <v>169</v>
      </c>
      <c r="P37" s="159">
        <v>169</v>
      </c>
      <c r="Q37" s="99">
        <v>19</v>
      </c>
      <c r="R37" s="99">
        <v>36</v>
      </c>
      <c r="S37" s="99" t="s">
        <v>592</v>
      </c>
      <c r="T37" s="99">
        <v>51</v>
      </c>
      <c r="U37" s="99" t="s">
        <v>592</v>
      </c>
      <c r="V37" s="99">
        <v>54</v>
      </c>
      <c r="W37" s="99">
        <v>56</v>
      </c>
      <c r="X37" s="99">
        <v>31</v>
      </c>
      <c r="Y37" s="99">
        <v>61</v>
      </c>
      <c r="Z37" s="99">
        <v>46</v>
      </c>
      <c r="AA37" s="99" t="s">
        <v>592</v>
      </c>
      <c r="AB37" s="99" t="s">
        <v>592</v>
      </c>
      <c r="AC37" s="99" t="s">
        <v>592</v>
      </c>
      <c r="AD37" s="98" t="s">
        <v>343</v>
      </c>
      <c r="AE37" s="100">
        <v>0.2012072434607646</v>
      </c>
      <c r="AF37" s="100">
        <v>0.1</v>
      </c>
      <c r="AG37" s="98">
        <v>509.7250167672703</v>
      </c>
      <c r="AH37" s="98">
        <v>201.2072434607646</v>
      </c>
      <c r="AI37" s="100">
        <v>0.026000000000000002</v>
      </c>
      <c r="AJ37" s="100">
        <v>0.655104</v>
      </c>
      <c r="AK37" s="100">
        <v>0.875</v>
      </c>
      <c r="AL37" s="100">
        <v>0.762278</v>
      </c>
      <c r="AM37" s="100">
        <v>0.545842</v>
      </c>
      <c r="AN37" s="100">
        <v>0.558386</v>
      </c>
      <c r="AO37" s="98">
        <v>2266.934942991281</v>
      </c>
      <c r="AP37" s="158">
        <v>1.101418457</v>
      </c>
      <c r="AQ37" s="100">
        <v>0.11242603550295859</v>
      </c>
      <c r="AR37" s="100">
        <v>0.5277777777777778</v>
      </c>
      <c r="AS37" s="98" t="s">
        <v>592</v>
      </c>
      <c r="AT37" s="98">
        <v>684.1046277665996</v>
      </c>
      <c r="AU37" s="98" t="s">
        <v>592</v>
      </c>
      <c r="AV37" s="98">
        <v>724.3460764587525</v>
      </c>
      <c r="AW37" s="98">
        <v>751.1737089201878</v>
      </c>
      <c r="AX37" s="98">
        <v>415.8283031522468</v>
      </c>
      <c r="AY37" s="98">
        <v>818.242790073776</v>
      </c>
      <c r="AZ37" s="98">
        <v>617.0355466130114</v>
      </c>
      <c r="BA37" s="100" t="s">
        <v>592</v>
      </c>
      <c r="BB37" s="100" t="s">
        <v>592</v>
      </c>
      <c r="BC37" s="100" t="s">
        <v>592</v>
      </c>
      <c r="BD37" s="158">
        <v>0.9416178130999999</v>
      </c>
      <c r="BE37" s="158">
        <v>1.2805676270000002</v>
      </c>
      <c r="BF37" s="162">
        <v>1009</v>
      </c>
      <c r="BG37" s="162">
        <v>8</v>
      </c>
      <c r="BH37" s="162">
        <v>1914</v>
      </c>
      <c r="BI37" s="162">
        <v>938</v>
      </c>
      <c r="BJ37" s="162">
        <v>471</v>
      </c>
      <c r="BK37" s="97"/>
      <c r="BL37" s="97"/>
      <c r="BM37" s="97"/>
      <c r="BN37" s="97"/>
    </row>
    <row r="38" spans="1:66" ht="12.75">
      <c r="A38" s="79" t="s">
        <v>569</v>
      </c>
      <c r="B38" s="79" t="s">
        <v>326</v>
      </c>
      <c r="C38" s="79" t="s">
        <v>71</v>
      </c>
      <c r="D38" s="99">
        <v>2114</v>
      </c>
      <c r="E38" s="99">
        <v>283</v>
      </c>
      <c r="F38" s="99" t="s">
        <v>364</v>
      </c>
      <c r="G38" s="99" t="s">
        <v>592</v>
      </c>
      <c r="H38" s="99" t="s">
        <v>592</v>
      </c>
      <c r="I38" s="99">
        <v>27</v>
      </c>
      <c r="J38" s="99">
        <v>116</v>
      </c>
      <c r="K38" s="99" t="s">
        <v>592</v>
      </c>
      <c r="L38" s="99">
        <v>410</v>
      </c>
      <c r="M38" s="99">
        <v>78</v>
      </c>
      <c r="N38" s="99">
        <v>33</v>
      </c>
      <c r="O38" s="99">
        <v>13</v>
      </c>
      <c r="P38" s="159">
        <v>13</v>
      </c>
      <c r="Q38" s="99" t="s">
        <v>592</v>
      </c>
      <c r="R38" s="99">
        <v>7</v>
      </c>
      <c r="S38" s="99" t="s">
        <v>592</v>
      </c>
      <c r="T38" s="99" t="s">
        <v>592</v>
      </c>
      <c r="U38" s="99" t="s">
        <v>592</v>
      </c>
      <c r="V38" s="99" t="s">
        <v>592</v>
      </c>
      <c r="W38" s="99">
        <v>14</v>
      </c>
      <c r="X38" s="99" t="s">
        <v>592</v>
      </c>
      <c r="Y38" s="99">
        <v>18</v>
      </c>
      <c r="Z38" s="99">
        <v>28</v>
      </c>
      <c r="AA38" s="99" t="s">
        <v>592</v>
      </c>
      <c r="AB38" s="99" t="s">
        <v>592</v>
      </c>
      <c r="AC38" s="99" t="s">
        <v>592</v>
      </c>
      <c r="AD38" s="98" t="s">
        <v>343</v>
      </c>
      <c r="AE38" s="100">
        <v>0.13386944181646168</v>
      </c>
      <c r="AF38" s="100">
        <v>0.31</v>
      </c>
      <c r="AG38" s="98" t="s">
        <v>592</v>
      </c>
      <c r="AH38" s="98" t="s">
        <v>592</v>
      </c>
      <c r="AI38" s="100">
        <v>0.013000000000000001</v>
      </c>
      <c r="AJ38" s="100">
        <v>0.617021</v>
      </c>
      <c r="AK38" s="100" t="s">
        <v>592</v>
      </c>
      <c r="AL38" s="100">
        <v>0.783939</v>
      </c>
      <c r="AM38" s="100">
        <v>0.472727</v>
      </c>
      <c r="AN38" s="100">
        <v>0.423077</v>
      </c>
      <c r="AO38" s="98">
        <v>614.9479659413435</v>
      </c>
      <c r="AP38" s="158">
        <v>0.38621234889999995</v>
      </c>
      <c r="AQ38" s="100" t="s">
        <v>592</v>
      </c>
      <c r="AR38" s="100" t="s">
        <v>592</v>
      </c>
      <c r="AS38" s="98" t="s">
        <v>592</v>
      </c>
      <c r="AT38" s="98" t="s">
        <v>592</v>
      </c>
      <c r="AU38" s="98" t="s">
        <v>592</v>
      </c>
      <c r="AV38" s="98" t="s">
        <v>592</v>
      </c>
      <c r="AW38" s="98">
        <v>662.2516556291391</v>
      </c>
      <c r="AX38" s="98" t="s">
        <v>592</v>
      </c>
      <c r="AY38" s="98">
        <v>851.4664143803217</v>
      </c>
      <c r="AZ38" s="98">
        <v>1324.5033112582782</v>
      </c>
      <c r="BA38" s="100" t="s">
        <v>592</v>
      </c>
      <c r="BB38" s="100" t="s">
        <v>592</v>
      </c>
      <c r="BC38" s="100" t="s">
        <v>592</v>
      </c>
      <c r="BD38" s="158">
        <v>0.2056418228</v>
      </c>
      <c r="BE38" s="158">
        <v>0.6604348754999999</v>
      </c>
      <c r="BF38" s="162">
        <v>188</v>
      </c>
      <c r="BG38" s="162" t="s">
        <v>592</v>
      </c>
      <c r="BH38" s="162">
        <v>523</v>
      </c>
      <c r="BI38" s="162">
        <v>165</v>
      </c>
      <c r="BJ38" s="162">
        <v>78</v>
      </c>
      <c r="BK38" s="97"/>
      <c r="BL38" s="97"/>
      <c r="BM38" s="97"/>
      <c r="BN38" s="97"/>
    </row>
    <row r="39" spans="1:66" ht="12.75">
      <c r="A39" s="79" t="s">
        <v>553</v>
      </c>
      <c r="B39" s="79" t="s">
        <v>310</v>
      </c>
      <c r="C39" s="79" t="s">
        <v>71</v>
      </c>
      <c r="D39" s="99">
        <v>2750</v>
      </c>
      <c r="E39" s="99">
        <v>344</v>
      </c>
      <c r="F39" s="99" t="s">
        <v>364</v>
      </c>
      <c r="G39" s="99">
        <v>9</v>
      </c>
      <c r="H39" s="99">
        <v>7</v>
      </c>
      <c r="I39" s="99">
        <v>23</v>
      </c>
      <c r="J39" s="99">
        <v>199</v>
      </c>
      <c r="K39" s="99">
        <v>196</v>
      </c>
      <c r="L39" s="99">
        <v>562</v>
      </c>
      <c r="M39" s="99">
        <v>105</v>
      </c>
      <c r="N39" s="99">
        <v>48</v>
      </c>
      <c r="O39" s="99">
        <v>29</v>
      </c>
      <c r="P39" s="159">
        <v>29</v>
      </c>
      <c r="Q39" s="99" t="s">
        <v>592</v>
      </c>
      <c r="R39" s="99">
        <v>10</v>
      </c>
      <c r="S39" s="99">
        <v>9</v>
      </c>
      <c r="T39" s="99" t="s">
        <v>592</v>
      </c>
      <c r="U39" s="99" t="s">
        <v>592</v>
      </c>
      <c r="V39" s="99" t="s">
        <v>592</v>
      </c>
      <c r="W39" s="99">
        <v>18</v>
      </c>
      <c r="X39" s="99" t="s">
        <v>592</v>
      </c>
      <c r="Y39" s="99">
        <v>27</v>
      </c>
      <c r="Z39" s="99">
        <v>8</v>
      </c>
      <c r="AA39" s="99" t="s">
        <v>592</v>
      </c>
      <c r="AB39" s="99" t="s">
        <v>592</v>
      </c>
      <c r="AC39" s="99" t="s">
        <v>592</v>
      </c>
      <c r="AD39" s="98" t="s">
        <v>343</v>
      </c>
      <c r="AE39" s="100">
        <v>0.12509090909090909</v>
      </c>
      <c r="AF39" s="100">
        <v>0.26</v>
      </c>
      <c r="AG39" s="98">
        <v>327.27272727272725</v>
      </c>
      <c r="AH39" s="98">
        <v>254.54545454545453</v>
      </c>
      <c r="AI39" s="100">
        <v>0.008</v>
      </c>
      <c r="AJ39" s="100">
        <v>0.710714</v>
      </c>
      <c r="AK39" s="100">
        <v>0.753846</v>
      </c>
      <c r="AL39" s="100">
        <v>0.778393</v>
      </c>
      <c r="AM39" s="100">
        <v>0.462555</v>
      </c>
      <c r="AN39" s="100">
        <v>0.444444</v>
      </c>
      <c r="AO39" s="98">
        <v>1054.5454545454545</v>
      </c>
      <c r="AP39" s="158">
        <v>0.6633687591999999</v>
      </c>
      <c r="AQ39" s="100" t="s">
        <v>592</v>
      </c>
      <c r="AR39" s="100" t="s">
        <v>592</v>
      </c>
      <c r="AS39" s="98">
        <v>327.27272727272725</v>
      </c>
      <c r="AT39" s="98" t="s">
        <v>592</v>
      </c>
      <c r="AU39" s="98" t="s">
        <v>592</v>
      </c>
      <c r="AV39" s="98" t="s">
        <v>592</v>
      </c>
      <c r="AW39" s="98">
        <v>654.5454545454545</v>
      </c>
      <c r="AX39" s="98" t="s">
        <v>592</v>
      </c>
      <c r="AY39" s="98">
        <v>981.8181818181819</v>
      </c>
      <c r="AZ39" s="98">
        <v>290.90909090909093</v>
      </c>
      <c r="BA39" s="100" t="s">
        <v>592</v>
      </c>
      <c r="BB39" s="100" t="s">
        <v>592</v>
      </c>
      <c r="BC39" s="100" t="s">
        <v>592</v>
      </c>
      <c r="BD39" s="158">
        <v>0.44426845550000005</v>
      </c>
      <c r="BE39" s="158">
        <v>0.9527082062</v>
      </c>
      <c r="BF39" s="162">
        <v>280</v>
      </c>
      <c r="BG39" s="162">
        <v>260</v>
      </c>
      <c r="BH39" s="162">
        <v>722</v>
      </c>
      <c r="BI39" s="162">
        <v>227</v>
      </c>
      <c r="BJ39" s="162">
        <v>108</v>
      </c>
      <c r="BK39" s="97"/>
      <c r="BL39" s="97"/>
      <c r="BM39" s="97"/>
      <c r="BN39" s="97"/>
    </row>
    <row r="40" spans="1:66" ht="12.75">
      <c r="A40" s="79" t="s">
        <v>551</v>
      </c>
      <c r="B40" s="79" t="s">
        <v>308</v>
      </c>
      <c r="C40" s="79" t="s">
        <v>71</v>
      </c>
      <c r="D40" s="99">
        <v>5571</v>
      </c>
      <c r="E40" s="99">
        <v>827</v>
      </c>
      <c r="F40" s="99" t="s">
        <v>366</v>
      </c>
      <c r="G40" s="99">
        <v>25</v>
      </c>
      <c r="H40" s="99">
        <v>9</v>
      </c>
      <c r="I40" s="99">
        <v>71</v>
      </c>
      <c r="J40" s="99">
        <v>442</v>
      </c>
      <c r="K40" s="99">
        <v>405</v>
      </c>
      <c r="L40" s="99">
        <v>1258</v>
      </c>
      <c r="M40" s="99">
        <v>233</v>
      </c>
      <c r="N40" s="99">
        <v>131</v>
      </c>
      <c r="O40" s="99">
        <v>75</v>
      </c>
      <c r="P40" s="159">
        <v>75</v>
      </c>
      <c r="Q40" s="99">
        <v>9</v>
      </c>
      <c r="R40" s="99">
        <v>17</v>
      </c>
      <c r="S40" s="99">
        <v>12</v>
      </c>
      <c r="T40" s="99">
        <v>21</v>
      </c>
      <c r="U40" s="99" t="s">
        <v>592</v>
      </c>
      <c r="V40" s="99">
        <v>11</v>
      </c>
      <c r="W40" s="99">
        <v>35</v>
      </c>
      <c r="X40" s="99">
        <v>6</v>
      </c>
      <c r="Y40" s="99">
        <v>31</v>
      </c>
      <c r="Z40" s="99">
        <v>24</v>
      </c>
      <c r="AA40" s="99" t="s">
        <v>592</v>
      </c>
      <c r="AB40" s="99" t="s">
        <v>592</v>
      </c>
      <c r="AC40" s="99" t="s">
        <v>592</v>
      </c>
      <c r="AD40" s="98" t="s">
        <v>343</v>
      </c>
      <c r="AE40" s="100">
        <v>0.14844731646024054</v>
      </c>
      <c r="AF40" s="100">
        <v>0.17</v>
      </c>
      <c r="AG40" s="98">
        <v>448.7524681385748</v>
      </c>
      <c r="AH40" s="98">
        <v>161.55088852988692</v>
      </c>
      <c r="AI40" s="100">
        <v>0.013000000000000001</v>
      </c>
      <c r="AJ40" s="100">
        <v>0.704944</v>
      </c>
      <c r="AK40" s="100">
        <v>0.721925</v>
      </c>
      <c r="AL40" s="100">
        <v>0.804348</v>
      </c>
      <c r="AM40" s="100">
        <v>0.461386</v>
      </c>
      <c r="AN40" s="100">
        <v>0.505792</v>
      </c>
      <c r="AO40" s="98">
        <v>1346.2574044157243</v>
      </c>
      <c r="AP40" s="158">
        <v>0.7655475615999999</v>
      </c>
      <c r="AQ40" s="100">
        <v>0.12</v>
      </c>
      <c r="AR40" s="100">
        <v>0.5294117647058824</v>
      </c>
      <c r="AS40" s="98">
        <v>215.4011847065159</v>
      </c>
      <c r="AT40" s="98">
        <v>376.9520732364028</v>
      </c>
      <c r="AU40" s="98" t="s">
        <v>592</v>
      </c>
      <c r="AV40" s="98">
        <v>197.4510859809729</v>
      </c>
      <c r="AW40" s="98">
        <v>628.2534553940046</v>
      </c>
      <c r="AX40" s="98">
        <v>107.70059235325795</v>
      </c>
      <c r="AY40" s="98">
        <v>556.4530604918327</v>
      </c>
      <c r="AZ40" s="98">
        <v>430.8023694130318</v>
      </c>
      <c r="BA40" s="100" t="s">
        <v>592</v>
      </c>
      <c r="BB40" s="100" t="s">
        <v>592</v>
      </c>
      <c r="BC40" s="100" t="s">
        <v>592</v>
      </c>
      <c r="BD40" s="158">
        <v>0.6021517181</v>
      </c>
      <c r="BE40" s="158">
        <v>0.9596204376</v>
      </c>
      <c r="BF40" s="162">
        <v>627</v>
      </c>
      <c r="BG40" s="162">
        <v>561</v>
      </c>
      <c r="BH40" s="162">
        <v>1564</v>
      </c>
      <c r="BI40" s="162">
        <v>505</v>
      </c>
      <c r="BJ40" s="162">
        <v>259</v>
      </c>
      <c r="BK40" s="97"/>
      <c r="BL40" s="97"/>
      <c r="BM40" s="97"/>
      <c r="BN40" s="97"/>
    </row>
    <row r="41" spans="1:66" ht="12.75">
      <c r="A41" s="79" t="s">
        <v>541</v>
      </c>
      <c r="B41" s="79" t="s">
        <v>298</v>
      </c>
      <c r="C41" s="79" t="s">
        <v>71</v>
      </c>
      <c r="D41" s="99">
        <v>8356</v>
      </c>
      <c r="E41" s="99">
        <v>1275</v>
      </c>
      <c r="F41" s="99" t="s">
        <v>365</v>
      </c>
      <c r="G41" s="99">
        <v>40</v>
      </c>
      <c r="H41" s="99">
        <v>22</v>
      </c>
      <c r="I41" s="99">
        <v>175</v>
      </c>
      <c r="J41" s="99">
        <v>625</v>
      </c>
      <c r="K41" s="99">
        <v>42</v>
      </c>
      <c r="L41" s="99">
        <v>1765</v>
      </c>
      <c r="M41" s="99">
        <v>425</v>
      </c>
      <c r="N41" s="99">
        <v>230</v>
      </c>
      <c r="O41" s="99">
        <v>261</v>
      </c>
      <c r="P41" s="159">
        <v>261</v>
      </c>
      <c r="Q41" s="99">
        <v>19</v>
      </c>
      <c r="R41" s="99">
        <v>39</v>
      </c>
      <c r="S41" s="99">
        <v>43</v>
      </c>
      <c r="T41" s="99">
        <v>34</v>
      </c>
      <c r="U41" s="99" t="s">
        <v>592</v>
      </c>
      <c r="V41" s="99">
        <v>88</v>
      </c>
      <c r="W41" s="99">
        <v>68</v>
      </c>
      <c r="X41" s="99">
        <v>33</v>
      </c>
      <c r="Y41" s="99">
        <v>84</v>
      </c>
      <c r="Z41" s="99">
        <v>34</v>
      </c>
      <c r="AA41" s="99" t="s">
        <v>592</v>
      </c>
      <c r="AB41" s="99" t="s">
        <v>592</v>
      </c>
      <c r="AC41" s="99" t="s">
        <v>592</v>
      </c>
      <c r="AD41" s="98" t="s">
        <v>343</v>
      </c>
      <c r="AE41" s="100">
        <v>0.1525849688846338</v>
      </c>
      <c r="AF41" s="100">
        <v>0.11</v>
      </c>
      <c r="AG41" s="98">
        <v>478.6979415988511</v>
      </c>
      <c r="AH41" s="98">
        <v>263.28386787936813</v>
      </c>
      <c r="AI41" s="100">
        <v>0.021</v>
      </c>
      <c r="AJ41" s="100">
        <v>0.615157</v>
      </c>
      <c r="AK41" s="100">
        <v>0.56</v>
      </c>
      <c r="AL41" s="100">
        <v>0.750744</v>
      </c>
      <c r="AM41" s="100">
        <v>0.544872</v>
      </c>
      <c r="AN41" s="100">
        <v>0.566502</v>
      </c>
      <c r="AO41" s="98">
        <v>3123.5040689325037</v>
      </c>
      <c r="AP41" s="158">
        <v>1.700571747</v>
      </c>
      <c r="AQ41" s="100">
        <v>0.07279693486590039</v>
      </c>
      <c r="AR41" s="100">
        <v>0.48717948717948717</v>
      </c>
      <c r="AS41" s="98">
        <v>514.600287218765</v>
      </c>
      <c r="AT41" s="98">
        <v>406.89325035902345</v>
      </c>
      <c r="AU41" s="98" t="s">
        <v>592</v>
      </c>
      <c r="AV41" s="98">
        <v>1053.1354715174725</v>
      </c>
      <c r="AW41" s="98">
        <v>813.7865007180469</v>
      </c>
      <c r="AX41" s="98">
        <v>394.9258018190522</v>
      </c>
      <c r="AY41" s="98">
        <v>1005.2656773575874</v>
      </c>
      <c r="AZ41" s="98">
        <v>406.89325035902345</v>
      </c>
      <c r="BA41" s="100" t="s">
        <v>592</v>
      </c>
      <c r="BB41" s="100" t="s">
        <v>592</v>
      </c>
      <c r="BC41" s="100" t="s">
        <v>592</v>
      </c>
      <c r="BD41" s="158">
        <v>1.50049942</v>
      </c>
      <c r="BE41" s="158">
        <v>1.9198937989999998</v>
      </c>
      <c r="BF41" s="162">
        <v>1016</v>
      </c>
      <c r="BG41" s="162">
        <v>75</v>
      </c>
      <c r="BH41" s="162">
        <v>2351</v>
      </c>
      <c r="BI41" s="162">
        <v>780</v>
      </c>
      <c r="BJ41" s="162">
        <v>406</v>
      </c>
      <c r="BK41" s="97"/>
      <c r="BL41" s="97"/>
      <c r="BM41" s="97"/>
      <c r="BN41" s="97"/>
    </row>
    <row r="42" spans="1:66" ht="12.75">
      <c r="A42" s="79" t="s">
        <v>543</v>
      </c>
      <c r="B42" s="79" t="s">
        <v>300</v>
      </c>
      <c r="C42" s="79" t="s">
        <v>71</v>
      </c>
      <c r="D42" s="99">
        <v>2545</v>
      </c>
      <c r="E42" s="99">
        <v>486</v>
      </c>
      <c r="F42" s="99" t="s">
        <v>365</v>
      </c>
      <c r="G42" s="99">
        <v>11</v>
      </c>
      <c r="H42" s="99" t="s">
        <v>592</v>
      </c>
      <c r="I42" s="99">
        <v>59</v>
      </c>
      <c r="J42" s="99">
        <v>205</v>
      </c>
      <c r="K42" s="99" t="s">
        <v>592</v>
      </c>
      <c r="L42" s="99">
        <v>513</v>
      </c>
      <c r="M42" s="99">
        <v>140</v>
      </c>
      <c r="N42" s="99">
        <v>64</v>
      </c>
      <c r="O42" s="99">
        <v>18</v>
      </c>
      <c r="P42" s="159">
        <v>18</v>
      </c>
      <c r="Q42" s="99">
        <v>7</v>
      </c>
      <c r="R42" s="99">
        <v>15</v>
      </c>
      <c r="S42" s="99" t="s">
        <v>592</v>
      </c>
      <c r="T42" s="99" t="s">
        <v>592</v>
      </c>
      <c r="U42" s="99" t="s">
        <v>592</v>
      </c>
      <c r="V42" s="99" t="s">
        <v>592</v>
      </c>
      <c r="W42" s="99">
        <v>20</v>
      </c>
      <c r="X42" s="99">
        <v>6</v>
      </c>
      <c r="Y42" s="99">
        <v>25</v>
      </c>
      <c r="Z42" s="99">
        <v>20</v>
      </c>
      <c r="AA42" s="99" t="s">
        <v>592</v>
      </c>
      <c r="AB42" s="99" t="s">
        <v>592</v>
      </c>
      <c r="AC42" s="99" t="s">
        <v>592</v>
      </c>
      <c r="AD42" s="98" t="s">
        <v>343</v>
      </c>
      <c r="AE42" s="100">
        <v>0.19096267190569743</v>
      </c>
      <c r="AF42" s="100">
        <v>0.1</v>
      </c>
      <c r="AG42" s="98">
        <v>432.22003929273086</v>
      </c>
      <c r="AH42" s="98" t="s">
        <v>592</v>
      </c>
      <c r="AI42" s="100">
        <v>0.023</v>
      </c>
      <c r="AJ42" s="100">
        <v>0.6231</v>
      </c>
      <c r="AK42" s="100" t="s">
        <v>592</v>
      </c>
      <c r="AL42" s="100">
        <v>0.789231</v>
      </c>
      <c r="AM42" s="100">
        <v>0.48951</v>
      </c>
      <c r="AN42" s="100">
        <v>0.503937</v>
      </c>
      <c r="AO42" s="98">
        <v>707.2691552062869</v>
      </c>
      <c r="AP42" s="158">
        <v>0.3558793259</v>
      </c>
      <c r="AQ42" s="100">
        <v>0.3888888888888889</v>
      </c>
      <c r="AR42" s="100">
        <v>0.4666666666666667</v>
      </c>
      <c r="AS42" s="98" t="s">
        <v>592</v>
      </c>
      <c r="AT42" s="98" t="s">
        <v>592</v>
      </c>
      <c r="AU42" s="98" t="s">
        <v>592</v>
      </c>
      <c r="AV42" s="98" t="s">
        <v>592</v>
      </c>
      <c r="AW42" s="98">
        <v>785.8546168958743</v>
      </c>
      <c r="AX42" s="98">
        <v>235.75638506876228</v>
      </c>
      <c r="AY42" s="98">
        <v>982.3182711198428</v>
      </c>
      <c r="AZ42" s="98">
        <v>785.8546168958743</v>
      </c>
      <c r="BA42" s="100" t="s">
        <v>592</v>
      </c>
      <c r="BB42" s="100" t="s">
        <v>592</v>
      </c>
      <c r="BC42" s="100" t="s">
        <v>592</v>
      </c>
      <c r="BD42" s="158">
        <v>0.2109166527</v>
      </c>
      <c r="BE42" s="158">
        <v>0.5624427795</v>
      </c>
      <c r="BF42" s="162">
        <v>329</v>
      </c>
      <c r="BG42" s="162" t="s">
        <v>592</v>
      </c>
      <c r="BH42" s="162">
        <v>650</v>
      </c>
      <c r="BI42" s="162">
        <v>286</v>
      </c>
      <c r="BJ42" s="162">
        <v>127</v>
      </c>
      <c r="BK42" s="97"/>
      <c r="BL42" s="97"/>
      <c r="BM42" s="97"/>
      <c r="BN42" s="97"/>
    </row>
    <row r="43" spans="1:66" ht="12.75">
      <c r="A43" s="79" t="s">
        <v>530</v>
      </c>
      <c r="B43" s="79" t="s">
        <v>286</v>
      </c>
      <c r="C43" s="79" t="s">
        <v>71</v>
      </c>
      <c r="D43" s="99">
        <v>4131</v>
      </c>
      <c r="E43" s="99">
        <v>599</v>
      </c>
      <c r="F43" s="99" t="s">
        <v>364</v>
      </c>
      <c r="G43" s="99">
        <v>19</v>
      </c>
      <c r="H43" s="99">
        <v>10</v>
      </c>
      <c r="I43" s="99">
        <v>64</v>
      </c>
      <c r="J43" s="99">
        <v>296</v>
      </c>
      <c r="K43" s="99">
        <v>9</v>
      </c>
      <c r="L43" s="99">
        <v>856</v>
      </c>
      <c r="M43" s="99">
        <v>173</v>
      </c>
      <c r="N43" s="99">
        <v>99</v>
      </c>
      <c r="O43" s="99">
        <v>41</v>
      </c>
      <c r="P43" s="159">
        <v>41</v>
      </c>
      <c r="Q43" s="99">
        <v>6</v>
      </c>
      <c r="R43" s="99">
        <v>18</v>
      </c>
      <c r="S43" s="99" t="s">
        <v>592</v>
      </c>
      <c r="T43" s="99">
        <v>10</v>
      </c>
      <c r="U43" s="99" t="s">
        <v>592</v>
      </c>
      <c r="V43" s="99">
        <v>7</v>
      </c>
      <c r="W43" s="99">
        <v>28</v>
      </c>
      <c r="X43" s="99">
        <v>20</v>
      </c>
      <c r="Y43" s="99">
        <v>54</v>
      </c>
      <c r="Z43" s="99">
        <v>27</v>
      </c>
      <c r="AA43" s="99" t="s">
        <v>592</v>
      </c>
      <c r="AB43" s="99" t="s">
        <v>592</v>
      </c>
      <c r="AC43" s="99" t="s">
        <v>592</v>
      </c>
      <c r="AD43" s="98" t="s">
        <v>343</v>
      </c>
      <c r="AE43" s="100">
        <v>0.14500121036068747</v>
      </c>
      <c r="AF43" s="100">
        <v>0.29</v>
      </c>
      <c r="AG43" s="98">
        <v>459.9370612442508</v>
      </c>
      <c r="AH43" s="98">
        <v>242.0721374969741</v>
      </c>
      <c r="AI43" s="100">
        <v>0.015</v>
      </c>
      <c r="AJ43" s="100">
        <v>0.580392</v>
      </c>
      <c r="AK43" s="100">
        <v>0.692308</v>
      </c>
      <c r="AL43" s="100">
        <v>0.804511</v>
      </c>
      <c r="AM43" s="100">
        <v>0.434673</v>
      </c>
      <c r="AN43" s="100">
        <v>0.475962</v>
      </c>
      <c r="AO43" s="98">
        <v>992.4957637375938</v>
      </c>
      <c r="AP43" s="158">
        <v>0.5547481155</v>
      </c>
      <c r="AQ43" s="100">
        <v>0.14634146341463414</v>
      </c>
      <c r="AR43" s="100">
        <v>0.3333333333333333</v>
      </c>
      <c r="AS43" s="98" t="s">
        <v>592</v>
      </c>
      <c r="AT43" s="98">
        <v>242.0721374969741</v>
      </c>
      <c r="AU43" s="98" t="s">
        <v>592</v>
      </c>
      <c r="AV43" s="98">
        <v>169.45049624788186</v>
      </c>
      <c r="AW43" s="98">
        <v>677.8019849915274</v>
      </c>
      <c r="AX43" s="98">
        <v>484.1442749939482</v>
      </c>
      <c r="AY43" s="98">
        <v>1307.18954248366</v>
      </c>
      <c r="AZ43" s="98">
        <v>653.59477124183</v>
      </c>
      <c r="BA43" s="100" t="s">
        <v>592</v>
      </c>
      <c r="BB43" s="100" t="s">
        <v>592</v>
      </c>
      <c r="BC43" s="100" t="s">
        <v>592</v>
      </c>
      <c r="BD43" s="158">
        <v>0.3980968094</v>
      </c>
      <c r="BE43" s="158">
        <v>0.7525784301999999</v>
      </c>
      <c r="BF43" s="162">
        <v>510</v>
      </c>
      <c r="BG43" s="162">
        <v>13</v>
      </c>
      <c r="BH43" s="162">
        <v>1064</v>
      </c>
      <c r="BI43" s="162">
        <v>398</v>
      </c>
      <c r="BJ43" s="162">
        <v>208</v>
      </c>
      <c r="BK43" s="97"/>
      <c r="BL43" s="97"/>
      <c r="BM43" s="97"/>
      <c r="BN43" s="97"/>
    </row>
    <row r="44" spans="1:66" ht="12.75">
      <c r="A44" s="79" t="s">
        <v>563</v>
      </c>
      <c r="B44" s="79" t="s">
        <v>320</v>
      </c>
      <c r="C44" s="79" t="s">
        <v>71</v>
      </c>
      <c r="D44" s="99">
        <v>4688</v>
      </c>
      <c r="E44" s="99">
        <v>661</v>
      </c>
      <c r="F44" s="99" t="s">
        <v>364</v>
      </c>
      <c r="G44" s="99">
        <v>22</v>
      </c>
      <c r="H44" s="99">
        <v>7</v>
      </c>
      <c r="I44" s="99">
        <v>32</v>
      </c>
      <c r="J44" s="99">
        <v>357</v>
      </c>
      <c r="K44" s="99" t="s">
        <v>592</v>
      </c>
      <c r="L44" s="99">
        <v>1024</v>
      </c>
      <c r="M44" s="99">
        <v>198</v>
      </c>
      <c r="N44" s="99">
        <v>104</v>
      </c>
      <c r="O44" s="99">
        <v>45</v>
      </c>
      <c r="P44" s="159">
        <v>45</v>
      </c>
      <c r="Q44" s="99">
        <v>7</v>
      </c>
      <c r="R44" s="99">
        <v>12</v>
      </c>
      <c r="S44" s="99">
        <v>10</v>
      </c>
      <c r="T44" s="99">
        <v>8</v>
      </c>
      <c r="U44" s="99" t="s">
        <v>592</v>
      </c>
      <c r="V44" s="99">
        <v>8</v>
      </c>
      <c r="W44" s="99">
        <v>52</v>
      </c>
      <c r="X44" s="99">
        <v>23</v>
      </c>
      <c r="Y44" s="99">
        <v>78</v>
      </c>
      <c r="Z44" s="99">
        <v>37</v>
      </c>
      <c r="AA44" s="99" t="s">
        <v>592</v>
      </c>
      <c r="AB44" s="99" t="s">
        <v>592</v>
      </c>
      <c r="AC44" s="99" t="s">
        <v>592</v>
      </c>
      <c r="AD44" s="98" t="s">
        <v>343</v>
      </c>
      <c r="AE44" s="100">
        <v>0.14099829351535836</v>
      </c>
      <c r="AF44" s="100">
        <v>0.31</v>
      </c>
      <c r="AG44" s="98">
        <v>469.28327645051195</v>
      </c>
      <c r="AH44" s="98">
        <v>149.3174061433447</v>
      </c>
      <c r="AI44" s="100">
        <v>0.006999999999999999</v>
      </c>
      <c r="AJ44" s="100">
        <v>0.662338</v>
      </c>
      <c r="AK44" s="100" t="s">
        <v>592</v>
      </c>
      <c r="AL44" s="100">
        <v>0.817891</v>
      </c>
      <c r="AM44" s="100">
        <v>0.502538</v>
      </c>
      <c r="AN44" s="100">
        <v>0.525253</v>
      </c>
      <c r="AO44" s="98">
        <v>959.8976109215017</v>
      </c>
      <c r="AP44" s="158">
        <v>0.561582489</v>
      </c>
      <c r="AQ44" s="100">
        <v>0.15555555555555556</v>
      </c>
      <c r="AR44" s="100">
        <v>0.5833333333333334</v>
      </c>
      <c r="AS44" s="98">
        <v>213.31058020477815</v>
      </c>
      <c r="AT44" s="98">
        <v>170.64846416382252</v>
      </c>
      <c r="AU44" s="98" t="s">
        <v>592</v>
      </c>
      <c r="AV44" s="98">
        <v>170.64846416382252</v>
      </c>
      <c r="AW44" s="98">
        <v>1109.2150170648465</v>
      </c>
      <c r="AX44" s="98">
        <v>490.6143344709898</v>
      </c>
      <c r="AY44" s="98">
        <v>1663.8225255972695</v>
      </c>
      <c r="AZ44" s="98">
        <v>789.2491467576792</v>
      </c>
      <c r="BA44" s="100" t="s">
        <v>592</v>
      </c>
      <c r="BB44" s="100" t="s">
        <v>592</v>
      </c>
      <c r="BC44" s="100" t="s">
        <v>592</v>
      </c>
      <c r="BD44" s="158">
        <v>0.4096221161</v>
      </c>
      <c r="BE44" s="158">
        <v>0.7514415741</v>
      </c>
      <c r="BF44" s="162">
        <v>539</v>
      </c>
      <c r="BG44" s="162" t="s">
        <v>592</v>
      </c>
      <c r="BH44" s="162">
        <v>1252</v>
      </c>
      <c r="BI44" s="162">
        <v>394</v>
      </c>
      <c r="BJ44" s="162">
        <v>198</v>
      </c>
      <c r="BK44" s="97"/>
      <c r="BL44" s="97"/>
      <c r="BM44" s="97"/>
      <c r="BN44" s="97"/>
    </row>
    <row r="45" spans="1:66" ht="12.75">
      <c r="A45" s="79" t="s">
        <v>578</v>
      </c>
      <c r="B45" s="79" t="s">
        <v>335</v>
      </c>
      <c r="C45" s="79" t="s">
        <v>71</v>
      </c>
      <c r="D45" s="99">
        <v>3715</v>
      </c>
      <c r="E45" s="99">
        <v>297</v>
      </c>
      <c r="F45" s="99" t="s">
        <v>364</v>
      </c>
      <c r="G45" s="99">
        <v>6</v>
      </c>
      <c r="H45" s="99" t="s">
        <v>592</v>
      </c>
      <c r="I45" s="99">
        <v>24</v>
      </c>
      <c r="J45" s="99">
        <v>135</v>
      </c>
      <c r="K45" s="99" t="s">
        <v>592</v>
      </c>
      <c r="L45" s="99">
        <v>713</v>
      </c>
      <c r="M45" s="99">
        <v>84</v>
      </c>
      <c r="N45" s="99">
        <v>38</v>
      </c>
      <c r="O45" s="99">
        <v>40</v>
      </c>
      <c r="P45" s="159">
        <v>40</v>
      </c>
      <c r="Q45" s="99" t="s">
        <v>592</v>
      </c>
      <c r="R45" s="99">
        <v>8</v>
      </c>
      <c r="S45" s="99" t="s">
        <v>592</v>
      </c>
      <c r="T45" s="99" t="s">
        <v>592</v>
      </c>
      <c r="U45" s="99" t="s">
        <v>592</v>
      </c>
      <c r="V45" s="99">
        <v>6</v>
      </c>
      <c r="W45" s="99">
        <v>13</v>
      </c>
      <c r="X45" s="99" t="s">
        <v>592</v>
      </c>
      <c r="Y45" s="99">
        <v>22</v>
      </c>
      <c r="Z45" s="99">
        <v>8</v>
      </c>
      <c r="AA45" s="99" t="s">
        <v>592</v>
      </c>
      <c r="AB45" s="99" t="s">
        <v>592</v>
      </c>
      <c r="AC45" s="99" t="s">
        <v>592</v>
      </c>
      <c r="AD45" s="98" t="s">
        <v>343</v>
      </c>
      <c r="AE45" s="100">
        <v>0.07994616419919247</v>
      </c>
      <c r="AF45" s="100">
        <v>0.26</v>
      </c>
      <c r="AG45" s="98">
        <v>161.50740242261102</v>
      </c>
      <c r="AH45" s="98" t="s">
        <v>592</v>
      </c>
      <c r="AI45" s="100">
        <v>0.006</v>
      </c>
      <c r="AJ45" s="100">
        <v>0.521236</v>
      </c>
      <c r="AK45" s="100" t="s">
        <v>592</v>
      </c>
      <c r="AL45" s="100">
        <v>0.689555</v>
      </c>
      <c r="AM45" s="100">
        <v>0.456522</v>
      </c>
      <c r="AN45" s="100">
        <v>0.457831</v>
      </c>
      <c r="AO45" s="98">
        <v>1076.7160161507402</v>
      </c>
      <c r="AP45" s="158">
        <v>0.8245405579</v>
      </c>
      <c r="AQ45" s="100" t="s">
        <v>592</v>
      </c>
      <c r="AR45" s="100" t="s">
        <v>592</v>
      </c>
      <c r="AS45" s="98" t="s">
        <v>592</v>
      </c>
      <c r="AT45" s="98" t="s">
        <v>592</v>
      </c>
      <c r="AU45" s="98" t="s">
        <v>592</v>
      </c>
      <c r="AV45" s="98">
        <v>161.50740242261102</v>
      </c>
      <c r="AW45" s="98">
        <v>349.9327052489906</v>
      </c>
      <c r="AX45" s="98" t="s">
        <v>592</v>
      </c>
      <c r="AY45" s="98">
        <v>592.1938088829071</v>
      </c>
      <c r="AZ45" s="98">
        <v>215.34320323014805</v>
      </c>
      <c r="BA45" s="101" t="s">
        <v>592</v>
      </c>
      <c r="BB45" s="101" t="s">
        <v>592</v>
      </c>
      <c r="BC45" s="101" t="s">
        <v>592</v>
      </c>
      <c r="BD45" s="158">
        <v>0.5890638733</v>
      </c>
      <c r="BE45" s="158">
        <v>1.122790222</v>
      </c>
      <c r="BF45" s="162">
        <v>259</v>
      </c>
      <c r="BG45" s="162" t="s">
        <v>592</v>
      </c>
      <c r="BH45" s="162">
        <v>1034</v>
      </c>
      <c r="BI45" s="162">
        <v>184</v>
      </c>
      <c r="BJ45" s="162">
        <v>83</v>
      </c>
      <c r="BK45" s="97"/>
      <c r="BL45" s="97"/>
      <c r="BM45" s="97"/>
      <c r="BN45" s="97"/>
    </row>
    <row r="46" spans="1:66" ht="12.75">
      <c r="A46" s="79" t="s">
        <v>547</v>
      </c>
      <c r="B46" s="79" t="s">
        <v>304</v>
      </c>
      <c r="C46" s="79" t="s">
        <v>71</v>
      </c>
      <c r="D46" s="99">
        <v>3886</v>
      </c>
      <c r="E46" s="99">
        <v>495</v>
      </c>
      <c r="F46" s="99" t="s">
        <v>364</v>
      </c>
      <c r="G46" s="99">
        <v>11</v>
      </c>
      <c r="H46" s="99">
        <v>7</v>
      </c>
      <c r="I46" s="99">
        <v>32</v>
      </c>
      <c r="J46" s="99">
        <v>260</v>
      </c>
      <c r="K46" s="99" t="s">
        <v>592</v>
      </c>
      <c r="L46" s="99">
        <v>724</v>
      </c>
      <c r="M46" s="99">
        <v>145</v>
      </c>
      <c r="N46" s="99">
        <v>85</v>
      </c>
      <c r="O46" s="99">
        <v>35</v>
      </c>
      <c r="P46" s="159">
        <v>35</v>
      </c>
      <c r="Q46" s="99">
        <v>6</v>
      </c>
      <c r="R46" s="99">
        <v>18</v>
      </c>
      <c r="S46" s="99">
        <v>9</v>
      </c>
      <c r="T46" s="99">
        <v>7</v>
      </c>
      <c r="U46" s="99" t="s">
        <v>592</v>
      </c>
      <c r="V46" s="99" t="s">
        <v>592</v>
      </c>
      <c r="W46" s="99">
        <v>20</v>
      </c>
      <c r="X46" s="99">
        <v>14</v>
      </c>
      <c r="Y46" s="99">
        <v>31</v>
      </c>
      <c r="Z46" s="99">
        <v>23</v>
      </c>
      <c r="AA46" s="99" t="s">
        <v>592</v>
      </c>
      <c r="AB46" s="99" t="s">
        <v>592</v>
      </c>
      <c r="AC46" s="99" t="s">
        <v>592</v>
      </c>
      <c r="AD46" s="98" t="s">
        <v>343</v>
      </c>
      <c r="AE46" s="100">
        <v>0.1273803396809058</v>
      </c>
      <c r="AF46" s="100">
        <v>0.33</v>
      </c>
      <c r="AG46" s="98">
        <v>283.06742151312403</v>
      </c>
      <c r="AH46" s="98">
        <v>180.13381369016983</v>
      </c>
      <c r="AI46" s="100">
        <v>0.008</v>
      </c>
      <c r="AJ46" s="100">
        <v>0.704607</v>
      </c>
      <c r="AK46" s="100" t="s">
        <v>592</v>
      </c>
      <c r="AL46" s="100">
        <v>0.775161</v>
      </c>
      <c r="AM46" s="100">
        <v>0.466238</v>
      </c>
      <c r="AN46" s="100">
        <v>0.52795</v>
      </c>
      <c r="AO46" s="98">
        <v>900.6690684508492</v>
      </c>
      <c r="AP46" s="158">
        <v>0.5749501801</v>
      </c>
      <c r="AQ46" s="100">
        <v>0.17142857142857143</v>
      </c>
      <c r="AR46" s="100">
        <v>0.3333333333333333</v>
      </c>
      <c r="AS46" s="98">
        <v>231.60061760164695</v>
      </c>
      <c r="AT46" s="98">
        <v>180.13381369016983</v>
      </c>
      <c r="AU46" s="98" t="s">
        <v>592</v>
      </c>
      <c r="AV46" s="98" t="s">
        <v>592</v>
      </c>
      <c r="AW46" s="98">
        <v>514.668039114771</v>
      </c>
      <c r="AX46" s="98">
        <v>360.26762738033966</v>
      </c>
      <c r="AY46" s="98">
        <v>797.735460627895</v>
      </c>
      <c r="AZ46" s="98">
        <v>591.8682449819867</v>
      </c>
      <c r="BA46" s="100" t="s">
        <v>592</v>
      </c>
      <c r="BB46" s="100" t="s">
        <v>592</v>
      </c>
      <c r="BC46" s="100" t="s">
        <v>592</v>
      </c>
      <c r="BD46" s="158">
        <v>0.40047386170000004</v>
      </c>
      <c r="BE46" s="158">
        <v>0.7996165465999999</v>
      </c>
      <c r="BF46" s="162">
        <v>369</v>
      </c>
      <c r="BG46" s="162" t="s">
        <v>592</v>
      </c>
      <c r="BH46" s="162">
        <v>934</v>
      </c>
      <c r="BI46" s="162">
        <v>311</v>
      </c>
      <c r="BJ46" s="162">
        <v>161</v>
      </c>
      <c r="BK46" s="97"/>
      <c r="BL46" s="97"/>
      <c r="BM46" s="97"/>
      <c r="BN46" s="97"/>
    </row>
    <row r="47" spans="1:66" ht="12.75">
      <c r="A47" s="79" t="s">
        <v>559</v>
      </c>
      <c r="B47" s="79" t="s">
        <v>316</v>
      </c>
      <c r="C47" s="79" t="s">
        <v>71</v>
      </c>
      <c r="D47" s="99">
        <v>3453</v>
      </c>
      <c r="E47" s="99">
        <v>546</v>
      </c>
      <c r="F47" s="99" t="s">
        <v>364</v>
      </c>
      <c r="G47" s="99">
        <v>12</v>
      </c>
      <c r="H47" s="99">
        <v>6</v>
      </c>
      <c r="I47" s="99">
        <v>1</v>
      </c>
      <c r="J47" s="99">
        <v>330</v>
      </c>
      <c r="K47" s="99" t="s">
        <v>592</v>
      </c>
      <c r="L47" s="99">
        <v>721</v>
      </c>
      <c r="M47" s="99">
        <v>183</v>
      </c>
      <c r="N47" s="99">
        <v>93</v>
      </c>
      <c r="O47" s="99">
        <v>46</v>
      </c>
      <c r="P47" s="159">
        <v>46</v>
      </c>
      <c r="Q47" s="99" t="s">
        <v>592</v>
      </c>
      <c r="R47" s="99">
        <v>13</v>
      </c>
      <c r="S47" s="99">
        <v>11</v>
      </c>
      <c r="T47" s="99">
        <v>8</v>
      </c>
      <c r="U47" s="99" t="s">
        <v>592</v>
      </c>
      <c r="V47" s="99">
        <v>9</v>
      </c>
      <c r="W47" s="99">
        <v>36</v>
      </c>
      <c r="X47" s="99">
        <v>6</v>
      </c>
      <c r="Y47" s="99">
        <v>27</v>
      </c>
      <c r="Z47" s="99">
        <v>23</v>
      </c>
      <c r="AA47" s="99" t="s">
        <v>592</v>
      </c>
      <c r="AB47" s="99" t="s">
        <v>592</v>
      </c>
      <c r="AC47" s="99" t="s">
        <v>592</v>
      </c>
      <c r="AD47" s="98" t="s">
        <v>343</v>
      </c>
      <c r="AE47" s="100">
        <v>0.158123370981755</v>
      </c>
      <c r="AF47" s="100">
        <v>0.28</v>
      </c>
      <c r="AG47" s="98">
        <v>347.5238922675934</v>
      </c>
      <c r="AH47" s="98">
        <v>173.7619461337967</v>
      </c>
      <c r="AI47" s="100">
        <v>0</v>
      </c>
      <c r="AJ47" s="100">
        <v>0.686071</v>
      </c>
      <c r="AK47" s="100" t="s">
        <v>592</v>
      </c>
      <c r="AL47" s="100">
        <v>0.740246</v>
      </c>
      <c r="AM47" s="100">
        <v>0.493261</v>
      </c>
      <c r="AN47" s="100">
        <v>0.497326</v>
      </c>
      <c r="AO47" s="98">
        <v>1332.174920359108</v>
      </c>
      <c r="AP47" s="158">
        <v>0.7012174225</v>
      </c>
      <c r="AQ47" s="100" t="s">
        <v>592</v>
      </c>
      <c r="AR47" s="100" t="s">
        <v>592</v>
      </c>
      <c r="AS47" s="98">
        <v>318.5635679119606</v>
      </c>
      <c r="AT47" s="98">
        <v>231.68259484506225</v>
      </c>
      <c r="AU47" s="98" t="s">
        <v>592</v>
      </c>
      <c r="AV47" s="98">
        <v>260.6429192006951</v>
      </c>
      <c r="AW47" s="98">
        <v>1042.5716768027803</v>
      </c>
      <c r="AX47" s="98">
        <v>173.7619461337967</v>
      </c>
      <c r="AY47" s="98">
        <v>781.9287576020852</v>
      </c>
      <c r="AZ47" s="98">
        <v>666.087460179554</v>
      </c>
      <c r="BA47" s="100" t="s">
        <v>592</v>
      </c>
      <c r="BB47" s="100" t="s">
        <v>592</v>
      </c>
      <c r="BC47" s="100" t="s">
        <v>592</v>
      </c>
      <c r="BD47" s="158">
        <v>0.5133792877</v>
      </c>
      <c r="BE47" s="158">
        <v>0.9353257750999999</v>
      </c>
      <c r="BF47" s="162">
        <v>481</v>
      </c>
      <c r="BG47" s="162" t="s">
        <v>592</v>
      </c>
      <c r="BH47" s="162">
        <v>974</v>
      </c>
      <c r="BI47" s="162">
        <v>371</v>
      </c>
      <c r="BJ47" s="162">
        <v>187</v>
      </c>
      <c r="BK47" s="97"/>
      <c r="BL47" s="97"/>
      <c r="BM47" s="97"/>
      <c r="BN47" s="97"/>
    </row>
    <row r="48" spans="1:66" ht="12.75">
      <c r="A48" s="79" t="s">
        <v>550</v>
      </c>
      <c r="B48" s="79" t="s">
        <v>307</v>
      </c>
      <c r="C48" s="79" t="s">
        <v>71</v>
      </c>
      <c r="D48" s="99">
        <v>6001</v>
      </c>
      <c r="E48" s="99">
        <v>691</v>
      </c>
      <c r="F48" s="99" t="s">
        <v>364</v>
      </c>
      <c r="G48" s="99">
        <v>26</v>
      </c>
      <c r="H48" s="99">
        <v>7</v>
      </c>
      <c r="I48" s="99">
        <v>41</v>
      </c>
      <c r="J48" s="99">
        <v>364</v>
      </c>
      <c r="K48" s="99">
        <v>9</v>
      </c>
      <c r="L48" s="99">
        <v>1241</v>
      </c>
      <c r="M48" s="99">
        <v>236</v>
      </c>
      <c r="N48" s="99">
        <v>113</v>
      </c>
      <c r="O48" s="99">
        <v>37</v>
      </c>
      <c r="P48" s="159">
        <v>37</v>
      </c>
      <c r="Q48" s="99" t="s">
        <v>592</v>
      </c>
      <c r="R48" s="99">
        <v>19</v>
      </c>
      <c r="S48" s="99">
        <v>8</v>
      </c>
      <c r="T48" s="99">
        <v>7</v>
      </c>
      <c r="U48" s="99" t="s">
        <v>592</v>
      </c>
      <c r="V48" s="99">
        <v>6</v>
      </c>
      <c r="W48" s="99">
        <v>27</v>
      </c>
      <c r="X48" s="99">
        <v>12</v>
      </c>
      <c r="Y48" s="99">
        <v>38</v>
      </c>
      <c r="Z48" s="99">
        <v>20</v>
      </c>
      <c r="AA48" s="99" t="s">
        <v>592</v>
      </c>
      <c r="AB48" s="99" t="s">
        <v>592</v>
      </c>
      <c r="AC48" s="99" t="s">
        <v>592</v>
      </c>
      <c r="AD48" s="98" t="s">
        <v>343</v>
      </c>
      <c r="AE48" s="100">
        <v>0.1151474754207632</v>
      </c>
      <c r="AF48" s="100">
        <v>0.31</v>
      </c>
      <c r="AG48" s="98">
        <v>433.2611231461423</v>
      </c>
      <c r="AH48" s="98">
        <v>116.64722546242292</v>
      </c>
      <c r="AI48" s="100">
        <v>0.006999999999999999</v>
      </c>
      <c r="AJ48" s="100">
        <v>0.554878</v>
      </c>
      <c r="AK48" s="100">
        <v>0.473684</v>
      </c>
      <c r="AL48" s="100">
        <v>0.770807</v>
      </c>
      <c r="AM48" s="100">
        <v>0.491667</v>
      </c>
      <c r="AN48" s="100">
        <v>0.482906</v>
      </c>
      <c r="AO48" s="98">
        <v>616.5639060156641</v>
      </c>
      <c r="AP48" s="158">
        <v>0.387543602</v>
      </c>
      <c r="AQ48" s="100" t="s">
        <v>592</v>
      </c>
      <c r="AR48" s="100" t="s">
        <v>592</v>
      </c>
      <c r="AS48" s="98">
        <v>133.31111481419762</v>
      </c>
      <c r="AT48" s="98">
        <v>116.64722546242292</v>
      </c>
      <c r="AU48" s="98" t="s">
        <v>592</v>
      </c>
      <c r="AV48" s="98">
        <v>99.98333611064822</v>
      </c>
      <c r="AW48" s="98">
        <v>449.925012497917</v>
      </c>
      <c r="AX48" s="98">
        <v>199.96667222129645</v>
      </c>
      <c r="AY48" s="98">
        <v>633.2277953674387</v>
      </c>
      <c r="AZ48" s="98">
        <v>333.2777870354941</v>
      </c>
      <c r="BA48" s="100" t="s">
        <v>592</v>
      </c>
      <c r="BB48" s="100" t="s">
        <v>592</v>
      </c>
      <c r="BC48" s="100" t="s">
        <v>592</v>
      </c>
      <c r="BD48" s="158">
        <v>0.2728664589</v>
      </c>
      <c r="BE48" s="158">
        <v>0.5341778183</v>
      </c>
      <c r="BF48" s="162">
        <v>656</v>
      </c>
      <c r="BG48" s="162">
        <v>19</v>
      </c>
      <c r="BH48" s="162">
        <v>1610</v>
      </c>
      <c r="BI48" s="162">
        <v>480</v>
      </c>
      <c r="BJ48" s="162">
        <v>234</v>
      </c>
      <c r="BK48" s="97"/>
      <c r="BL48" s="97"/>
      <c r="BM48" s="97"/>
      <c r="BN48" s="97"/>
    </row>
    <row r="49" spans="1:66" ht="12.75">
      <c r="A49" s="79" t="s">
        <v>573</v>
      </c>
      <c r="B49" s="79" t="s">
        <v>330</v>
      </c>
      <c r="C49" s="79" t="s">
        <v>71</v>
      </c>
      <c r="D49" s="99">
        <v>6648</v>
      </c>
      <c r="E49" s="99">
        <v>1027</v>
      </c>
      <c r="F49" s="99" t="s">
        <v>366</v>
      </c>
      <c r="G49" s="99">
        <v>28</v>
      </c>
      <c r="H49" s="99">
        <v>11</v>
      </c>
      <c r="I49" s="99">
        <v>59</v>
      </c>
      <c r="J49" s="99">
        <v>437</v>
      </c>
      <c r="K49" s="99">
        <v>9</v>
      </c>
      <c r="L49" s="99">
        <v>1425</v>
      </c>
      <c r="M49" s="99">
        <v>288</v>
      </c>
      <c r="N49" s="99">
        <v>148</v>
      </c>
      <c r="O49" s="99">
        <v>199</v>
      </c>
      <c r="P49" s="159">
        <v>199</v>
      </c>
      <c r="Q49" s="99">
        <v>14</v>
      </c>
      <c r="R49" s="99">
        <v>28</v>
      </c>
      <c r="S49" s="99">
        <v>30</v>
      </c>
      <c r="T49" s="99">
        <v>42</v>
      </c>
      <c r="U49" s="99">
        <v>7</v>
      </c>
      <c r="V49" s="99">
        <v>37</v>
      </c>
      <c r="W49" s="99">
        <v>59</v>
      </c>
      <c r="X49" s="99">
        <v>19</v>
      </c>
      <c r="Y49" s="99">
        <v>85</v>
      </c>
      <c r="Z49" s="99">
        <v>37</v>
      </c>
      <c r="AA49" s="99" t="s">
        <v>592</v>
      </c>
      <c r="AB49" s="99" t="s">
        <v>592</v>
      </c>
      <c r="AC49" s="99" t="s">
        <v>592</v>
      </c>
      <c r="AD49" s="98" t="s">
        <v>343</v>
      </c>
      <c r="AE49" s="100">
        <v>0.15448255114320097</v>
      </c>
      <c r="AF49" s="100">
        <v>0.15</v>
      </c>
      <c r="AG49" s="98">
        <v>421.17930204572804</v>
      </c>
      <c r="AH49" s="98">
        <v>165.4632972322503</v>
      </c>
      <c r="AI49" s="100">
        <v>0.009000000000000001</v>
      </c>
      <c r="AJ49" s="100">
        <v>0.635174</v>
      </c>
      <c r="AK49" s="100">
        <v>0.428571</v>
      </c>
      <c r="AL49" s="100">
        <v>0.780822</v>
      </c>
      <c r="AM49" s="100">
        <v>0.48</v>
      </c>
      <c r="AN49" s="100">
        <v>0.486842</v>
      </c>
      <c r="AO49" s="98">
        <v>2993.38146811071</v>
      </c>
      <c r="AP49" s="158">
        <v>1.6978683470000002</v>
      </c>
      <c r="AQ49" s="100">
        <v>0.07035175879396985</v>
      </c>
      <c r="AR49" s="100">
        <v>0.5</v>
      </c>
      <c r="AS49" s="98">
        <v>451.2635379061372</v>
      </c>
      <c r="AT49" s="98">
        <v>631.768953068592</v>
      </c>
      <c r="AU49" s="98">
        <v>105.29482551143201</v>
      </c>
      <c r="AV49" s="98">
        <v>556.5583634175692</v>
      </c>
      <c r="AW49" s="98">
        <v>887.4849578820698</v>
      </c>
      <c r="AX49" s="98">
        <v>285.8002406738869</v>
      </c>
      <c r="AY49" s="98">
        <v>1278.5800240673886</v>
      </c>
      <c r="AZ49" s="98">
        <v>556.5583634175692</v>
      </c>
      <c r="BA49" s="100" t="s">
        <v>592</v>
      </c>
      <c r="BB49" s="100" t="s">
        <v>592</v>
      </c>
      <c r="BC49" s="100" t="s">
        <v>592</v>
      </c>
      <c r="BD49" s="158">
        <v>1.470151672</v>
      </c>
      <c r="BE49" s="158">
        <v>1.950865631</v>
      </c>
      <c r="BF49" s="162">
        <v>688</v>
      </c>
      <c r="BG49" s="162">
        <v>21</v>
      </c>
      <c r="BH49" s="162">
        <v>1825</v>
      </c>
      <c r="BI49" s="162">
        <v>600</v>
      </c>
      <c r="BJ49" s="162">
        <v>304</v>
      </c>
      <c r="BK49" s="97"/>
      <c r="BL49" s="97"/>
      <c r="BM49" s="97"/>
      <c r="BN49" s="97"/>
    </row>
    <row r="50" spans="1:66" ht="12.75">
      <c r="A50" s="79" t="s">
        <v>548</v>
      </c>
      <c r="B50" s="79" t="s">
        <v>305</v>
      </c>
      <c r="C50" s="79" t="s">
        <v>71</v>
      </c>
      <c r="D50" s="99">
        <v>8011</v>
      </c>
      <c r="E50" s="99">
        <v>1052</v>
      </c>
      <c r="F50" s="99" t="s">
        <v>366</v>
      </c>
      <c r="G50" s="99">
        <v>23</v>
      </c>
      <c r="H50" s="99">
        <v>21</v>
      </c>
      <c r="I50" s="99">
        <v>140</v>
      </c>
      <c r="J50" s="99">
        <v>694</v>
      </c>
      <c r="K50" s="99">
        <v>643</v>
      </c>
      <c r="L50" s="99">
        <v>1914</v>
      </c>
      <c r="M50" s="99">
        <v>363</v>
      </c>
      <c r="N50" s="99">
        <v>193</v>
      </c>
      <c r="O50" s="99">
        <v>123</v>
      </c>
      <c r="P50" s="159">
        <v>123</v>
      </c>
      <c r="Q50" s="99">
        <v>17</v>
      </c>
      <c r="R50" s="99">
        <v>34</v>
      </c>
      <c r="S50" s="99">
        <v>13</v>
      </c>
      <c r="T50" s="99">
        <v>19</v>
      </c>
      <c r="U50" s="99" t="s">
        <v>592</v>
      </c>
      <c r="V50" s="99">
        <v>51</v>
      </c>
      <c r="W50" s="99">
        <v>71</v>
      </c>
      <c r="X50" s="99">
        <v>20</v>
      </c>
      <c r="Y50" s="99">
        <v>56</v>
      </c>
      <c r="Z50" s="99">
        <v>48</v>
      </c>
      <c r="AA50" s="99" t="s">
        <v>592</v>
      </c>
      <c r="AB50" s="99" t="s">
        <v>592</v>
      </c>
      <c r="AC50" s="99" t="s">
        <v>592</v>
      </c>
      <c r="AD50" s="98" t="s">
        <v>343</v>
      </c>
      <c r="AE50" s="100">
        <v>0.13131943577580826</v>
      </c>
      <c r="AF50" s="100">
        <v>0.13</v>
      </c>
      <c r="AG50" s="98">
        <v>287.10523030832604</v>
      </c>
      <c r="AH50" s="98">
        <v>262.13955810760206</v>
      </c>
      <c r="AI50" s="100">
        <v>0.017</v>
      </c>
      <c r="AJ50" s="100">
        <v>0.712526</v>
      </c>
      <c r="AK50" s="100">
        <v>0.697397</v>
      </c>
      <c r="AL50" s="100">
        <v>0.794521</v>
      </c>
      <c r="AM50" s="100">
        <v>0.544228</v>
      </c>
      <c r="AN50" s="100">
        <v>0.576119</v>
      </c>
      <c r="AO50" s="98">
        <v>1535.3888403445262</v>
      </c>
      <c r="AP50" s="158">
        <v>0.8638812256</v>
      </c>
      <c r="AQ50" s="100">
        <v>0.13821138211382114</v>
      </c>
      <c r="AR50" s="100">
        <v>0.5</v>
      </c>
      <c r="AS50" s="98">
        <v>162.27686930470603</v>
      </c>
      <c r="AT50" s="98">
        <v>237.17388590687804</v>
      </c>
      <c r="AU50" s="98" t="s">
        <v>592</v>
      </c>
      <c r="AV50" s="98">
        <v>636.6246411184621</v>
      </c>
      <c r="AW50" s="98">
        <v>886.2813631257021</v>
      </c>
      <c r="AX50" s="98">
        <v>249.65672200724003</v>
      </c>
      <c r="AY50" s="98">
        <v>699.0388216202721</v>
      </c>
      <c r="AZ50" s="98">
        <v>599.1761328173761</v>
      </c>
      <c r="BA50" s="100" t="s">
        <v>592</v>
      </c>
      <c r="BB50" s="100" t="s">
        <v>592</v>
      </c>
      <c r="BC50" s="100" t="s">
        <v>592</v>
      </c>
      <c r="BD50" s="158">
        <v>0.7179697418000001</v>
      </c>
      <c r="BE50" s="158">
        <v>1.030732651</v>
      </c>
      <c r="BF50" s="162">
        <v>974</v>
      </c>
      <c r="BG50" s="162">
        <v>922</v>
      </c>
      <c r="BH50" s="162">
        <v>2409</v>
      </c>
      <c r="BI50" s="162">
        <v>667</v>
      </c>
      <c r="BJ50" s="162">
        <v>335</v>
      </c>
      <c r="BK50" s="97"/>
      <c r="BL50" s="97"/>
      <c r="BM50" s="97"/>
      <c r="BN50" s="97"/>
    </row>
    <row r="51" spans="1:66" ht="12.75">
      <c r="A51" s="79" t="s">
        <v>544</v>
      </c>
      <c r="B51" s="79" t="s">
        <v>301</v>
      </c>
      <c r="C51" s="79" t="s">
        <v>71</v>
      </c>
      <c r="D51" s="99">
        <v>3462</v>
      </c>
      <c r="E51" s="99">
        <v>415</v>
      </c>
      <c r="F51" s="99" t="s">
        <v>364</v>
      </c>
      <c r="G51" s="99">
        <v>11</v>
      </c>
      <c r="H51" s="99" t="s">
        <v>592</v>
      </c>
      <c r="I51" s="99">
        <v>28</v>
      </c>
      <c r="J51" s="99">
        <v>259</v>
      </c>
      <c r="K51" s="99">
        <v>241</v>
      </c>
      <c r="L51" s="99">
        <v>609</v>
      </c>
      <c r="M51" s="99">
        <v>134</v>
      </c>
      <c r="N51" s="99">
        <v>64</v>
      </c>
      <c r="O51" s="99">
        <v>38</v>
      </c>
      <c r="P51" s="159">
        <v>38</v>
      </c>
      <c r="Q51" s="99">
        <v>8</v>
      </c>
      <c r="R51" s="99">
        <v>14</v>
      </c>
      <c r="S51" s="99">
        <v>7</v>
      </c>
      <c r="T51" s="99">
        <v>11</v>
      </c>
      <c r="U51" s="99" t="s">
        <v>592</v>
      </c>
      <c r="V51" s="99" t="s">
        <v>592</v>
      </c>
      <c r="W51" s="99">
        <v>16</v>
      </c>
      <c r="X51" s="99">
        <v>9</v>
      </c>
      <c r="Y51" s="99">
        <v>27</v>
      </c>
      <c r="Z51" s="99">
        <v>14</v>
      </c>
      <c r="AA51" s="99" t="s">
        <v>592</v>
      </c>
      <c r="AB51" s="99" t="s">
        <v>592</v>
      </c>
      <c r="AC51" s="99" t="s">
        <v>592</v>
      </c>
      <c r="AD51" s="98" t="s">
        <v>343</v>
      </c>
      <c r="AE51" s="100">
        <v>0.11987290583477758</v>
      </c>
      <c r="AF51" s="100">
        <v>0.36</v>
      </c>
      <c r="AG51" s="98">
        <v>317.735413056037</v>
      </c>
      <c r="AH51" s="98" t="s">
        <v>592</v>
      </c>
      <c r="AI51" s="100">
        <v>0.008</v>
      </c>
      <c r="AJ51" s="100">
        <v>0.74</v>
      </c>
      <c r="AK51" s="100">
        <v>0.713018</v>
      </c>
      <c r="AL51" s="100">
        <v>0.763158</v>
      </c>
      <c r="AM51" s="100">
        <v>0.492647</v>
      </c>
      <c r="AN51" s="100">
        <v>0.450704</v>
      </c>
      <c r="AO51" s="98">
        <v>1097.631426920855</v>
      </c>
      <c r="AP51" s="158">
        <v>0.6993029785</v>
      </c>
      <c r="AQ51" s="100">
        <v>0.21052631578947367</v>
      </c>
      <c r="AR51" s="100">
        <v>0.5714285714285714</v>
      </c>
      <c r="AS51" s="98">
        <v>202.1952628538417</v>
      </c>
      <c r="AT51" s="98">
        <v>317.735413056037</v>
      </c>
      <c r="AU51" s="98" t="s">
        <v>592</v>
      </c>
      <c r="AV51" s="98" t="s">
        <v>592</v>
      </c>
      <c r="AW51" s="98">
        <v>462.16060080878106</v>
      </c>
      <c r="AX51" s="98">
        <v>259.96533795493934</v>
      </c>
      <c r="AY51" s="98">
        <v>779.896013864818</v>
      </c>
      <c r="AZ51" s="98">
        <v>404.3905257076834</v>
      </c>
      <c r="BA51" s="100" t="s">
        <v>592</v>
      </c>
      <c r="BB51" s="100" t="s">
        <v>592</v>
      </c>
      <c r="BC51" s="100" t="s">
        <v>592</v>
      </c>
      <c r="BD51" s="158">
        <v>0.4948684311</v>
      </c>
      <c r="BE51" s="158">
        <v>0.9598480225</v>
      </c>
      <c r="BF51" s="162">
        <v>350</v>
      </c>
      <c r="BG51" s="162">
        <v>338</v>
      </c>
      <c r="BH51" s="162">
        <v>798</v>
      </c>
      <c r="BI51" s="162">
        <v>272</v>
      </c>
      <c r="BJ51" s="162">
        <v>142</v>
      </c>
      <c r="BK51" s="97"/>
      <c r="BL51" s="97"/>
      <c r="BM51" s="97"/>
      <c r="BN51" s="97"/>
    </row>
    <row r="52" spans="1:66" ht="12.75">
      <c r="A52" s="79" t="s">
        <v>528</v>
      </c>
      <c r="B52" s="79" t="s">
        <v>283</v>
      </c>
      <c r="C52" s="79" t="s">
        <v>71</v>
      </c>
      <c r="D52" s="99">
        <v>9731</v>
      </c>
      <c r="E52" s="99">
        <v>1175</v>
      </c>
      <c r="F52" s="99" t="s">
        <v>364</v>
      </c>
      <c r="G52" s="99">
        <v>40</v>
      </c>
      <c r="H52" s="99">
        <v>19</v>
      </c>
      <c r="I52" s="99">
        <v>69</v>
      </c>
      <c r="J52" s="99">
        <v>540</v>
      </c>
      <c r="K52" s="99">
        <v>21</v>
      </c>
      <c r="L52" s="99">
        <v>1843</v>
      </c>
      <c r="M52" s="99">
        <v>352</v>
      </c>
      <c r="N52" s="99">
        <v>191</v>
      </c>
      <c r="O52" s="99">
        <v>82</v>
      </c>
      <c r="P52" s="159">
        <v>82</v>
      </c>
      <c r="Q52" s="99">
        <v>7</v>
      </c>
      <c r="R52" s="99">
        <v>28</v>
      </c>
      <c r="S52" s="99">
        <v>19</v>
      </c>
      <c r="T52" s="99">
        <v>7</v>
      </c>
      <c r="U52" s="99" t="s">
        <v>592</v>
      </c>
      <c r="V52" s="99">
        <v>16</v>
      </c>
      <c r="W52" s="99">
        <v>51</v>
      </c>
      <c r="X52" s="99">
        <v>24</v>
      </c>
      <c r="Y52" s="99">
        <v>80</v>
      </c>
      <c r="Z52" s="99">
        <v>44</v>
      </c>
      <c r="AA52" s="99" t="s">
        <v>592</v>
      </c>
      <c r="AB52" s="99" t="s">
        <v>592</v>
      </c>
      <c r="AC52" s="99" t="s">
        <v>592</v>
      </c>
      <c r="AD52" s="98" t="s">
        <v>343</v>
      </c>
      <c r="AE52" s="100">
        <v>0.12074812455040591</v>
      </c>
      <c r="AF52" s="100">
        <v>0.32</v>
      </c>
      <c r="AG52" s="98">
        <v>411.0574452779776</v>
      </c>
      <c r="AH52" s="98">
        <v>195.25228650703937</v>
      </c>
      <c r="AI52" s="100">
        <v>0.006999999999999999</v>
      </c>
      <c r="AJ52" s="100">
        <v>0.627178</v>
      </c>
      <c r="AK52" s="100">
        <v>0.512195</v>
      </c>
      <c r="AL52" s="100">
        <v>0.74555</v>
      </c>
      <c r="AM52" s="100">
        <v>0.527736</v>
      </c>
      <c r="AN52" s="100">
        <v>0.547278</v>
      </c>
      <c r="AO52" s="98">
        <v>842.667762819854</v>
      </c>
      <c r="AP52" s="158">
        <v>0.5441067505</v>
      </c>
      <c r="AQ52" s="100">
        <v>0.08536585365853659</v>
      </c>
      <c r="AR52" s="100">
        <v>0.25</v>
      </c>
      <c r="AS52" s="98">
        <v>195.25228650703937</v>
      </c>
      <c r="AT52" s="98">
        <v>71.93505292364608</v>
      </c>
      <c r="AU52" s="98" t="s">
        <v>592</v>
      </c>
      <c r="AV52" s="98">
        <v>164.42297811119104</v>
      </c>
      <c r="AW52" s="98">
        <v>524.0982427294215</v>
      </c>
      <c r="AX52" s="98">
        <v>246.63446716678655</v>
      </c>
      <c r="AY52" s="98">
        <v>822.1148905559552</v>
      </c>
      <c r="AZ52" s="98">
        <v>452.16318980577535</v>
      </c>
      <c r="BA52" s="100" t="s">
        <v>592</v>
      </c>
      <c r="BB52" s="100" t="s">
        <v>592</v>
      </c>
      <c r="BC52" s="100" t="s">
        <v>592</v>
      </c>
      <c r="BD52" s="158">
        <v>0.43274425510000003</v>
      </c>
      <c r="BE52" s="158">
        <v>0.6753799438</v>
      </c>
      <c r="BF52" s="162">
        <v>861</v>
      </c>
      <c r="BG52" s="162">
        <v>41</v>
      </c>
      <c r="BH52" s="162">
        <v>2472</v>
      </c>
      <c r="BI52" s="162">
        <v>667</v>
      </c>
      <c r="BJ52" s="162">
        <v>349</v>
      </c>
      <c r="BK52" s="97"/>
      <c r="BL52" s="97"/>
      <c r="BM52" s="97"/>
      <c r="BN52" s="97"/>
    </row>
    <row r="53" spans="1:66" ht="12.75">
      <c r="A53" s="79" t="s">
        <v>560</v>
      </c>
      <c r="B53" s="79" t="s">
        <v>317</v>
      </c>
      <c r="C53" s="79" t="s">
        <v>71</v>
      </c>
      <c r="D53" s="99">
        <v>4139</v>
      </c>
      <c r="E53" s="99">
        <v>522</v>
      </c>
      <c r="F53" s="99" t="s">
        <v>366</v>
      </c>
      <c r="G53" s="99">
        <v>13</v>
      </c>
      <c r="H53" s="99">
        <v>6</v>
      </c>
      <c r="I53" s="99">
        <v>39</v>
      </c>
      <c r="J53" s="99">
        <v>252</v>
      </c>
      <c r="K53" s="99" t="s">
        <v>592</v>
      </c>
      <c r="L53" s="99">
        <v>903</v>
      </c>
      <c r="M53" s="99">
        <v>157</v>
      </c>
      <c r="N53" s="99">
        <v>83</v>
      </c>
      <c r="O53" s="99">
        <v>60</v>
      </c>
      <c r="P53" s="159">
        <v>60</v>
      </c>
      <c r="Q53" s="99" t="s">
        <v>592</v>
      </c>
      <c r="R53" s="99">
        <v>6</v>
      </c>
      <c r="S53" s="99">
        <v>11</v>
      </c>
      <c r="T53" s="99">
        <v>12</v>
      </c>
      <c r="U53" s="99" t="s">
        <v>592</v>
      </c>
      <c r="V53" s="99">
        <v>6</v>
      </c>
      <c r="W53" s="99">
        <v>20</v>
      </c>
      <c r="X53" s="99">
        <v>9</v>
      </c>
      <c r="Y53" s="99">
        <v>25</v>
      </c>
      <c r="Z53" s="99">
        <v>12</v>
      </c>
      <c r="AA53" s="99" t="s">
        <v>592</v>
      </c>
      <c r="AB53" s="99" t="s">
        <v>592</v>
      </c>
      <c r="AC53" s="99" t="s">
        <v>592</v>
      </c>
      <c r="AD53" s="98" t="s">
        <v>343</v>
      </c>
      <c r="AE53" s="100">
        <v>0.12611741966658613</v>
      </c>
      <c r="AF53" s="100">
        <v>0.17</v>
      </c>
      <c r="AG53" s="98">
        <v>314.08552790529114</v>
      </c>
      <c r="AH53" s="98">
        <v>144.9625513409036</v>
      </c>
      <c r="AI53" s="100">
        <v>0.009000000000000001</v>
      </c>
      <c r="AJ53" s="100">
        <v>0.623762</v>
      </c>
      <c r="AK53" s="100" t="s">
        <v>592</v>
      </c>
      <c r="AL53" s="100">
        <v>0.755017</v>
      </c>
      <c r="AM53" s="100">
        <v>0.50974</v>
      </c>
      <c r="AN53" s="100">
        <v>0.512346</v>
      </c>
      <c r="AO53" s="98">
        <v>1449.625513409036</v>
      </c>
      <c r="AP53" s="158">
        <v>0.870484314</v>
      </c>
      <c r="AQ53" s="100" t="s">
        <v>592</v>
      </c>
      <c r="AR53" s="100" t="s">
        <v>592</v>
      </c>
      <c r="AS53" s="98">
        <v>265.76467745832326</v>
      </c>
      <c r="AT53" s="98">
        <v>289.9251026818072</v>
      </c>
      <c r="AU53" s="98" t="s">
        <v>592</v>
      </c>
      <c r="AV53" s="98">
        <v>144.9625513409036</v>
      </c>
      <c r="AW53" s="98">
        <v>483.20850446967864</v>
      </c>
      <c r="AX53" s="98">
        <v>217.4438270113554</v>
      </c>
      <c r="AY53" s="98">
        <v>604.0106305870984</v>
      </c>
      <c r="AZ53" s="98">
        <v>289.9251026818072</v>
      </c>
      <c r="BA53" s="100" t="s">
        <v>592</v>
      </c>
      <c r="BB53" s="100" t="s">
        <v>592</v>
      </c>
      <c r="BC53" s="100" t="s">
        <v>592</v>
      </c>
      <c r="BD53" s="158">
        <v>0.6642712402</v>
      </c>
      <c r="BE53" s="158">
        <v>1.120485916</v>
      </c>
      <c r="BF53" s="162">
        <v>404</v>
      </c>
      <c r="BG53" s="162" t="s">
        <v>592</v>
      </c>
      <c r="BH53" s="162">
        <v>1196</v>
      </c>
      <c r="BI53" s="162">
        <v>308</v>
      </c>
      <c r="BJ53" s="162">
        <v>162</v>
      </c>
      <c r="BK53" s="97"/>
      <c r="BL53" s="97"/>
      <c r="BM53" s="97"/>
      <c r="BN53" s="97"/>
    </row>
    <row r="54" spans="1:66" ht="12.75">
      <c r="A54" s="79" t="s">
        <v>540</v>
      </c>
      <c r="B54" s="79" t="s">
        <v>296</v>
      </c>
      <c r="C54" s="79" t="s">
        <v>71</v>
      </c>
      <c r="D54" s="99">
        <v>7254</v>
      </c>
      <c r="E54" s="99">
        <v>1213</v>
      </c>
      <c r="F54" s="99" t="s">
        <v>366</v>
      </c>
      <c r="G54" s="99">
        <v>35</v>
      </c>
      <c r="H54" s="99">
        <v>18</v>
      </c>
      <c r="I54" s="99">
        <v>70</v>
      </c>
      <c r="J54" s="99">
        <v>490</v>
      </c>
      <c r="K54" s="99">
        <v>7</v>
      </c>
      <c r="L54" s="99">
        <v>1466</v>
      </c>
      <c r="M54" s="99">
        <v>374</v>
      </c>
      <c r="N54" s="99">
        <v>201</v>
      </c>
      <c r="O54" s="99">
        <v>161</v>
      </c>
      <c r="P54" s="159">
        <v>161</v>
      </c>
      <c r="Q54" s="99">
        <v>8</v>
      </c>
      <c r="R54" s="99">
        <v>25</v>
      </c>
      <c r="S54" s="99">
        <v>19</v>
      </c>
      <c r="T54" s="99">
        <v>28</v>
      </c>
      <c r="U54" s="99" t="s">
        <v>592</v>
      </c>
      <c r="V54" s="99">
        <v>30</v>
      </c>
      <c r="W54" s="99">
        <v>38</v>
      </c>
      <c r="X54" s="99">
        <v>28</v>
      </c>
      <c r="Y54" s="99">
        <v>62</v>
      </c>
      <c r="Z54" s="99">
        <v>52</v>
      </c>
      <c r="AA54" s="99" t="s">
        <v>592</v>
      </c>
      <c r="AB54" s="99" t="s">
        <v>592</v>
      </c>
      <c r="AC54" s="99" t="s">
        <v>592</v>
      </c>
      <c r="AD54" s="98" t="s">
        <v>343</v>
      </c>
      <c r="AE54" s="100">
        <v>0.16721808657292528</v>
      </c>
      <c r="AF54" s="100">
        <v>0.13</v>
      </c>
      <c r="AG54" s="98">
        <v>482.49241797628895</v>
      </c>
      <c r="AH54" s="98">
        <v>248.13895781637717</v>
      </c>
      <c r="AI54" s="100">
        <v>0.01</v>
      </c>
      <c r="AJ54" s="100">
        <v>0.609453</v>
      </c>
      <c r="AK54" s="100">
        <v>0.368421</v>
      </c>
      <c r="AL54" s="100">
        <v>0.714077</v>
      </c>
      <c r="AM54" s="100">
        <v>0.523077</v>
      </c>
      <c r="AN54" s="100">
        <v>0.543243</v>
      </c>
      <c r="AO54" s="98">
        <v>2219.465122690929</v>
      </c>
      <c r="AP54" s="158">
        <v>1.185996323</v>
      </c>
      <c r="AQ54" s="100">
        <v>0.049689440993788817</v>
      </c>
      <c r="AR54" s="100">
        <v>0.32</v>
      </c>
      <c r="AS54" s="98">
        <v>261.92445547284257</v>
      </c>
      <c r="AT54" s="98">
        <v>385.9939343810312</v>
      </c>
      <c r="AU54" s="98" t="s">
        <v>592</v>
      </c>
      <c r="AV54" s="98">
        <v>413.564929693962</v>
      </c>
      <c r="AW54" s="98">
        <v>523.8489109456851</v>
      </c>
      <c r="AX54" s="98">
        <v>385.9939343810312</v>
      </c>
      <c r="AY54" s="98">
        <v>854.7008547008547</v>
      </c>
      <c r="AZ54" s="98">
        <v>716.8458781362007</v>
      </c>
      <c r="BA54" s="100" t="s">
        <v>592</v>
      </c>
      <c r="BB54" s="100" t="s">
        <v>592</v>
      </c>
      <c r="BC54" s="100" t="s">
        <v>592</v>
      </c>
      <c r="BD54" s="158">
        <v>1.009872971</v>
      </c>
      <c r="BE54" s="158">
        <v>1.384002533</v>
      </c>
      <c r="BF54" s="162">
        <v>804</v>
      </c>
      <c r="BG54" s="162">
        <v>19</v>
      </c>
      <c r="BH54" s="162">
        <v>2053</v>
      </c>
      <c r="BI54" s="162">
        <v>715</v>
      </c>
      <c r="BJ54" s="162">
        <v>370</v>
      </c>
      <c r="BK54" s="97"/>
      <c r="BL54" s="97"/>
      <c r="BM54" s="97"/>
      <c r="BN54" s="97"/>
    </row>
    <row r="55" spans="1:66" ht="12.75">
      <c r="A55" s="79" t="s">
        <v>546</v>
      </c>
      <c r="B55" s="79" t="s">
        <v>303</v>
      </c>
      <c r="C55" s="79" t="s">
        <v>71</v>
      </c>
      <c r="D55" s="99">
        <v>4691</v>
      </c>
      <c r="E55" s="99">
        <v>539</v>
      </c>
      <c r="F55" s="99" t="s">
        <v>364</v>
      </c>
      <c r="G55" s="99">
        <v>10</v>
      </c>
      <c r="H55" s="99">
        <v>9</v>
      </c>
      <c r="I55" s="99">
        <v>64</v>
      </c>
      <c r="J55" s="99">
        <v>344</v>
      </c>
      <c r="K55" s="99">
        <v>320</v>
      </c>
      <c r="L55" s="99">
        <v>932</v>
      </c>
      <c r="M55" s="99">
        <v>150</v>
      </c>
      <c r="N55" s="99">
        <v>71</v>
      </c>
      <c r="O55" s="99">
        <v>116</v>
      </c>
      <c r="P55" s="159">
        <v>116</v>
      </c>
      <c r="Q55" s="99">
        <v>6</v>
      </c>
      <c r="R55" s="99">
        <v>18</v>
      </c>
      <c r="S55" s="99">
        <v>18</v>
      </c>
      <c r="T55" s="99">
        <v>9</v>
      </c>
      <c r="U55" s="99" t="s">
        <v>592</v>
      </c>
      <c r="V55" s="99">
        <v>18</v>
      </c>
      <c r="W55" s="99">
        <v>34</v>
      </c>
      <c r="X55" s="99">
        <v>17</v>
      </c>
      <c r="Y55" s="99">
        <v>67</v>
      </c>
      <c r="Z55" s="99">
        <v>16</v>
      </c>
      <c r="AA55" s="99" t="s">
        <v>592</v>
      </c>
      <c r="AB55" s="99" t="s">
        <v>592</v>
      </c>
      <c r="AC55" s="99" t="s">
        <v>592</v>
      </c>
      <c r="AD55" s="98" t="s">
        <v>343</v>
      </c>
      <c r="AE55" s="100">
        <v>0.1149008740140695</v>
      </c>
      <c r="AF55" s="100">
        <v>0.35</v>
      </c>
      <c r="AG55" s="98">
        <v>213.1741632914091</v>
      </c>
      <c r="AH55" s="98">
        <v>191.85674696226818</v>
      </c>
      <c r="AI55" s="100">
        <v>0.013999999999999999</v>
      </c>
      <c r="AJ55" s="100">
        <v>0.773034</v>
      </c>
      <c r="AK55" s="100">
        <v>0.740741</v>
      </c>
      <c r="AL55" s="100">
        <v>0.770248</v>
      </c>
      <c r="AM55" s="100">
        <v>0.453172</v>
      </c>
      <c r="AN55" s="100">
        <v>0.435583</v>
      </c>
      <c r="AO55" s="98">
        <v>2472.820294180345</v>
      </c>
      <c r="AP55" s="158">
        <v>1.589445953</v>
      </c>
      <c r="AQ55" s="100">
        <v>0.05172413793103448</v>
      </c>
      <c r="AR55" s="100">
        <v>0.3333333333333333</v>
      </c>
      <c r="AS55" s="98">
        <v>383.71349392453635</v>
      </c>
      <c r="AT55" s="98">
        <v>191.85674696226818</v>
      </c>
      <c r="AU55" s="98" t="s">
        <v>592</v>
      </c>
      <c r="AV55" s="98">
        <v>383.71349392453635</v>
      </c>
      <c r="AW55" s="98">
        <v>724.7921551907908</v>
      </c>
      <c r="AX55" s="98">
        <v>362.3960775953954</v>
      </c>
      <c r="AY55" s="98">
        <v>1428.2668940524409</v>
      </c>
      <c r="AZ55" s="98">
        <v>341.0786612662545</v>
      </c>
      <c r="BA55" s="100" t="s">
        <v>592</v>
      </c>
      <c r="BB55" s="100" t="s">
        <v>592</v>
      </c>
      <c r="BC55" s="100" t="s">
        <v>592</v>
      </c>
      <c r="BD55" s="158">
        <v>1.313389893</v>
      </c>
      <c r="BE55" s="158">
        <v>1.9063890079999999</v>
      </c>
      <c r="BF55" s="162">
        <v>445</v>
      </c>
      <c r="BG55" s="162">
        <v>432</v>
      </c>
      <c r="BH55" s="162">
        <v>1210</v>
      </c>
      <c r="BI55" s="162">
        <v>331</v>
      </c>
      <c r="BJ55" s="162">
        <v>163</v>
      </c>
      <c r="BK55" s="97"/>
      <c r="BL55" s="97"/>
      <c r="BM55" s="97"/>
      <c r="BN55" s="97"/>
    </row>
    <row r="56" spans="1:66" ht="12.75">
      <c r="A56" s="79" t="s">
        <v>579</v>
      </c>
      <c r="B56" s="79" t="s">
        <v>336</v>
      </c>
      <c r="C56" s="79" t="s">
        <v>71</v>
      </c>
      <c r="D56" s="99">
        <v>3985</v>
      </c>
      <c r="E56" s="99">
        <v>387</v>
      </c>
      <c r="F56" s="99" t="s">
        <v>364</v>
      </c>
      <c r="G56" s="99">
        <v>7</v>
      </c>
      <c r="H56" s="99" t="s">
        <v>592</v>
      </c>
      <c r="I56" s="99">
        <v>36</v>
      </c>
      <c r="J56" s="99">
        <v>192</v>
      </c>
      <c r="K56" s="99" t="s">
        <v>592</v>
      </c>
      <c r="L56" s="99">
        <v>807</v>
      </c>
      <c r="M56" s="99">
        <v>107</v>
      </c>
      <c r="N56" s="99">
        <v>58</v>
      </c>
      <c r="O56" s="99">
        <v>55</v>
      </c>
      <c r="P56" s="159">
        <v>55</v>
      </c>
      <c r="Q56" s="99">
        <v>7</v>
      </c>
      <c r="R56" s="99">
        <v>13</v>
      </c>
      <c r="S56" s="99">
        <v>11</v>
      </c>
      <c r="T56" s="99">
        <v>7</v>
      </c>
      <c r="U56" s="99" t="s">
        <v>592</v>
      </c>
      <c r="V56" s="99">
        <v>13</v>
      </c>
      <c r="W56" s="99">
        <v>31</v>
      </c>
      <c r="X56" s="99">
        <v>13</v>
      </c>
      <c r="Y56" s="99">
        <v>34</v>
      </c>
      <c r="Z56" s="99">
        <v>14</v>
      </c>
      <c r="AA56" s="99" t="s">
        <v>592</v>
      </c>
      <c r="AB56" s="99" t="s">
        <v>592</v>
      </c>
      <c r="AC56" s="99" t="s">
        <v>592</v>
      </c>
      <c r="AD56" s="98" t="s">
        <v>343</v>
      </c>
      <c r="AE56" s="100">
        <v>0.09711417816813049</v>
      </c>
      <c r="AF56" s="100">
        <v>0.33</v>
      </c>
      <c r="AG56" s="98">
        <v>175.6587202007528</v>
      </c>
      <c r="AH56" s="98" t="s">
        <v>592</v>
      </c>
      <c r="AI56" s="100">
        <v>0.009000000000000001</v>
      </c>
      <c r="AJ56" s="100">
        <v>0.543909</v>
      </c>
      <c r="AK56" s="100" t="s">
        <v>592</v>
      </c>
      <c r="AL56" s="100">
        <v>0.753501</v>
      </c>
      <c r="AM56" s="100">
        <v>0.406844</v>
      </c>
      <c r="AN56" s="100">
        <v>0.417266</v>
      </c>
      <c r="AO56" s="98">
        <v>1380.1756587202008</v>
      </c>
      <c r="AP56" s="158">
        <v>0.9542066193</v>
      </c>
      <c r="AQ56" s="100">
        <v>0.12727272727272726</v>
      </c>
      <c r="AR56" s="100">
        <v>0.5384615384615384</v>
      </c>
      <c r="AS56" s="98">
        <v>276.03513174404014</v>
      </c>
      <c r="AT56" s="98">
        <v>175.6587202007528</v>
      </c>
      <c r="AU56" s="98" t="s">
        <v>592</v>
      </c>
      <c r="AV56" s="98">
        <v>326.2233375156838</v>
      </c>
      <c r="AW56" s="98">
        <v>777.9171894604768</v>
      </c>
      <c r="AX56" s="98">
        <v>326.2233375156838</v>
      </c>
      <c r="AY56" s="98">
        <v>853.1994981179423</v>
      </c>
      <c r="AZ56" s="98">
        <v>351.3174404015056</v>
      </c>
      <c r="BA56" s="100" t="s">
        <v>592</v>
      </c>
      <c r="BB56" s="100" t="s">
        <v>592</v>
      </c>
      <c r="BC56" s="100" t="s">
        <v>592</v>
      </c>
      <c r="BD56" s="158">
        <v>0.718839035</v>
      </c>
      <c r="BE56" s="158">
        <v>1.242031097</v>
      </c>
      <c r="BF56" s="162">
        <v>353</v>
      </c>
      <c r="BG56" s="162" t="s">
        <v>592</v>
      </c>
      <c r="BH56" s="162">
        <v>1071</v>
      </c>
      <c r="BI56" s="162">
        <v>263</v>
      </c>
      <c r="BJ56" s="162">
        <v>139</v>
      </c>
      <c r="BK56" s="97"/>
      <c r="BL56" s="97"/>
      <c r="BM56" s="97"/>
      <c r="BN56" s="97"/>
    </row>
    <row r="57" spans="1:66" ht="12.75">
      <c r="A57" s="79" t="s">
        <v>557</v>
      </c>
      <c r="B57" s="79" t="s">
        <v>314</v>
      </c>
      <c r="C57" s="79" t="s">
        <v>71</v>
      </c>
      <c r="D57" s="99">
        <v>5683</v>
      </c>
      <c r="E57" s="99">
        <v>642</v>
      </c>
      <c r="F57" s="99" t="s">
        <v>366</v>
      </c>
      <c r="G57" s="99">
        <v>23</v>
      </c>
      <c r="H57" s="99">
        <v>7</v>
      </c>
      <c r="I57" s="99">
        <v>95</v>
      </c>
      <c r="J57" s="99">
        <v>357</v>
      </c>
      <c r="K57" s="99">
        <v>356</v>
      </c>
      <c r="L57" s="99">
        <v>1206</v>
      </c>
      <c r="M57" s="99">
        <v>214</v>
      </c>
      <c r="N57" s="99">
        <v>102</v>
      </c>
      <c r="O57" s="99">
        <v>85</v>
      </c>
      <c r="P57" s="159">
        <v>85</v>
      </c>
      <c r="Q57" s="99">
        <v>8</v>
      </c>
      <c r="R57" s="99">
        <v>22</v>
      </c>
      <c r="S57" s="99">
        <v>13</v>
      </c>
      <c r="T57" s="99">
        <v>9</v>
      </c>
      <c r="U57" s="99" t="s">
        <v>592</v>
      </c>
      <c r="V57" s="99">
        <v>23</v>
      </c>
      <c r="W57" s="99">
        <v>24</v>
      </c>
      <c r="X57" s="99">
        <v>12</v>
      </c>
      <c r="Y57" s="99">
        <v>44</v>
      </c>
      <c r="Z57" s="99">
        <v>25</v>
      </c>
      <c r="AA57" s="99" t="s">
        <v>592</v>
      </c>
      <c r="AB57" s="99" t="s">
        <v>592</v>
      </c>
      <c r="AC57" s="99" t="s">
        <v>592</v>
      </c>
      <c r="AD57" s="98" t="s">
        <v>343</v>
      </c>
      <c r="AE57" s="100">
        <v>0.1129685025514693</v>
      </c>
      <c r="AF57" s="100">
        <v>0.17</v>
      </c>
      <c r="AG57" s="98">
        <v>404.7158191096252</v>
      </c>
      <c r="AH57" s="98">
        <v>123.17437972901637</v>
      </c>
      <c r="AI57" s="100">
        <v>0.017</v>
      </c>
      <c r="AJ57" s="100">
        <v>0.653846</v>
      </c>
      <c r="AK57" s="100">
        <v>0.693957</v>
      </c>
      <c r="AL57" s="100">
        <v>0.659016</v>
      </c>
      <c r="AM57" s="100">
        <v>0.497674</v>
      </c>
      <c r="AN57" s="100">
        <v>0.523077</v>
      </c>
      <c r="AO57" s="98">
        <v>1495.6888967094844</v>
      </c>
      <c r="AP57" s="158">
        <v>0.9288778687</v>
      </c>
      <c r="AQ57" s="100">
        <v>0.09411764705882353</v>
      </c>
      <c r="AR57" s="100">
        <v>0.36363636363636365</v>
      </c>
      <c r="AS57" s="98">
        <v>228.75241949674466</v>
      </c>
      <c r="AT57" s="98">
        <v>158.36705965159246</v>
      </c>
      <c r="AU57" s="98" t="s">
        <v>592</v>
      </c>
      <c r="AV57" s="98">
        <v>404.7158191096252</v>
      </c>
      <c r="AW57" s="98">
        <v>422.31215907091325</v>
      </c>
      <c r="AX57" s="98">
        <v>211.15607953545663</v>
      </c>
      <c r="AY57" s="98">
        <v>774.2389582966742</v>
      </c>
      <c r="AZ57" s="98">
        <v>439.9084990322013</v>
      </c>
      <c r="BA57" s="100" t="s">
        <v>592</v>
      </c>
      <c r="BB57" s="100" t="s">
        <v>592</v>
      </c>
      <c r="BC57" s="100" t="s">
        <v>592</v>
      </c>
      <c r="BD57" s="158">
        <v>0.7419546509</v>
      </c>
      <c r="BE57" s="158">
        <v>1.14857193</v>
      </c>
      <c r="BF57" s="162">
        <v>546</v>
      </c>
      <c r="BG57" s="162">
        <v>513</v>
      </c>
      <c r="BH57" s="162">
        <v>1830</v>
      </c>
      <c r="BI57" s="162">
        <v>430</v>
      </c>
      <c r="BJ57" s="162">
        <v>195</v>
      </c>
      <c r="BK57" s="97"/>
      <c r="BL57" s="97"/>
      <c r="BM57" s="97"/>
      <c r="BN57" s="97"/>
    </row>
    <row r="58" spans="1:66" ht="12.75">
      <c r="A58" s="79" t="s">
        <v>556</v>
      </c>
      <c r="B58" s="79" t="s">
        <v>313</v>
      </c>
      <c r="C58" s="79" t="s">
        <v>71</v>
      </c>
      <c r="D58" s="99">
        <v>2119</v>
      </c>
      <c r="E58" s="99">
        <v>329</v>
      </c>
      <c r="F58" s="99" t="s">
        <v>363</v>
      </c>
      <c r="G58" s="99">
        <v>6</v>
      </c>
      <c r="H58" s="99" t="s">
        <v>592</v>
      </c>
      <c r="I58" s="99">
        <v>24</v>
      </c>
      <c r="J58" s="99">
        <v>151</v>
      </c>
      <c r="K58" s="99" t="s">
        <v>592</v>
      </c>
      <c r="L58" s="99">
        <v>419</v>
      </c>
      <c r="M58" s="99">
        <v>115</v>
      </c>
      <c r="N58" s="99">
        <v>64</v>
      </c>
      <c r="O58" s="99">
        <v>14</v>
      </c>
      <c r="P58" s="159">
        <v>14</v>
      </c>
      <c r="Q58" s="99" t="s">
        <v>592</v>
      </c>
      <c r="R58" s="99">
        <v>8</v>
      </c>
      <c r="S58" s="99" t="s">
        <v>592</v>
      </c>
      <c r="T58" s="99" t="s">
        <v>592</v>
      </c>
      <c r="U58" s="99" t="s">
        <v>592</v>
      </c>
      <c r="V58" s="99" t="s">
        <v>592</v>
      </c>
      <c r="W58" s="99">
        <v>8</v>
      </c>
      <c r="X58" s="99" t="s">
        <v>592</v>
      </c>
      <c r="Y58" s="99">
        <v>24</v>
      </c>
      <c r="Z58" s="99">
        <v>14</v>
      </c>
      <c r="AA58" s="99" t="s">
        <v>592</v>
      </c>
      <c r="AB58" s="99" t="s">
        <v>592</v>
      </c>
      <c r="AC58" s="99" t="s">
        <v>592</v>
      </c>
      <c r="AD58" s="98" t="s">
        <v>343</v>
      </c>
      <c r="AE58" s="100">
        <v>0.15526191599811232</v>
      </c>
      <c r="AF58" s="100">
        <v>0.23</v>
      </c>
      <c r="AG58" s="98">
        <v>283.15243039169417</v>
      </c>
      <c r="AH58" s="98" t="s">
        <v>592</v>
      </c>
      <c r="AI58" s="100">
        <v>0.011000000000000001</v>
      </c>
      <c r="AJ58" s="100">
        <v>0.585271</v>
      </c>
      <c r="AK58" s="100" t="s">
        <v>592</v>
      </c>
      <c r="AL58" s="100">
        <v>0.810445</v>
      </c>
      <c r="AM58" s="100">
        <v>0.456349</v>
      </c>
      <c r="AN58" s="100">
        <v>0.512</v>
      </c>
      <c r="AO58" s="98">
        <v>660.6890042472864</v>
      </c>
      <c r="AP58" s="158">
        <v>0.3699931335</v>
      </c>
      <c r="AQ58" s="100" t="s">
        <v>592</v>
      </c>
      <c r="AR58" s="100" t="s">
        <v>592</v>
      </c>
      <c r="AS58" s="98" t="s">
        <v>592</v>
      </c>
      <c r="AT58" s="98" t="s">
        <v>592</v>
      </c>
      <c r="AU58" s="98" t="s">
        <v>592</v>
      </c>
      <c r="AV58" s="98" t="s">
        <v>592</v>
      </c>
      <c r="AW58" s="98">
        <v>377.5365738555923</v>
      </c>
      <c r="AX58" s="98" t="s">
        <v>592</v>
      </c>
      <c r="AY58" s="98">
        <v>1132.6097215667767</v>
      </c>
      <c r="AZ58" s="98">
        <v>660.6890042472864</v>
      </c>
      <c r="BA58" s="100" t="s">
        <v>592</v>
      </c>
      <c r="BB58" s="100" t="s">
        <v>592</v>
      </c>
      <c r="BC58" s="100" t="s">
        <v>592</v>
      </c>
      <c r="BD58" s="158">
        <v>0.2022786903</v>
      </c>
      <c r="BE58" s="158">
        <v>0.6207855988</v>
      </c>
      <c r="BF58" s="162">
        <v>258</v>
      </c>
      <c r="BG58" s="162" t="s">
        <v>592</v>
      </c>
      <c r="BH58" s="162">
        <v>517</v>
      </c>
      <c r="BI58" s="162">
        <v>252</v>
      </c>
      <c r="BJ58" s="162">
        <v>125</v>
      </c>
      <c r="BK58" s="97"/>
      <c r="BL58" s="97"/>
      <c r="BM58" s="97"/>
      <c r="BN58" s="97"/>
    </row>
    <row r="59" spans="1:66" ht="12.75">
      <c r="A59" s="79" t="s">
        <v>534</v>
      </c>
      <c r="B59" s="79" t="s">
        <v>290</v>
      </c>
      <c r="C59" s="79" t="s">
        <v>71</v>
      </c>
      <c r="D59" s="99">
        <v>8167</v>
      </c>
      <c r="E59" s="99">
        <v>1161</v>
      </c>
      <c r="F59" s="99" t="s">
        <v>366</v>
      </c>
      <c r="G59" s="99">
        <v>20</v>
      </c>
      <c r="H59" s="99">
        <v>8</v>
      </c>
      <c r="I59" s="99">
        <v>127</v>
      </c>
      <c r="J59" s="99">
        <v>734</v>
      </c>
      <c r="K59" s="99">
        <v>720</v>
      </c>
      <c r="L59" s="99">
        <v>1709</v>
      </c>
      <c r="M59" s="99">
        <v>433</v>
      </c>
      <c r="N59" s="99">
        <v>217</v>
      </c>
      <c r="O59" s="99">
        <v>103</v>
      </c>
      <c r="P59" s="159">
        <v>103</v>
      </c>
      <c r="Q59" s="99">
        <v>15</v>
      </c>
      <c r="R59" s="99">
        <v>35</v>
      </c>
      <c r="S59" s="99">
        <v>26</v>
      </c>
      <c r="T59" s="99">
        <v>14</v>
      </c>
      <c r="U59" s="99">
        <v>8</v>
      </c>
      <c r="V59" s="99">
        <v>27</v>
      </c>
      <c r="W59" s="99">
        <v>59</v>
      </c>
      <c r="X59" s="99">
        <v>26</v>
      </c>
      <c r="Y59" s="99">
        <v>66</v>
      </c>
      <c r="Z59" s="99">
        <v>35</v>
      </c>
      <c r="AA59" s="99" t="s">
        <v>592</v>
      </c>
      <c r="AB59" s="99" t="s">
        <v>592</v>
      </c>
      <c r="AC59" s="99" t="s">
        <v>592</v>
      </c>
      <c r="AD59" s="98" t="s">
        <v>343</v>
      </c>
      <c r="AE59" s="100">
        <v>0.14215746296069548</v>
      </c>
      <c r="AF59" s="100">
        <v>0.13</v>
      </c>
      <c r="AG59" s="98">
        <v>244.88796375658137</v>
      </c>
      <c r="AH59" s="98">
        <v>97.95518550263255</v>
      </c>
      <c r="AI59" s="100">
        <v>0.016</v>
      </c>
      <c r="AJ59" s="100">
        <v>0.718903</v>
      </c>
      <c r="AK59" s="100">
        <v>0.722166</v>
      </c>
      <c r="AL59" s="100">
        <v>0.730654</v>
      </c>
      <c r="AM59" s="100">
        <v>0.535891</v>
      </c>
      <c r="AN59" s="100">
        <v>0.565104</v>
      </c>
      <c r="AO59" s="98">
        <v>1261.173013346394</v>
      </c>
      <c r="AP59" s="158">
        <v>0.7043199158</v>
      </c>
      <c r="AQ59" s="100">
        <v>0.14563106796116504</v>
      </c>
      <c r="AR59" s="100">
        <v>0.42857142857142855</v>
      </c>
      <c r="AS59" s="98">
        <v>318.35435288355575</v>
      </c>
      <c r="AT59" s="98">
        <v>171.42157462960697</v>
      </c>
      <c r="AU59" s="98">
        <v>97.95518550263255</v>
      </c>
      <c r="AV59" s="98">
        <v>330.59875107138487</v>
      </c>
      <c r="AW59" s="98">
        <v>722.419493081915</v>
      </c>
      <c r="AX59" s="98">
        <v>318.35435288355575</v>
      </c>
      <c r="AY59" s="98">
        <v>808.1302803967185</v>
      </c>
      <c r="AZ59" s="98">
        <v>428.55393657401737</v>
      </c>
      <c r="BA59" s="100" t="s">
        <v>592</v>
      </c>
      <c r="BB59" s="100" t="s">
        <v>592</v>
      </c>
      <c r="BC59" s="100" t="s">
        <v>592</v>
      </c>
      <c r="BD59" s="158">
        <v>0.5748887253</v>
      </c>
      <c r="BE59" s="158">
        <v>0.8541927338</v>
      </c>
      <c r="BF59" s="162">
        <v>1021</v>
      </c>
      <c r="BG59" s="162">
        <v>997</v>
      </c>
      <c r="BH59" s="162">
        <v>2339</v>
      </c>
      <c r="BI59" s="162">
        <v>808</v>
      </c>
      <c r="BJ59" s="162">
        <v>384</v>
      </c>
      <c r="BK59" s="97"/>
      <c r="BL59" s="97"/>
      <c r="BM59" s="97"/>
      <c r="BN59" s="97"/>
    </row>
    <row r="60" spans="1:66" ht="12.75">
      <c r="A60" s="79" t="s">
        <v>568</v>
      </c>
      <c r="B60" s="79" t="s">
        <v>325</v>
      </c>
      <c r="C60" s="79" t="s">
        <v>71</v>
      </c>
      <c r="D60" s="99">
        <v>2811</v>
      </c>
      <c r="E60" s="99">
        <v>228</v>
      </c>
      <c r="F60" s="99" t="s">
        <v>363</v>
      </c>
      <c r="G60" s="99">
        <v>8</v>
      </c>
      <c r="H60" s="99" t="s">
        <v>592</v>
      </c>
      <c r="I60" s="99">
        <v>30</v>
      </c>
      <c r="J60" s="99">
        <v>116</v>
      </c>
      <c r="K60" s="99" t="s">
        <v>592</v>
      </c>
      <c r="L60" s="99">
        <v>524</v>
      </c>
      <c r="M60" s="99">
        <v>70</v>
      </c>
      <c r="N60" s="99">
        <v>38</v>
      </c>
      <c r="O60" s="99">
        <v>34</v>
      </c>
      <c r="P60" s="159">
        <v>34</v>
      </c>
      <c r="Q60" s="99" t="s">
        <v>592</v>
      </c>
      <c r="R60" s="99">
        <v>9</v>
      </c>
      <c r="S60" s="99">
        <v>13</v>
      </c>
      <c r="T60" s="99" t="s">
        <v>592</v>
      </c>
      <c r="U60" s="99" t="s">
        <v>592</v>
      </c>
      <c r="V60" s="99" t="s">
        <v>592</v>
      </c>
      <c r="W60" s="99">
        <v>11</v>
      </c>
      <c r="X60" s="99">
        <v>7</v>
      </c>
      <c r="Y60" s="99">
        <v>19</v>
      </c>
      <c r="Z60" s="99" t="s">
        <v>592</v>
      </c>
      <c r="AA60" s="99" t="s">
        <v>592</v>
      </c>
      <c r="AB60" s="99" t="s">
        <v>592</v>
      </c>
      <c r="AC60" s="99" t="s">
        <v>592</v>
      </c>
      <c r="AD60" s="98" t="s">
        <v>343</v>
      </c>
      <c r="AE60" s="100">
        <v>0.08110992529348986</v>
      </c>
      <c r="AF60" s="100">
        <v>0.19</v>
      </c>
      <c r="AG60" s="98">
        <v>284.59622909996443</v>
      </c>
      <c r="AH60" s="98" t="s">
        <v>592</v>
      </c>
      <c r="AI60" s="100">
        <v>0.011000000000000001</v>
      </c>
      <c r="AJ60" s="100">
        <v>0.539535</v>
      </c>
      <c r="AK60" s="100" t="s">
        <v>592</v>
      </c>
      <c r="AL60" s="100">
        <v>0.674389</v>
      </c>
      <c r="AM60" s="100">
        <v>0.419162</v>
      </c>
      <c r="AN60" s="100">
        <v>0.413043</v>
      </c>
      <c r="AO60" s="98">
        <v>1209.5339736748488</v>
      </c>
      <c r="AP60" s="158">
        <v>0.8827474976</v>
      </c>
      <c r="AQ60" s="100" t="s">
        <v>592</v>
      </c>
      <c r="AR60" s="100" t="s">
        <v>592</v>
      </c>
      <c r="AS60" s="98">
        <v>462.4688722874422</v>
      </c>
      <c r="AT60" s="98" t="s">
        <v>592</v>
      </c>
      <c r="AU60" s="98" t="s">
        <v>592</v>
      </c>
      <c r="AV60" s="98" t="s">
        <v>592</v>
      </c>
      <c r="AW60" s="98">
        <v>391.3198150124511</v>
      </c>
      <c r="AX60" s="98">
        <v>249.02170046246889</v>
      </c>
      <c r="AY60" s="98">
        <v>675.9160441124155</v>
      </c>
      <c r="AZ60" s="98" t="s">
        <v>592</v>
      </c>
      <c r="BA60" s="100" t="s">
        <v>592</v>
      </c>
      <c r="BB60" s="100" t="s">
        <v>592</v>
      </c>
      <c r="BC60" s="100" t="s">
        <v>592</v>
      </c>
      <c r="BD60" s="158">
        <v>0.6113282776</v>
      </c>
      <c r="BE60" s="158">
        <v>1.233551102</v>
      </c>
      <c r="BF60" s="162">
        <v>215</v>
      </c>
      <c r="BG60" s="162" t="s">
        <v>592</v>
      </c>
      <c r="BH60" s="162">
        <v>777</v>
      </c>
      <c r="BI60" s="162">
        <v>167</v>
      </c>
      <c r="BJ60" s="162">
        <v>92</v>
      </c>
      <c r="BK60" s="97"/>
      <c r="BL60" s="97"/>
      <c r="BM60" s="97"/>
      <c r="BN60" s="97"/>
    </row>
    <row r="61" spans="1:66" ht="12.75">
      <c r="A61" s="79" t="s">
        <v>572</v>
      </c>
      <c r="B61" s="79" t="s">
        <v>329</v>
      </c>
      <c r="C61" s="79" t="s">
        <v>71</v>
      </c>
      <c r="D61" s="99">
        <v>2917</v>
      </c>
      <c r="E61" s="99">
        <v>402</v>
      </c>
      <c r="F61" s="99" t="s">
        <v>363</v>
      </c>
      <c r="G61" s="99">
        <v>12</v>
      </c>
      <c r="H61" s="99">
        <v>7</v>
      </c>
      <c r="I61" s="99">
        <v>40</v>
      </c>
      <c r="J61" s="99">
        <v>210</v>
      </c>
      <c r="K61" s="99" t="s">
        <v>592</v>
      </c>
      <c r="L61" s="99">
        <v>658</v>
      </c>
      <c r="M61" s="99">
        <v>132</v>
      </c>
      <c r="N61" s="99">
        <v>50</v>
      </c>
      <c r="O61" s="99">
        <v>36</v>
      </c>
      <c r="P61" s="159">
        <v>36</v>
      </c>
      <c r="Q61" s="99" t="s">
        <v>592</v>
      </c>
      <c r="R61" s="99">
        <v>9</v>
      </c>
      <c r="S61" s="99">
        <v>6</v>
      </c>
      <c r="T61" s="99" t="s">
        <v>592</v>
      </c>
      <c r="U61" s="99" t="s">
        <v>592</v>
      </c>
      <c r="V61" s="99" t="s">
        <v>592</v>
      </c>
      <c r="W61" s="99">
        <v>12</v>
      </c>
      <c r="X61" s="99">
        <v>7</v>
      </c>
      <c r="Y61" s="99">
        <v>18</v>
      </c>
      <c r="Z61" s="99">
        <v>10</v>
      </c>
      <c r="AA61" s="99" t="s">
        <v>592</v>
      </c>
      <c r="AB61" s="99" t="s">
        <v>592</v>
      </c>
      <c r="AC61" s="99" t="s">
        <v>592</v>
      </c>
      <c r="AD61" s="98" t="s">
        <v>343</v>
      </c>
      <c r="AE61" s="100">
        <v>0.13781282139184092</v>
      </c>
      <c r="AF61" s="100">
        <v>0.18</v>
      </c>
      <c r="AG61" s="98">
        <v>411.381556393555</v>
      </c>
      <c r="AH61" s="98">
        <v>239.97257456290708</v>
      </c>
      <c r="AI61" s="100">
        <v>0.013999999999999999</v>
      </c>
      <c r="AJ61" s="100">
        <v>0.666667</v>
      </c>
      <c r="AK61" s="100" t="s">
        <v>592</v>
      </c>
      <c r="AL61" s="100">
        <v>0.831858</v>
      </c>
      <c r="AM61" s="100">
        <v>0.552301</v>
      </c>
      <c r="AN61" s="100">
        <v>0.454545</v>
      </c>
      <c r="AO61" s="98">
        <v>1234.144669180665</v>
      </c>
      <c r="AP61" s="158">
        <v>0.7174321747000001</v>
      </c>
      <c r="AQ61" s="100" t="s">
        <v>592</v>
      </c>
      <c r="AR61" s="100" t="s">
        <v>592</v>
      </c>
      <c r="AS61" s="98">
        <v>205.6907781967775</v>
      </c>
      <c r="AT61" s="98" t="s">
        <v>592</v>
      </c>
      <c r="AU61" s="98" t="s">
        <v>592</v>
      </c>
      <c r="AV61" s="98" t="s">
        <v>592</v>
      </c>
      <c r="AW61" s="98">
        <v>411.381556393555</v>
      </c>
      <c r="AX61" s="98">
        <v>239.97257456290708</v>
      </c>
      <c r="AY61" s="98">
        <v>617.0723345903325</v>
      </c>
      <c r="AZ61" s="98">
        <v>342.81796366129583</v>
      </c>
      <c r="BA61" s="100" t="s">
        <v>592</v>
      </c>
      <c r="BB61" s="100" t="s">
        <v>592</v>
      </c>
      <c r="BC61" s="100" t="s">
        <v>592</v>
      </c>
      <c r="BD61" s="158">
        <v>0.5024806595</v>
      </c>
      <c r="BE61" s="158">
        <v>0.9932285309</v>
      </c>
      <c r="BF61" s="162">
        <v>315</v>
      </c>
      <c r="BG61" s="162" t="s">
        <v>592</v>
      </c>
      <c r="BH61" s="162">
        <v>791</v>
      </c>
      <c r="BI61" s="162">
        <v>239</v>
      </c>
      <c r="BJ61" s="162">
        <v>110</v>
      </c>
      <c r="BK61" s="97"/>
      <c r="BL61" s="97"/>
      <c r="BM61" s="97"/>
      <c r="BN61" s="97"/>
    </row>
    <row r="62" spans="1:66" ht="12.75">
      <c r="A62" s="79" t="s">
        <v>537</v>
      </c>
      <c r="B62" s="79" t="s">
        <v>293</v>
      </c>
      <c r="C62" s="79" t="s">
        <v>71</v>
      </c>
      <c r="D62" s="99">
        <v>11061</v>
      </c>
      <c r="E62" s="99">
        <v>1825</v>
      </c>
      <c r="F62" s="99" t="s">
        <v>366</v>
      </c>
      <c r="G62" s="99">
        <v>48</v>
      </c>
      <c r="H62" s="99">
        <v>23</v>
      </c>
      <c r="I62" s="99">
        <v>142</v>
      </c>
      <c r="J62" s="99">
        <v>852</v>
      </c>
      <c r="K62" s="99">
        <v>21</v>
      </c>
      <c r="L62" s="99">
        <v>2419</v>
      </c>
      <c r="M62" s="99">
        <v>616</v>
      </c>
      <c r="N62" s="99">
        <v>301</v>
      </c>
      <c r="O62" s="99">
        <v>177</v>
      </c>
      <c r="P62" s="159">
        <v>177</v>
      </c>
      <c r="Q62" s="99">
        <v>20</v>
      </c>
      <c r="R62" s="99">
        <v>41</v>
      </c>
      <c r="S62" s="99">
        <v>30</v>
      </c>
      <c r="T62" s="99">
        <v>35</v>
      </c>
      <c r="U62" s="99" t="s">
        <v>592</v>
      </c>
      <c r="V62" s="99">
        <v>39</v>
      </c>
      <c r="W62" s="99">
        <v>87</v>
      </c>
      <c r="X62" s="99">
        <v>44</v>
      </c>
      <c r="Y62" s="99">
        <v>115</v>
      </c>
      <c r="Z62" s="99">
        <v>61</v>
      </c>
      <c r="AA62" s="99" t="s">
        <v>592</v>
      </c>
      <c r="AB62" s="99" t="s">
        <v>592</v>
      </c>
      <c r="AC62" s="99" t="s">
        <v>592</v>
      </c>
      <c r="AD62" s="98" t="s">
        <v>343</v>
      </c>
      <c r="AE62" s="100">
        <v>0.16499412349697135</v>
      </c>
      <c r="AF62" s="100">
        <v>0.14</v>
      </c>
      <c r="AG62" s="98">
        <v>433.95714673176025</v>
      </c>
      <c r="AH62" s="98">
        <v>207.9377994756351</v>
      </c>
      <c r="AI62" s="100">
        <v>0.013000000000000001</v>
      </c>
      <c r="AJ62" s="100">
        <v>0.682692</v>
      </c>
      <c r="AK62" s="100">
        <v>0.552632</v>
      </c>
      <c r="AL62" s="100">
        <v>0.779819</v>
      </c>
      <c r="AM62" s="100">
        <v>0.573557</v>
      </c>
      <c r="AN62" s="100">
        <v>0.594862</v>
      </c>
      <c r="AO62" s="98">
        <v>1600.2169785733659</v>
      </c>
      <c r="AP62" s="158">
        <v>0.8520052338</v>
      </c>
      <c r="AQ62" s="100">
        <v>0.11299435028248588</v>
      </c>
      <c r="AR62" s="100">
        <v>0.4878048780487805</v>
      </c>
      <c r="AS62" s="98">
        <v>271.22321670735016</v>
      </c>
      <c r="AT62" s="98">
        <v>316.42708615857515</v>
      </c>
      <c r="AU62" s="98" t="s">
        <v>592</v>
      </c>
      <c r="AV62" s="98">
        <v>352.5901817195552</v>
      </c>
      <c r="AW62" s="98">
        <v>786.5473284513155</v>
      </c>
      <c r="AX62" s="98">
        <v>397.7940511707802</v>
      </c>
      <c r="AY62" s="98">
        <v>1039.6889973781756</v>
      </c>
      <c r="AZ62" s="98">
        <v>551.4872073049453</v>
      </c>
      <c r="BA62" s="100" t="s">
        <v>592</v>
      </c>
      <c r="BB62" s="100" t="s">
        <v>592</v>
      </c>
      <c r="BC62" s="100" t="s">
        <v>592</v>
      </c>
      <c r="BD62" s="158">
        <v>0.7311074066000001</v>
      </c>
      <c r="BE62" s="158">
        <v>0.9871856689</v>
      </c>
      <c r="BF62" s="162">
        <v>1248</v>
      </c>
      <c r="BG62" s="162">
        <v>38</v>
      </c>
      <c r="BH62" s="162">
        <v>3102</v>
      </c>
      <c r="BI62" s="162">
        <v>1074</v>
      </c>
      <c r="BJ62" s="162">
        <v>506</v>
      </c>
      <c r="BK62" s="97"/>
      <c r="BL62" s="97"/>
      <c r="BM62" s="97"/>
      <c r="BN62" s="97"/>
    </row>
    <row r="63" spans="1:66" ht="12.75">
      <c r="A63" s="79" t="s">
        <v>542</v>
      </c>
      <c r="B63" s="79" t="s">
        <v>299</v>
      </c>
      <c r="C63" s="79" t="s">
        <v>71</v>
      </c>
      <c r="D63" s="99">
        <v>2707</v>
      </c>
      <c r="E63" s="99">
        <v>407</v>
      </c>
      <c r="F63" s="99" t="s">
        <v>366</v>
      </c>
      <c r="G63" s="99">
        <v>12</v>
      </c>
      <c r="H63" s="99" t="s">
        <v>592</v>
      </c>
      <c r="I63" s="99">
        <v>56</v>
      </c>
      <c r="J63" s="99">
        <v>248</v>
      </c>
      <c r="K63" s="99" t="s">
        <v>592</v>
      </c>
      <c r="L63" s="99">
        <v>618</v>
      </c>
      <c r="M63" s="99">
        <v>159</v>
      </c>
      <c r="N63" s="99">
        <v>93</v>
      </c>
      <c r="O63" s="99">
        <v>46</v>
      </c>
      <c r="P63" s="159">
        <v>46</v>
      </c>
      <c r="Q63" s="99">
        <v>8</v>
      </c>
      <c r="R63" s="99">
        <v>12</v>
      </c>
      <c r="S63" s="99">
        <v>8</v>
      </c>
      <c r="T63" s="99">
        <v>7</v>
      </c>
      <c r="U63" s="99" t="s">
        <v>592</v>
      </c>
      <c r="V63" s="99" t="s">
        <v>592</v>
      </c>
      <c r="W63" s="99">
        <v>23</v>
      </c>
      <c r="X63" s="99">
        <v>11</v>
      </c>
      <c r="Y63" s="99">
        <v>36</v>
      </c>
      <c r="Z63" s="99">
        <v>11</v>
      </c>
      <c r="AA63" s="99" t="s">
        <v>592</v>
      </c>
      <c r="AB63" s="99" t="s">
        <v>592</v>
      </c>
      <c r="AC63" s="99" t="s">
        <v>592</v>
      </c>
      <c r="AD63" s="98" t="s">
        <v>343</v>
      </c>
      <c r="AE63" s="100">
        <v>0.15035094200221646</v>
      </c>
      <c r="AF63" s="100">
        <v>0.15</v>
      </c>
      <c r="AG63" s="98">
        <v>443.29516069449573</v>
      </c>
      <c r="AH63" s="98" t="s">
        <v>592</v>
      </c>
      <c r="AI63" s="100">
        <v>0.021</v>
      </c>
      <c r="AJ63" s="100">
        <v>0.656085</v>
      </c>
      <c r="AK63" s="100" t="s">
        <v>592</v>
      </c>
      <c r="AL63" s="100">
        <v>0.799483</v>
      </c>
      <c r="AM63" s="100">
        <v>0.535354</v>
      </c>
      <c r="AN63" s="100">
        <v>0.57764</v>
      </c>
      <c r="AO63" s="98">
        <v>1699.298115995567</v>
      </c>
      <c r="AP63" s="158">
        <v>0.905565567</v>
      </c>
      <c r="AQ63" s="100">
        <v>0.17391304347826086</v>
      </c>
      <c r="AR63" s="100">
        <v>0.6666666666666666</v>
      </c>
      <c r="AS63" s="98">
        <v>295.53010712966386</v>
      </c>
      <c r="AT63" s="98">
        <v>258.58884373845586</v>
      </c>
      <c r="AU63" s="98" t="s">
        <v>592</v>
      </c>
      <c r="AV63" s="98" t="s">
        <v>592</v>
      </c>
      <c r="AW63" s="98">
        <v>849.6490579977835</v>
      </c>
      <c r="AX63" s="98">
        <v>406.3538973032878</v>
      </c>
      <c r="AY63" s="98">
        <v>1329.8854820834872</v>
      </c>
      <c r="AZ63" s="98">
        <v>406.3538973032878</v>
      </c>
      <c r="BA63" s="101" t="s">
        <v>592</v>
      </c>
      <c r="BB63" s="101" t="s">
        <v>592</v>
      </c>
      <c r="BC63" s="101" t="s">
        <v>592</v>
      </c>
      <c r="BD63" s="158">
        <v>0.6629878235</v>
      </c>
      <c r="BE63" s="158">
        <v>1.2078975680000001</v>
      </c>
      <c r="BF63" s="162">
        <v>378</v>
      </c>
      <c r="BG63" s="162" t="s">
        <v>592</v>
      </c>
      <c r="BH63" s="162">
        <v>773</v>
      </c>
      <c r="BI63" s="162">
        <v>297</v>
      </c>
      <c r="BJ63" s="162">
        <v>161</v>
      </c>
      <c r="BK63" s="97"/>
      <c r="BL63" s="97"/>
      <c r="BM63" s="97"/>
      <c r="BN63" s="97"/>
    </row>
    <row r="64" spans="1:66" ht="12.75">
      <c r="A64" s="79" t="s">
        <v>72</v>
      </c>
      <c r="B64" s="94" t="s">
        <v>71</v>
      </c>
      <c r="C64" s="94" t="s">
        <v>7</v>
      </c>
      <c r="D64" s="99">
        <v>291547</v>
      </c>
      <c r="E64" s="99">
        <v>38039</v>
      </c>
      <c r="F64" s="99">
        <v>69049.4</v>
      </c>
      <c r="G64" s="99">
        <v>1059</v>
      </c>
      <c r="H64" s="99">
        <v>524</v>
      </c>
      <c r="I64" s="99">
        <v>3791</v>
      </c>
      <c r="J64" s="99">
        <v>19487</v>
      </c>
      <c r="K64" s="99">
        <v>4374</v>
      </c>
      <c r="L64" s="99">
        <v>59791</v>
      </c>
      <c r="M64" s="99">
        <v>12085</v>
      </c>
      <c r="N64" s="99">
        <v>6219</v>
      </c>
      <c r="O64" s="99">
        <v>4443</v>
      </c>
      <c r="P64" s="99">
        <v>4443</v>
      </c>
      <c r="Q64" s="99">
        <v>484</v>
      </c>
      <c r="R64" s="99">
        <v>1100</v>
      </c>
      <c r="S64" s="99">
        <v>705</v>
      </c>
      <c r="T64" s="99">
        <v>729</v>
      </c>
      <c r="U64" s="99">
        <v>149</v>
      </c>
      <c r="V64" s="99">
        <v>856</v>
      </c>
      <c r="W64" s="99">
        <v>1905</v>
      </c>
      <c r="X64" s="99">
        <v>882</v>
      </c>
      <c r="Y64" s="99">
        <v>2769</v>
      </c>
      <c r="Z64" s="99">
        <v>1477</v>
      </c>
      <c r="AA64" s="99">
        <v>0</v>
      </c>
      <c r="AB64" s="99">
        <v>0</v>
      </c>
      <c r="AC64" s="99">
        <v>0</v>
      </c>
      <c r="AD64" s="98">
        <v>0</v>
      </c>
      <c r="AE64" s="101">
        <v>0.13047295976291987</v>
      </c>
      <c r="AF64" s="101">
        <v>0.2368379712361986</v>
      </c>
      <c r="AG64" s="98">
        <v>363.2347443122378</v>
      </c>
      <c r="AH64" s="98">
        <v>179.73088387121115</v>
      </c>
      <c r="AI64" s="101">
        <v>0.013003049251064151</v>
      </c>
      <c r="AJ64" s="101">
        <v>0.6429231276806334</v>
      </c>
      <c r="AK64" s="101">
        <v>0.671476819158735</v>
      </c>
      <c r="AL64" s="101">
        <v>0.7608352632784465</v>
      </c>
      <c r="AM64" s="101">
        <v>0.5004140786749482</v>
      </c>
      <c r="AN64" s="101">
        <v>0.5148605016971604</v>
      </c>
      <c r="AO64" s="98">
        <v>1523.9395363354793</v>
      </c>
      <c r="AP64" s="98">
        <v>0</v>
      </c>
      <c r="AQ64" s="101">
        <v>0.10893540400630204</v>
      </c>
      <c r="AR64" s="101">
        <v>0.44</v>
      </c>
      <c r="AS64" s="98">
        <v>241.81349833817532</v>
      </c>
      <c r="AT64" s="98">
        <v>250.0454472177728</v>
      </c>
      <c r="AU64" s="98">
        <v>51.10668262750088</v>
      </c>
      <c r="AV64" s="98">
        <v>293.60617670564267</v>
      </c>
      <c r="AW64" s="98">
        <v>653.4109423180482</v>
      </c>
      <c r="AX64" s="98">
        <v>302.5241213252066</v>
      </c>
      <c r="AY64" s="98">
        <v>949.7611019835567</v>
      </c>
      <c r="AZ64" s="98">
        <v>506.60785396522687</v>
      </c>
      <c r="BA64" s="101">
        <v>0</v>
      </c>
      <c r="BB64" s="101">
        <v>0</v>
      </c>
      <c r="BC64" s="101">
        <v>0</v>
      </c>
      <c r="BD64" s="98">
        <v>0</v>
      </c>
      <c r="BE64" s="98">
        <v>0</v>
      </c>
      <c r="BF64" s="99">
        <v>30310</v>
      </c>
      <c r="BG64" s="99">
        <v>6514</v>
      </c>
      <c r="BH64" s="99">
        <v>78586</v>
      </c>
      <c r="BI64" s="99">
        <v>24150</v>
      </c>
      <c r="BJ64" s="99">
        <v>12079</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474</v>
      </c>
      <c r="Q4" s="75" t="s">
        <v>475</v>
      </c>
      <c r="R4" s="75" t="s">
        <v>476</v>
      </c>
      <c r="S4" s="75" t="s">
        <v>477</v>
      </c>
      <c r="T4" s="39" t="s">
        <v>278</v>
      </c>
      <c r="U4" s="40" t="s">
        <v>279</v>
      </c>
      <c r="V4" s="41" t="s">
        <v>7</v>
      </c>
      <c r="W4" s="24" t="s">
        <v>2</v>
      </c>
      <c r="X4" s="24" t="s">
        <v>3</v>
      </c>
      <c r="Y4" s="75" t="s">
        <v>598</v>
      </c>
      <c r="Z4" s="75" t="s">
        <v>597</v>
      </c>
      <c r="AA4" s="26" t="s">
        <v>280</v>
      </c>
      <c r="AB4" s="24" t="s">
        <v>5</v>
      </c>
      <c r="AC4" s="75" t="s">
        <v>35</v>
      </c>
      <c r="AD4" s="24" t="s">
        <v>6</v>
      </c>
      <c r="AE4" s="24" t="s">
        <v>281</v>
      </c>
      <c r="AF4" s="24" t="s">
        <v>16</v>
      </c>
      <c r="AG4" s="24" t="s">
        <v>15</v>
      </c>
      <c r="AH4" s="24" t="s">
        <v>14</v>
      </c>
      <c r="AI4" s="25" t="s">
        <v>30</v>
      </c>
      <c r="AJ4" s="47" t="s">
        <v>10</v>
      </c>
      <c r="AK4" s="26" t="s">
        <v>21</v>
      </c>
      <c r="AL4" s="25" t="s">
        <v>22</v>
      </c>
      <c r="AQ4" s="102" t="s">
        <v>389</v>
      </c>
      <c r="AR4" s="102" t="s">
        <v>391</v>
      </c>
      <c r="AS4" s="102" t="s">
        <v>390</v>
      </c>
      <c r="AY4" s="102" t="s">
        <v>471</v>
      </c>
      <c r="AZ4" s="102" t="s">
        <v>472</v>
      </c>
      <c r="BA4" s="102" t="s">
        <v>473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412</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397</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2200</v>
      </c>
      <c r="E7" s="38">
        <f>IF(LEFT(VLOOKUP($B7,'Indicator chart'!$D$1:$J$36,5,FALSE),1)=" "," ",VLOOKUP($B7,'Indicator chart'!$D$1:$J$36,5,FALSE))</f>
        <v>0.19193857965451055</v>
      </c>
      <c r="F7" s="38">
        <f>IF(LEFT(VLOOKUP($B7,'Indicator chart'!$D$1:$J$36,6,FALSE),1)=" "," ",VLOOKUP($B7,'Indicator chart'!$D$1:$J$36,6,FALSE))</f>
        <v>0.18483236464833583</v>
      </c>
      <c r="G7" s="38">
        <f>IF(LEFT(VLOOKUP($B7,'Indicator chart'!$D$1:$J$36,7,FALSE),1)=" "," ",VLOOKUP($B7,'Indicator chart'!$D$1:$J$36,7,FALSE))</f>
        <v>0.1992512249941375</v>
      </c>
      <c r="H7" s="50">
        <f aca="true" t="shared" si="0" ref="H7:H31">IF(LEFT(F7,1)=" ",4,IF(AND(ABS(N7-E7)&gt;SQRT((E7-G7)^2+(N7-R7)^2),E7&lt;N7),1,IF(AND(ABS(N7-E7)&gt;SQRT((E7-F7)^2+(N7-S7)^2),E7&gt;N7),3,2)))</f>
        <v>3</v>
      </c>
      <c r="I7" s="38">
        <v>0.027123287320137024</v>
      </c>
      <c r="J7" s="38">
        <v>0.09863803535699844</v>
      </c>
      <c r="K7" s="38">
        <v>0.1318759322166443</v>
      </c>
      <c r="L7" s="38">
        <v>0.14953002333641052</v>
      </c>
      <c r="M7" s="38">
        <v>0.2012072503566742</v>
      </c>
      <c r="N7" s="80">
        <f>VLOOKUP('Hide - Control'!B$3,'All practice data'!A:CA,A7+29,FALSE)</f>
        <v>0.13047295976291987</v>
      </c>
      <c r="O7" s="80">
        <f>VLOOKUP('Hide - Control'!C$3,'All practice data'!A:CA,A7+29,FALSE)</f>
        <v>0.1599882305185145</v>
      </c>
      <c r="P7" s="38">
        <f>VLOOKUP('Hide - Control'!$B$4,'All practice data'!B:BC,A7+2,FALSE)</f>
        <v>38039</v>
      </c>
      <c r="Q7" s="38">
        <f>VLOOKUP('Hide - Control'!$B$4,'All practice data'!B:BC,3,FALSE)</f>
        <v>291547</v>
      </c>
      <c r="R7" s="38">
        <f>+((2*P7+1.96^2-1.96*SQRT(1.96^2+4*P7*(1-P7/Q7)))/(2*(Q7+1.96^2)))</f>
        <v>0.1292551731340545</v>
      </c>
      <c r="S7" s="38">
        <f>+((2*P7+1.96^2+1.96*SQRT(1.96^2+4*P7*(1-P7/Q7)))/(2*(Q7+1.96^2)))</f>
        <v>0.13170048448802937</v>
      </c>
      <c r="T7" s="53">
        <f>IF($C7=1,M7,I7)</f>
        <v>0.2012072503566742</v>
      </c>
      <c r="U7" s="51">
        <f aca="true" t="shared" si="1" ref="U7:U15">IF($C7=1,I7,M7)</f>
        <v>0.027123287320137024</v>
      </c>
      <c r="V7" s="7">
        <v>1</v>
      </c>
      <c r="W7" s="27">
        <f aca="true" t="shared" si="2" ref="W7:W31">IF((K7-I7)&gt;(M7-K7),I7,(K7-(M7-K7)))</f>
        <v>0.027123287320137024</v>
      </c>
      <c r="X7" s="27">
        <f aca="true" t="shared" si="3" ref="X7:X31">IF(W7=I7,K7+(K7-I7),M7)</f>
        <v>0.23662857711315155</v>
      </c>
      <c r="Y7" s="27">
        <f aca="true" t="shared" si="4" ref="Y7:Y31">IF(C7=1,W7,X7)</f>
        <v>0.027123287320137024</v>
      </c>
      <c r="Z7" s="27">
        <f aca="true" t="shared" si="5" ref="Z7:Z31">IF(C7=1,X7,W7)</f>
        <v>0.23662857711315155</v>
      </c>
      <c r="AA7" s="32">
        <f aca="true" t="shared" si="6" ref="AA7:AA31">IF(ISERROR(IF(C7=1,(I7-$Y7)/($Z7-$Y7),(U7-$Y7)/($Z7-$Y7))),"",IF(C7=1,(I7-$Y7)/($Z7-$Y7),(U7-$Y7)/($Z7-$Y7)))</f>
        <v>0</v>
      </c>
      <c r="AB7" s="33">
        <f aca="true" t="shared" si="7" ref="AB7:AB31">IF(ISERROR(IF(C7=1,(J7-$Y7)/($Z7-$Y7),(L7-$Y7)/($Z7-$Y7))),"",IF(C7=1,(J7-$Y7)/($Z7-$Y7),(L7-$Y7)/($Z7-$Y7)))</f>
        <v>0.34135056020550136</v>
      </c>
      <c r="AC7" s="33">
        <v>0.5</v>
      </c>
      <c r="AD7" s="33">
        <f aca="true" t="shared" si="8" ref="AD7:AD31">IF(ISERROR(IF(C7=1,(L7-$Y7)/($Z7-$Y7),(J7-$Y7)/($Z7-$Y7))),"",IF(C7=1,(L7-$Y7)/($Z7-$Y7),(J7-$Y7)/($Z7-$Y7)))</f>
        <v>0.5842656103681582</v>
      </c>
      <c r="AE7" s="33">
        <f aca="true" t="shared" si="9" ref="AE7:AE31">IF(ISERROR(IF(C7=1,(M7-$Y7)/($Z7-$Y7),(I7-$Y7)/($Z7-$Y7))),"",IF(C7=1,(M7-$Y7)/($Z7-$Y7),(I7-$Y7)/($Z7-$Y7)))</f>
        <v>0.8309287236065845</v>
      </c>
      <c r="AF7" s="33">
        <f aca="true" t="shared" si="10" ref="AF7:AF30">IF(E7=" ",-999,IF(H7=4,(E7-$Y7)/($Z7-$Y7),-999))</f>
        <v>-999</v>
      </c>
      <c r="AG7" s="33">
        <f aca="true" t="shared" si="11" ref="AG7:AG31">IF(E7=" ",-999,IF(H7=2,(E7-$Y7)/($Z7-$Y7),-999))</f>
        <v>-999</v>
      </c>
      <c r="AH7" s="33">
        <f aca="true" t="shared" si="12" ref="AH7:AH31">IF(E7=" ",-999,IF(MAX(AK7:AL7)&gt;-999,MAX(AK7:AL7),-999))</f>
        <v>0.7866879757413596</v>
      </c>
      <c r="AI7" s="34">
        <f aca="true" t="shared" si="13" ref="AI7:AI31">IF(ISERROR((O7-$Y7)/($Z7-$Y7)),-999,(O7-$Y7)/($Z7-$Y7))</f>
        <v>0.634184193294806</v>
      </c>
      <c r="AJ7" s="4">
        <v>2.7020512924389086</v>
      </c>
      <c r="AK7" s="32">
        <f aca="true" t="shared" si="14" ref="AK7:AK31">IF(H7=1,(E7-$Y7)/($Z7-$Y7),-999)</f>
        <v>-999</v>
      </c>
      <c r="AL7" s="34">
        <f aca="true" t="shared" si="15" ref="AL7:AL31">IF(H7=3,(E7-$Y7)/($Z7-$Y7),-999)</f>
        <v>0.7866879757413596</v>
      </c>
      <c r="AQ7" s="103">
        <v>2</v>
      </c>
      <c r="AR7" s="103">
        <v>0.2422</v>
      </c>
      <c r="AS7" s="103">
        <v>7.2247</v>
      </c>
      <c r="AY7" s="103" t="s">
        <v>68</v>
      </c>
      <c r="AZ7" s="103" t="s">
        <v>396</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0.12396692076697832</v>
      </c>
      <c r="G8" s="38">
        <f>IF(LEFT(VLOOKUP($B8,'Indicator chart'!$D$1:$J$36,7,FALSE),1)=" "," ",VLOOKUP($B8,'Indicator chart'!$D$1:$J$36,7,FALSE))</f>
        <v>0.1362810142821157</v>
      </c>
      <c r="H8" s="50">
        <f t="shared" si="0"/>
        <v>1</v>
      </c>
      <c r="I8" s="38">
        <v>0.10000000149011612</v>
      </c>
      <c r="J8" s="38">
        <v>0.17000000178813934</v>
      </c>
      <c r="K8" s="38">
        <v>0.30000001192092896</v>
      </c>
      <c r="L8" s="38">
        <v>0.3400000035762787</v>
      </c>
      <c r="M8" s="38">
        <v>0.4000000059604645</v>
      </c>
      <c r="N8" s="80">
        <f>VLOOKUP('Hide - Control'!B$3,'All practice data'!A:CA,A8+29,FALSE)</f>
        <v>0.2368379712361986</v>
      </c>
      <c r="O8" s="80">
        <f>VLOOKUP('Hide - Control'!C$3,'All practice data'!A:CA,A8+29,FALSE)</f>
        <v>0.15010930292554353</v>
      </c>
      <c r="P8" s="38">
        <f>VLOOKUP('Hide - Control'!$B$4,'All practice data'!B:BC,A8+2,FALSE)</f>
        <v>69049.4</v>
      </c>
      <c r="Q8" s="38">
        <f>VLOOKUP('Hide - Control'!$B$4,'All practice data'!B:BC,3,FALSE)</f>
        <v>291547</v>
      </c>
      <c r="R8" s="38">
        <f>+((2*P8+1.96^2-1.96*SQRT(1.96^2+4*P8*(1-P8/Q8)))/(2*(Q8+1.96^2)))</f>
        <v>0.23529819667808288</v>
      </c>
      <c r="S8" s="38">
        <f>+((2*P8+1.96^2+1.96*SQRT(1.96^2+4*P8*(1-P8/Q8)))/(2*(Q8+1.96^2)))</f>
        <v>0.2383846808677592</v>
      </c>
      <c r="T8" s="53">
        <f aca="true" t="shared" si="16" ref="T8:T15">IF($C8=1,M8,I8)</f>
        <v>0.4000000059604645</v>
      </c>
      <c r="U8" s="51">
        <f t="shared" si="1"/>
        <v>0.10000000149011612</v>
      </c>
      <c r="V8" s="7"/>
      <c r="W8" s="27">
        <f t="shared" si="2"/>
        <v>0.10000000149011612</v>
      </c>
      <c r="X8" s="27">
        <f t="shared" si="3"/>
        <v>0.5000000223517418</v>
      </c>
      <c r="Y8" s="27">
        <f t="shared" si="4"/>
        <v>0.10000000149011612</v>
      </c>
      <c r="Z8" s="27">
        <f t="shared" si="5"/>
        <v>0.5000000223517418</v>
      </c>
      <c r="AA8" s="32">
        <f t="shared" si="6"/>
        <v>0</v>
      </c>
      <c r="AB8" s="33">
        <f t="shared" si="7"/>
        <v>0.17499999161809726</v>
      </c>
      <c r="AC8" s="33">
        <v>0.5</v>
      </c>
      <c r="AD8" s="33">
        <f t="shared" si="8"/>
        <v>0.5999999739229692</v>
      </c>
      <c r="AE8" s="33">
        <f t="shared" si="9"/>
        <v>0.7499999720603242</v>
      </c>
      <c r="AF8" s="33">
        <f t="shared" si="10"/>
        <v>-999</v>
      </c>
      <c r="AG8" s="33">
        <f t="shared" si="11"/>
        <v>-999</v>
      </c>
      <c r="AH8" s="33">
        <f t="shared" si="12"/>
        <v>0.0749999923631553</v>
      </c>
      <c r="AI8" s="34">
        <f t="shared" si="13"/>
        <v>0.12527324705505957</v>
      </c>
      <c r="AJ8" s="4">
        <v>3.778046717820832</v>
      </c>
      <c r="AK8" s="32">
        <f t="shared" si="14"/>
        <v>0.0749999923631553</v>
      </c>
      <c r="AL8" s="34">
        <f t="shared" si="15"/>
        <v>-999</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410.05060198918164</v>
      </c>
      <c r="F9" s="38">
        <f>IF(LEFT(VLOOKUP($B9,'Indicator chart'!$D$1:$J$36,6,FALSE),1)=" "," ",VLOOKUP($B9,'Indicator chart'!$D$1:$J$36,6,FALSE))</f>
        <v>301.2620547039304</v>
      </c>
      <c r="G9" s="38">
        <f>IF(LEFT(VLOOKUP($B9,'Indicator chart'!$D$1:$J$36,7,FALSE),1)=" "," ",VLOOKUP($B9,'Indicator chart'!$D$1:$J$36,7,FALSE))</f>
        <v>545.2952585947265</v>
      </c>
      <c r="H9" s="50">
        <f t="shared" si="0"/>
        <v>2</v>
      </c>
      <c r="I9" s="38">
        <v>92.60600280761719</v>
      </c>
      <c r="J9" s="38">
        <v>273.5225524902344</v>
      </c>
      <c r="K9" s="38">
        <v>362.97625732421875</v>
      </c>
      <c r="L9" s="38">
        <v>433.43511962890625</v>
      </c>
      <c r="M9" s="38">
        <v>709.2198486328125</v>
      </c>
      <c r="N9" s="80">
        <f>VLOOKUP('Hide - Control'!B$3,'All practice data'!A:CA,A9+29,FALSE)</f>
        <v>363.2347443122378</v>
      </c>
      <c r="O9" s="80">
        <f>VLOOKUP('Hide - Control'!C$3,'All practice data'!A:CA,A9+29,FALSE)</f>
        <v>445.6198871279627</v>
      </c>
      <c r="P9" s="38">
        <f>VLOOKUP('Hide - Control'!$B$4,'All practice data'!B:BC,A9+2,FALSE)</f>
        <v>1059</v>
      </c>
      <c r="Q9" s="38">
        <f>VLOOKUP('Hide - Control'!$B$4,'All practice data'!B:BC,3,FALSE)</f>
        <v>291547</v>
      </c>
      <c r="R9" s="38">
        <f>100000*(P9*(1-1/(9*P9)-1.96/(3*SQRT(P9)))^3)/Q9</f>
        <v>341.68386075662085</v>
      </c>
      <c r="S9" s="38">
        <f>100000*((P9+1)*(1-1/(9*(P9+1))+1.96/(3*SQRT(P9+1)))^3)/Q9</f>
        <v>385.78866036802873</v>
      </c>
      <c r="T9" s="53">
        <f t="shared" si="16"/>
        <v>709.2198486328125</v>
      </c>
      <c r="U9" s="51">
        <f t="shared" si="1"/>
        <v>92.60600280761719</v>
      </c>
      <c r="V9" s="7"/>
      <c r="W9" s="27">
        <f t="shared" si="2"/>
        <v>16.732666015625</v>
      </c>
      <c r="X9" s="27">
        <f t="shared" si="3"/>
        <v>709.2198486328125</v>
      </c>
      <c r="Y9" s="27">
        <f t="shared" si="4"/>
        <v>16.732666015625</v>
      </c>
      <c r="Z9" s="27">
        <f t="shared" si="5"/>
        <v>709.2198486328125</v>
      </c>
      <c r="AA9" s="32">
        <f t="shared" si="6"/>
        <v>0.10956641320816414</v>
      </c>
      <c r="AB9" s="33">
        <f t="shared" si="7"/>
        <v>0.3708225840427792</v>
      </c>
      <c r="AC9" s="33">
        <v>0.5</v>
      </c>
      <c r="AD9" s="33">
        <f t="shared" si="8"/>
        <v>0.6017475327678921</v>
      </c>
      <c r="AE9" s="33">
        <f t="shared" si="9"/>
        <v>1</v>
      </c>
      <c r="AF9" s="33">
        <f t="shared" si="10"/>
        <v>-999</v>
      </c>
      <c r="AG9" s="33">
        <f t="shared" si="11"/>
        <v>0.5679786512250667</v>
      </c>
      <c r="AH9" s="33">
        <f t="shared" si="12"/>
        <v>-999</v>
      </c>
      <c r="AI9" s="34">
        <f t="shared" si="13"/>
        <v>0.6193431905719907</v>
      </c>
      <c r="AJ9" s="4">
        <v>4.854042143202755</v>
      </c>
      <c r="AK9" s="32">
        <f t="shared" si="14"/>
        <v>-999</v>
      </c>
      <c r="AL9" s="34">
        <f t="shared" si="15"/>
        <v>-999</v>
      </c>
      <c r="AQ9" s="103">
        <v>4</v>
      </c>
      <c r="AR9" s="103">
        <v>1.0899</v>
      </c>
      <c r="AS9" s="103">
        <v>10.2416</v>
      </c>
      <c r="AY9" s="103" t="s">
        <v>90</v>
      </c>
      <c r="AZ9" s="103" t="s">
        <v>406</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218.11202233467108</v>
      </c>
      <c r="F10" s="38">
        <f>IF(LEFT(VLOOKUP($B10,'Indicator chart'!$D$1:$J$36,6,FALSE),1)=" "," ",VLOOKUP($B10,'Indicator chart'!$D$1:$J$36,6,FALSE))</f>
        <v>141.11089877471906</v>
      </c>
      <c r="G10" s="38">
        <f>IF(LEFT(VLOOKUP($B10,'Indicator chart'!$D$1:$J$36,7,FALSE),1)=" "," ",VLOOKUP($B10,'Indicator chart'!$D$1:$J$36,7,FALSE))</f>
        <v>321.99164755684586</v>
      </c>
      <c r="H10" s="50">
        <f t="shared" si="0"/>
        <v>2</v>
      </c>
      <c r="I10" s="38">
        <v>44.173431396484375</v>
      </c>
      <c r="J10" s="38">
        <v>124.896484375</v>
      </c>
      <c r="K10" s="38">
        <v>174.29356384277344</v>
      </c>
      <c r="L10" s="38">
        <v>219.89031982421875</v>
      </c>
      <c r="M10" s="38">
        <v>381.8876037597656</v>
      </c>
      <c r="N10" s="80">
        <f>VLOOKUP('Hide - Control'!B$3,'All practice data'!A:CA,A10+29,FALSE)</f>
        <v>179.73088387121115</v>
      </c>
      <c r="O10" s="80">
        <f>VLOOKUP('Hide - Control'!C$3,'All practice data'!A:CA,A10+29,FALSE)</f>
        <v>234.12259778895606</v>
      </c>
      <c r="P10" s="38">
        <f>VLOOKUP('Hide - Control'!$B$4,'All practice data'!B:BC,A10+2,FALSE)</f>
        <v>524</v>
      </c>
      <c r="Q10" s="38">
        <f>VLOOKUP('Hide - Control'!$B$4,'All practice data'!B:BC,3,FALSE)</f>
        <v>291547</v>
      </c>
      <c r="R10" s="38">
        <f>100000*(P10*(1-1/(9*P10)-1.96/(3*SQRT(P10)))^3)/Q10</f>
        <v>164.6689525797563</v>
      </c>
      <c r="S10" s="38">
        <f>100000*((P10+1)*(1-1/(9*(P10+1))+1.96/(3*SQRT(P10+1)))^3)/Q10</f>
        <v>195.80013003310637</v>
      </c>
      <c r="T10" s="53">
        <f t="shared" si="16"/>
        <v>381.8876037597656</v>
      </c>
      <c r="U10" s="51">
        <f t="shared" si="1"/>
        <v>44.173431396484375</v>
      </c>
      <c r="V10" s="7"/>
      <c r="W10" s="27">
        <f t="shared" si="2"/>
        <v>-33.30047607421875</v>
      </c>
      <c r="X10" s="27">
        <f t="shared" si="3"/>
        <v>381.8876037597656</v>
      </c>
      <c r="Y10" s="27">
        <f t="shared" si="4"/>
        <v>-33.30047607421875</v>
      </c>
      <c r="Z10" s="27">
        <f t="shared" si="5"/>
        <v>381.8876037597656</v>
      </c>
      <c r="AA10" s="32">
        <f t="shared" si="6"/>
        <v>0.18659954664806747</v>
      </c>
      <c r="AB10" s="33">
        <f t="shared" si="7"/>
        <v>0.38102481292929896</v>
      </c>
      <c r="AC10" s="33">
        <v>0.5</v>
      </c>
      <c r="AD10" s="33">
        <f t="shared" si="8"/>
        <v>0.6098219293763864</v>
      </c>
      <c r="AE10" s="33">
        <f t="shared" si="9"/>
        <v>1</v>
      </c>
      <c r="AF10" s="33">
        <f t="shared" si="10"/>
        <v>-999</v>
      </c>
      <c r="AG10" s="33">
        <f t="shared" si="11"/>
        <v>0.6055388163104749</v>
      </c>
      <c r="AH10" s="33">
        <f t="shared" si="12"/>
        <v>-999</v>
      </c>
      <c r="AI10" s="34">
        <f t="shared" si="13"/>
        <v>0.644101039630294</v>
      </c>
      <c r="AJ10" s="4">
        <v>5.930037568584676</v>
      </c>
      <c r="AK10" s="32">
        <f t="shared" si="14"/>
        <v>-999</v>
      </c>
      <c r="AL10" s="34">
        <f t="shared" si="15"/>
        <v>-999</v>
      </c>
      <c r="AY10" s="103" t="s">
        <v>96</v>
      </c>
      <c r="AZ10" s="103" t="s">
        <v>97</v>
      </c>
      <c r="BA10" s="103" t="s">
        <v>523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236</v>
      </c>
      <c r="E11" s="38">
        <f>IF(LEFT(VLOOKUP($B11,'Indicator chart'!$D$1:$J$36,5,FALSE),1)=" "," ",VLOOKUP($B11,'Indicator chart'!$D$1:$J$36,5,FALSE))</f>
        <v>0.021</v>
      </c>
      <c r="F11" s="38">
        <f>IF(LEFT(VLOOKUP($B11,'Indicator chart'!$D$1:$J$36,6,FALSE),1)=" "," ",VLOOKUP($B11,'Indicator chart'!$D$1:$J$36,6,FALSE))</f>
        <v>0.018146113065739825</v>
      </c>
      <c r="G11" s="38">
        <f>IF(LEFT(VLOOKUP($B11,'Indicator chart'!$D$1:$J$36,7,FALSE),1)=" "," ",VLOOKUP($B11,'Indicator chart'!$D$1:$J$36,7,FALSE))</f>
        <v>0.023354687015084592</v>
      </c>
      <c r="H11" s="50">
        <f t="shared" si="0"/>
        <v>3</v>
      </c>
      <c r="I11" s="38">
        <v>0</v>
      </c>
      <c r="J11" s="38">
        <v>0.00800000037997961</v>
      </c>
      <c r="K11" s="38">
        <v>0.012000000104308128</v>
      </c>
      <c r="L11" s="38">
        <v>0.01600000075995922</v>
      </c>
      <c r="M11" s="38">
        <v>0.026000000536441803</v>
      </c>
      <c r="N11" s="80">
        <f>VLOOKUP('Hide - Control'!B$3,'All practice data'!A:CA,A11+29,FALSE)</f>
        <v>0.013003049251064151</v>
      </c>
      <c r="O11" s="80">
        <f>VLOOKUP('Hide - Control'!C$3,'All practice data'!A:CA,A11+29,FALSE)</f>
        <v>0.015940726342527432</v>
      </c>
      <c r="P11" s="38">
        <f>VLOOKUP('Hide - Control'!$B$4,'All practice data'!B:BC,A11+2,FALSE)</f>
        <v>3791</v>
      </c>
      <c r="Q11" s="38">
        <f>VLOOKUP('Hide - Control'!$B$4,'All practice data'!B:BC,3,FALSE)</f>
        <v>291547</v>
      </c>
      <c r="R11" s="80">
        <f aca="true" t="shared" si="17" ref="R11:R16">+((2*P11+1.96^2-1.96*SQRT(1.96^2+4*P11*(1-P11/Q11)))/(2*(Q11+1.96^2)))</f>
        <v>0.012598191145292448</v>
      </c>
      <c r="S11" s="80">
        <f aca="true" t="shared" si="18" ref="S11:S16">+((2*P11+1.96^2+1.96*SQRT(1.96^2+4*P11*(1-P11/Q11)))/(2*(Q11+1.96^2)))</f>
        <v>0.013420741121785597</v>
      </c>
      <c r="T11" s="53">
        <f t="shared" si="16"/>
        <v>0.026000000536441803</v>
      </c>
      <c r="U11" s="51">
        <f t="shared" si="1"/>
        <v>0</v>
      </c>
      <c r="V11" s="7"/>
      <c r="W11" s="27">
        <f t="shared" si="2"/>
        <v>-0.0020000003278255463</v>
      </c>
      <c r="X11" s="27">
        <f t="shared" si="3"/>
        <v>0.026000000536441803</v>
      </c>
      <c r="Y11" s="27">
        <f t="shared" si="4"/>
        <v>-0.0020000003278255463</v>
      </c>
      <c r="Z11" s="27">
        <f t="shared" si="5"/>
        <v>0.026000000536441803</v>
      </c>
      <c r="AA11" s="32">
        <f t="shared" si="6"/>
        <v>0.07142858093186272</v>
      </c>
      <c r="AB11" s="33">
        <f t="shared" si="7"/>
        <v>0.35714287139779405</v>
      </c>
      <c r="AC11" s="33">
        <v>0.5</v>
      </c>
      <c r="AD11" s="33">
        <f t="shared" si="8"/>
        <v>0.6428571618637254</v>
      </c>
      <c r="AE11" s="33">
        <f t="shared" si="9"/>
        <v>1</v>
      </c>
      <c r="AF11" s="33">
        <f t="shared" si="10"/>
        <v>-999</v>
      </c>
      <c r="AG11" s="33">
        <f t="shared" si="11"/>
        <v>-999</v>
      </c>
      <c r="AH11" s="33">
        <f t="shared" si="12"/>
        <v>0.8214285577818452</v>
      </c>
      <c r="AI11" s="34">
        <f t="shared" si="13"/>
        <v>0.6407402184493617</v>
      </c>
      <c r="AJ11" s="4">
        <v>7.0060329939666</v>
      </c>
      <c r="AK11" s="32">
        <f t="shared" si="14"/>
        <v>-999</v>
      </c>
      <c r="AL11" s="34">
        <f t="shared" si="15"/>
        <v>0.8214285577818452</v>
      </c>
      <c r="AY11" s="103" t="s">
        <v>214</v>
      </c>
      <c r="AZ11" s="103" t="s">
        <v>215</v>
      </c>
      <c r="BA11" s="103" t="s">
        <v>523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1134</v>
      </c>
      <c r="E12" s="38">
        <f>IF(LEFT(VLOOKUP($B12,'Indicator chart'!$D$1:$J$36,5,FALSE),1)=" "," ",VLOOKUP($B12,'Indicator chart'!$D$1:$J$36,5,FALSE))</f>
        <v>0.745072</v>
      </c>
      <c r="F12" s="38">
        <f>IF(LEFT(VLOOKUP($B12,'Indicator chart'!$D$1:$J$36,6,FALSE),1)=" "," ",VLOOKUP($B12,'Indicator chart'!$D$1:$J$36,6,FALSE))</f>
        <v>0.7225785527910459</v>
      </c>
      <c r="G12" s="38">
        <f>IF(LEFT(VLOOKUP($B12,'Indicator chart'!$D$1:$J$36,7,FALSE),1)=" "," ",VLOOKUP($B12,'Indicator chart'!$D$1:$J$36,7,FALSE))</f>
        <v>0.7663319605938299</v>
      </c>
      <c r="H12" s="50">
        <f t="shared" si="0"/>
        <v>3</v>
      </c>
      <c r="I12" s="38">
        <v>0.4693880081176758</v>
      </c>
      <c r="J12" s="38">
        <v>0.58015376329422</v>
      </c>
      <c r="K12" s="38">
        <v>0.6200605034828186</v>
      </c>
      <c r="L12" s="38">
        <v>0.6813967227935791</v>
      </c>
      <c r="M12" s="38">
        <v>0.7970589995384216</v>
      </c>
      <c r="N12" s="80">
        <f>VLOOKUP('Hide - Control'!B$3,'All practice data'!A:CA,A12+29,FALSE)</f>
        <v>0.6429231276806334</v>
      </c>
      <c r="O12" s="80">
        <f>VLOOKUP('Hide - Control'!C$3,'All practice data'!A:CA,A12+29,FALSE)</f>
        <v>0.7248631360507991</v>
      </c>
      <c r="P12" s="38">
        <f>VLOOKUP('Hide - Control'!$B$4,'All practice data'!B:BC,A12+2,FALSE)</f>
        <v>19487</v>
      </c>
      <c r="Q12" s="38">
        <f>VLOOKUP('Hide - Control'!$B$4,'All practice data'!B:BJ,57,FALSE)</f>
        <v>30310</v>
      </c>
      <c r="R12" s="38">
        <f t="shared" si="17"/>
        <v>0.6375111709408203</v>
      </c>
      <c r="S12" s="38">
        <f t="shared" si="18"/>
        <v>0.6482988598142392</v>
      </c>
      <c r="T12" s="53">
        <f t="shared" si="16"/>
        <v>0.7970589995384216</v>
      </c>
      <c r="U12" s="51">
        <f t="shared" si="1"/>
        <v>0.4693880081176758</v>
      </c>
      <c r="V12" s="7"/>
      <c r="W12" s="27">
        <f t="shared" si="2"/>
        <v>0.4430620074272156</v>
      </c>
      <c r="X12" s="27">
        <f t="shared" si="3"/>
        <v>0.7970589995384216</v>
      </c>
      <c r="Y12" s="27">
        <f t="shared" si="4"/>
        <v>0.4430620074272156</v>
      </c>
      <c r="Z12" s="27">
        <f t="shared" si="5"/>
        <v>0.7970589995384216</v>
      </c>
      <c r="AA12" s="32">
        <f t="shared" si="6"/>
        <v>0.0743678654822865</v>
      </c>
      <c r="AB12" s="33">
        <f t="shared" si="7"/>
        <v>0.3872681376454686</v>
      </c>
      <c r="AC12" s="33">
        <v>0.5</v>
      </c>
      <c r="AD12" s="33">
        <f t="shared" si="8"/>
        <v>0.673267628476041</v>
      </c>
      <c r="AE12" s="33">
        <f t="shared" si="9"/>
        <v>1</v>
      </c>
      <c r="AF12" s="33">
        <f t="shared" si="10"/>
        <v>-999</v>
      </c>
      <c r="AG12" s="33">
        <f t="shared" si="11"/>
        <v>-999</v>
      </c>
      <c r="AH12" s="33">
        <f t="shared" si="12"/>
        <v>0.8531428212754693</v>
      </c>
      <c r="AI12" s="34">
        <f t="shared" si="13"/>
        <v>0.7960551499122833</v>
      </c>
      <c r="AJ12" s="4">
        <v>8.082028419348523</v>
      </c>
      <c r="AK12" s="32">
        <f t="shared" si="14"/>
        <v>-999</v>
      </c>
      <c r="AL12" s="34">
        <f t="shared" si="15"/>
        <v>0.8531428212754693</v>
      </c>
      <c r="AY12" s="103" t="s">
        <v>261</v>
      </c>
      <c r="AZ12" s="103" t="s">
        <v>459</v>
      </c>
      <c r="BA12" s="103" t="s">
        <v>343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0.6</v>
      </c>
      <c r="F13" s="38">
        <f>IF(LEFT(VLOOKUP($B13,'Indicator chart'!$D$1:$J$36,6,FALSE),1)=" "," ",VLOOKUP($B13,'Indicator chart'!$D$1:$J$36,6,FALSE))</f>
        <v>0.386577942315206</v>
      </c>
      <c r="G13" s="38">
        <f>IF(LEFT(VLOOKUP($B13,'Indicator chart'!$D$1:$J$36,7,FALSE),1)=" "," ",VLOOKUP($B13,'Indicator chart'!$D$1:$J$36,7,FALSE))</f>
        <v>0.7811960325858074</v>
      </c>
      <c r="H13" s="50">
        <f t="shared" si="0"/>
        <v>2</v>
      </c>
      <c r="I13" s="38">
        <v>0.16666699945926666</v>
      </c>
      <c r="J13" s="38">
        <v>0.36363598704338074</v>
      </c>
      <c r="K13" s="38">
        <v>0.49626851081848145</v>
      </c>
      <c r="L13" s="38">
        <v>0.6410660147666931</v>
      </c>
      <c r="M13" s="38">
        <v>0.875</v>
      </c>
      <c r="N13" s="80">
        <f>VLOOKUP('Hide - Control'!B$3,'All practice data'!A:CA,A13+29,FALSE)</f>
        <v>0.671476819158735</v>
      </c>
      <c r="O13" s="80">
        <f>VLOOKUP('Hide - Control'!C$3,'All practice data'!A:CA,A13+29,FALSE)</f>
        <v>0.7467412166569077</v>
      </c>
      <c r="P13" s="38">
        <f>VLOOKUP('Hide - Control'!$B$4,'All practice data'!B:BC,A13+2,FALSE)</f>
        <v>4374</v>
      </c>
      <c r="Q13" s="38">
        <f>VLOOKUP('Hide - Control'!$B$4,'All practice data'!B:BJ,58,FALSE)</f>
        <v>6514</v>
      </c>
      <c r="R13" s="38">
        <f t="shared" si="17"/>
        <v>0.6599727346713665</v>
      </c>
      <c r="S13" s="38">
        <f t="shared" si="18"/>
        <v>0.6827787676050926</v>
      </c>
      <c r="T13" s="53">
        <f t="shared" si="16"/>
        <v>0.875</v>
      </c>
      <c r="U13" s="51">
        <f t="shared" si="1"/>
        <v>0.16666699945926666</v>
      </c>
      <c r="V13" s="7"/>
      <c r="W13" s="27">
        <f t="shared" si="2"/>
        <v>0.11753702163696289</v>
      </c>
      <c r="X13" s="27">
        <f t="shared" si="3"/>
        <v>0.875</v>
      </c>
      <c r="Y13" s="27">
        <f t="shared" si="4"/>
        <v>0.11753702163696289</v>
      </c>
      <c r="Z13" s="27">
        <f t="shared" si="5"/>
        <v>0.875</v>
      </c>
      <c r="AA13" s="32">
        <f t="shared" si="6"/>
        <v>0.06486122652288458</v>
      </c>
      <c r="AB13" s="33">
        <f t="shared" si="7"/>
        <v>0.3248990015832397</v>
      </c>
      <c r="AC13" s="33">
        <v>0.5</v>
      </c>
      <c r="AD13" s="33">
        <f t="shared" si="8"/>
        <v>0.6911611630988691</v>
      </c>
      <c r="AE13" s="33">
        <f t="shared" si="9"/>
        <v>1</v>
      </c>
      <c r="AF13" s="33">
        <f t="shared" si="10"/>
        <v>-999</v>
      </c>
      <c r="AG13" s="33">
        <f t="shared" si="11"/>
        <v>0.6369459526664841</v>
      </c>
      <c r="AH13" s="33">
        <f t="shared" si="12"/>
        <v>-999</v>
      </c>
      <c r="AI13" s="34">
        <f t="shared" si="13"/>
        <v>0.830673198549883</v>
      </c>
      <c r="AJ13" s="4">
        <v>9.158023844730446</v>
      </c>
      <c r="AK13" s="32">
        <f t="shared" si="14"/>
        <v>-999</v>
      </c>
      <c r="AL13" s="34">
        <f t="shared" si="15"/>
        <v>-999</v>
      </c>
      <c r="AY13" s="103" t="s">
        <v>260</v>
      </c>
      <c r="AZ13" s="103" t="s">
        <v>458</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2519</v>
      </c>
      <c r="E14" s="38">
        <f>IF(LEFT(VLOOKUP($B14,'Indicator chart'!$D$1:$J$36,5,FALSE),1)=" "," ",VLOOKUP($B14,'Indicator chart'!$D$1:$J$36,5,FALSE))</f>
        <v>0.791392</v>
      </c>
      <c r="F14" s="38">
        <f>IF(LEFT(VLOOKUP($B14,'Indicator chart'!$D$1:$J$36,6,FALSE),1)=" "," ",VLOOKUP($B14,'Indicator chart'!$D$1:$J$36,6,FALSE))</f>
        <v>0.776929050025861</v>
      </c>
      <c r="G14" s="38">
        <f>IF(LEFT(VLOOKUP($B14,'Indicator chart'!$D$1:$J$36,7,FALSE),1)=" "," ",VLOOKUP($B14,'Indicator chart'!$D$1:$J$36,7,FALSE))</f>
        <v>0.8051519671166287</v>
      </c>
      <c r="H14" s="50">
        <f t="shared" si="0"/>
        <v>3</v>
      </c>
      <c r="I14" s="38">
        <v>0.5777440071105957</v>
      </c>
      <c r="J14" s="38">
        <v>0.735450029373169</v>
      </c>
      <c r="K14" s="38">
        <v>0.7702479958534241</v>
      </c>
      <c r="L14" s="38">
        <v>0.7908980250358582</v>
      </c>
      <c r="M14" s="38">
        <v>0.8330169916152954</v>
      </c>
      <c r="N14" s="80">
        <f>VLOOKUP('Hide - Control'!B$3,'All practice data'!A:CA,A14+29,FALSE)</f>
        <v>0.7608352632784465</v>
      </c>
      <c r="O14" s="80">
        <f>VLOOKUP('Hide - Control'!C$3,'All practice data'!A:CA,A14+29,FALSE)</f>
        <v>0.7559681673907895</v>
      </c>
      <c r="P14" s="38">
        <f>VLOOKUP('Hide - Control'!$B$4,'All practice data'!B:BC,A14+2,FALSE)</f>
        <v>59791</v>
      </c>
      <c r="Q14" s="38">
        <f>VLOOKUP('Hide - Control'!$B$4,'All practice data'!B:BJ,59,FALSE)</f>
        <v>78586</v>
      </c>
      <c r="R14" s="38">
        <f t="shared" si="17"/>
        <v>0.7578400800399132</v>
      </c>
      <c r="S14" s="38">
        <f t="shared" si="18"/>
        <v>0.7638049464083905</v>
      </c>
      <c r="T14" s="53">
        <f t="shared" si="16"/>
        <v>0.8330169916152954</v>
      </c>
      <c r="U14" s="51">
        <f t="shared" si="1"/>
        <v>0.5777440071105957</v>
      </c>
      <c r="V14" s="7"/>
      <c r="W14" s="27">
        <f t="shared" si="2"/>
        <v>0.5777440071105957</v>
      </c>
      <c r="X14" s="27">
        <f t="shared" si="3"/>
        <v>0.9627519845962524</v>
      </c>
      <c r="Y14" s="27">
        <f t="shared" si="4"/>
        <v>0.5777440071105957</v>
      </c>
      <c r="Z14" s="27">
        <f t="shared" si="5"/>
        <v>0.9627519845962524</v>
      </c>
      <c r="AA14" s="32">
        <f t="shared" si="6"/>
        <v>0</v>
      </c>
      <c r="AB14" s="33">
        <f t="shared" si="7"/>
        <v>0.4096175442714002</v>
      </c>
      <c r="AC14" s="33">
        <v>0.5</v>
      </c>
      <c r="AD14" s="33">
        <f t="shared" si="8"/>
        <v>0.5536353280711005</v>
      </c>
      <c r="AE14" s="33">
        <f t="shared" si="9"/>
        <v>0.6630329744640415</v>
      </c>
      <c r="AF14" s="33">
        <f t="shared" si="10"/>
        <v>-999</v>
      </c>
      <c r="AG14" s="33">
        <f t="shared" si="11"/>
        <v>-999</v>
      </c>
      <c r="AH14" s="33">
        <f t="shared" si="12"/>
        <v>0.5549183533407788</v>
      </c>
      <c r="AI14" s="34">
        <f t="shared" si="13"/>
        <v>0.46291030498668945</v>
      </c>
      <c r="AJ14" s="4">
        <v>10.234019270112368</v>
      </c>
      <c r="AK14" s="32">
        <f t="shared" si="14"/>
        <v>-999</v>
      </c>
      <c r="AL14" s="34">
        <f t="shared" si="15"/>
        <v>0.5549183533407788</v>
      </c>
      <c r="AY14" s="103" t="s">
        <v>53</v>
      </c>
      <c r="AZ14" s="103" t="s">
        <v>466</v>
      </c>
      <c r="BA14" s="103" t="s">
        <v>523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797</v>
      </c>
      <c r="E15" s="38">
        <f>IF(LEFT(VLOOKUP($B15,'Indicator chart'!$D$1:$J$36,5,FALSE),1)=" "," ",VLOOKUP($B15,'Indicator chart'!$D$1:$J$36,5,FALSE))</f>
        <v>0.582177</v>
      </c>
      <c r="F15" s="38">
        <f>IF(LEFT(VLOOKUP($B15,'Indicator chart'!$D$1:$J$36,6,FALSE),1)=" "," ",VLOOKUP($B15,'Indicator chart'!$D$1:$J$36,6,FALSE))</f>
        <v>0.555856074182167</v>
      </c>
      <c r="G15" s="38">
        <f>IF(LEFT(VLOOKUP($B15,'Indicator chart'!$D$1:$J$36,7,FALSE),1)=" "," ",VLOOKUP($B15,'Indicator chart'!$D$1:$J$36,7,FALSE))</f>
        <v>0.6080375607426488</v>
      </c>
      <c r="H15" s="50">
        <f t="shared" si="0"/>
        <v>3</v>
      </c>
      <c r="I15" s="38">
        <v>0.25316500663757324</v>
      </c>
      <c r="J15" s="38">
        <v>0.4142319858074188</v>
      </c>
      <c r="K15" s="38">
        <v>0.46623799204826355</v>
      </c>
      <c r="L15" s="38">
        <v>0.5225449800491333</v>
      </c>
      <c r="M15" s="38">
        <v>0.598546028137207</v>
      </c>
      <c r="N15" s="80">
        <f>VLOOKUP('Hide - Control'!B$3,'All practice data'!A:CA,A15+29,FALSE)</f>
        <v>0.5004140786749482</v>
      </c>
      <c r="O15" s="80">
        <f>VLOOKUP('Hide - Control'!C$3,'All practice data'!A:CA,A15+29,FALSE)</f>
        <v>0.5147293797466616</v>
      </c>
      <c r="P15" s="38">
        <f>VLOOKUP('Hide - Control'!$B$4,'All practice data'!B:BC,A15+2,FALSE)</f>
        <v>12085</v>
      </c>
      <c r="Q15" s="38">
        <f>VLOOKUP('Hide - Control'!$B$4,'All practice data'!B:BJ,60,FALSE)</f>
        <v>24150</v>
      </c>
      <c r="R15" s="38">
        <f t="shared" si="17"/>
        <v>0.49410831985975484</v>
      </c>
      <c r="S15" s="38">
        <f t="shared" si="18"/>
        <v>0.506719705774064</v>
      </c>
      <c r="T15" s="53">
        <f t="shared" si="16"/>
        <v>0.598546028137207</v>
      </c>
      <c r="U15" s="51">
        <f t="shared" si="1"/>
        <v>0.25316500663757324</v>
      </c>
      <c r="V15" s="7"/>
      <c r="W15" s="27">
        <f t="shared" si="2"/>
        <v>0.25316500663757324</v>
      </c>
      <c r="X15" s="27">
        <f t="shared" si="3"/>
        <v>0.6793109774589539</v>
      </c>
      <c r="Y15" s="27">
        <f t="shared" si="4"/>
        <v>0.25316500663757324</v>
      </c>
      <c r="Z15" s="27">
        <f t="shared" si="5"/>
        <v>0.6793109774589539</v>
      </c>
      <c r="AA15" s="32">
        <f t="shared" si="6"/>
        <v>0</v>
      </c>
      <c r="AB15" s="33">
        <f t="shared" si="7"/>
        <v>0.37796199001810327</v>
      </c>
      <c r="AC15" s="33">
        <v>0.5</v>
      </c>
      <c r="AD15" s="33">
        <f t="shared" si="8"/>
        <v>0.6321307529726026</v>
      </c>
      <c r="AE15" s="33">
        <f t="shared" si="9"/>
        <v>0.8104758583870326</v>
      </c>
      <c r="AF15" s="33">
        <f t="shared" si="10"/>
        <v>-999</v>
      </c>
      <c r="AG15" s="33">
        <f t="shared" si="11"/>
        <v>-999</v>
      </c>
      <c r="AH15" s="33">
        <f t="shared" si="12"/>
        <v>0.7720640716801058</v>
      </c>
      <c r="AI15" s="34">
        <f t="shared" si="13"/>
        <v>0.6137905577399515</v>
      </c>
      <c r="AJ15" s="4">
        <v>11.310014695494289</v>
      </c>
      <c r="AK15" s="32">
        <f t="shared" si="14"/>
        <v>-999</v>
      </c>
      <c r="AL15" s="34">
        <f t="shared" si="15"/>
        <v>0.7720640716801058</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409</v>
      </c>
      <c r="E16" s="38">
        <f>IF(LEFT(VLOOKUP($B16,'Indicator chart'!$D$1:$J$36,5,FALSE),1)=" "," ",VLOOKUP($B16,'Indicator chart'!$D$1:$J$36,5,FALSE))</f>
        <v>0.59104</v>
      </c>
      <c r="F16" s="38">
        <f>IF(LEFT(VLOOKUP($B16,'Indicator chart'!$D$1:$J$36,6,FALSE),1)=" "," ",VLOOKUP($B16,'Indicator chart'!$D$1:$J$36,6,FALSE))</f>
        <v>0.55400439047947</v>
      </c>
      <c r="G16" s="38">
        <f>IF(LEFT(VLOOKUP($B16,'Indicator chart'!$D$1:$J$36,7,FALSE),1)=" "," ",VLOOKUP($B16,'Indicator chart'!$D$1:$J$36,7,FALSE))</f>
        <v>0.6270713026093019</v>
      </c>
      <c r="H16" s="50">
        <f t="shared" si="0"/>
        <v>3</v>
      </c>
      <c r="I16" s="38">
        <v>0.2325579971075058</v>
      </c>
      <c r="J16" s="38">
        <v>0.42062950134277344</v>
      </c>
      <c r="K16" s="38">
        <v>0.4829060137271881</v>
      </c>
      <c r="L16" s="38">
        <v>0.5330514907836914</v>
      </c>
      <c r="M16" s="38">
        <v>0.6130949854850769</v>
      </c>
      <c r="N16" s="80">
        <f>VLOOKUP('Hide - Control'!B$3,'All practice data'!A:CA,A16+29,FALSE)</f>
        <v>0.5148605016971604</v>
      </c>
      <c r="O16" s="80">
        <f>VLOOKUP('Hide - Control'!C$3,'All practice data'!A:CA,A16+29,FALSE)</f>
        <v>0.5752927626212945</v>
      </c>
      <c r="P16" s="38">
        <f>VLOOKUP('Hide - Control'!$B$4,'All practice data'!B:BC,A16+2,FALSE)</f>
        <v>6219</v>
      </c>
      <c r="Q16" s="38">
        <f>VLOOKUP('Hide - Control'!$B$4,'All practice data'!B:BJ,61,FALSE)</f>
        <v>12079</v>
      </c>
      <c r="R16" s="38">
        <f t="shared" si="17"/>
        <v>0.5059442998505241</v>
      </c>
      <c r="S16" s="38">
        <f t="shared" si="18"/>
        <v>0.5237672540938726</v>
      </c>
      <c r="T16" s="53">
        <f aca="true" t="shared" si="19" ref="T16:T31">IF($C16=1,M16,I16)</f>
        <v>0.6130949854850769</v>
      </c>
      <c r="U16" s="51">
        <f aca="true" t="shared" si="20" ref="U16:U31">IF($C16=1,I16,M16)</f>
        <v>0.2325579971075058</v>
      </c>
      <c r="V16" s="7"/>
      <c r="W16" s="27">
        <f t="shared" si="2"/>
        <v>0.2325579971075058</v>
      </c>
      <c r="X16" s="27">
        <f t="shared" si="3"/>
        <v>0.7332540303468704</v>
      </c>
      <c r="Y16" s="27">
        <f t="shared" si="4"/>
        <v>0.2325579971075058</v>
      </c>
      <c r="Z16" s="27">
        <f t="shared" si="5"/>
        <v>0.7332540303468704</v>
      </c>
      <c r="AA16" s="32">
        <f t="shared" si="6"/>
        <v>0</v>
      </c>
      <c r="AB16" s="33">
        <f t="shared" si="7"/>
        <v>0.37562012029234004</v>
      </c>
      <c r="AC16" s="33">
        <v>0.5</v>
      </c>
      <c r="AD16" s="33">
        <f t="shared" si="8"/>
        <v>0.6001515365162291</v>
      </c>
      <c r="AE16" s="33">
        <f t="shared" si="9"/>
        <v>0.7600159839805445</v>
      </c>
      <c r="AF16" s="33">
        <f t="shared" si="10"/>
        <v>-999</v>
      </c>
      <c r="AG16" s="33">
        <f t="shared" si="11"/>
        <v>-999</v>
      </c>
      <c r="AH16" s="33">
        <f t="shared" si="12"/>
        <v>0.7159673316627155</v>
      </c>
      <c r="AI16" s="34">
        <f t="shared" si="13"/>
        <v>0.6845166383611824</v>
      </c>
      <c r="AJ16" s="4">
        <v>12.386010120876215</v>
      </c>
      <c r="AK16" s="32">
        <f t="shared" si="14"/>
        <v>-999</v>
      </c>
      <c r="AL16" s="34">
        <f t="shared" si="15"/>
        <v>0.7159673316627155</v>
      </c>
      <c r="AY16" s="103" t="s">
        <v>338</v>
      </c>
      <c r="AZ16" s="103" t="s">
        <v>362</v>
      </c>
      <c r="BA16" s="103" t="s">
        <v>523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457</v>
      </c>
      <c r="E17" s="38">
        <f>IF(LEFT(VLOOKUP($B17,'Indicator chart'!$D$1:$J$36,5,FALSE),1)=" "," ",VLOOKUP($B17,'Indicator chart'!$D$1:$J$36,5,FALSE))</f>
        <v>3987.0877682777873</v>
      </c>
      <c r="F17" s="38">
        <f>IF(LEFT(VLOOKUP($B17,'Indicator chart'!$D$1:$J$36,6,FALSE),1)=" "," ",VLOOKUP($B17,'Indicator chart'!$D$1:$J$36,6,FALSE))</f>
        <v>3629.8576362244894</v>
      </c>
      <c r="G17" s="38">
        <f>IF(LEFT(VLOOKUP($B17,'Indicator chart'!$D$1:$J$36,7,FALSE),1)=" "," ",VLOOKUP($B17,'Indicator chart'!$D$1:$J$36,7,FALSE))</f>
        <v>4369.965826652743</v>
      </c>
      <c r="H17" s="50">
        <f t="shared" si="0"/>
        <v>3</v>
      </c>
      <c r="I17" s="38">
        <v>271.24774169921875</v>
      </c>
      <c r="J17" s="38">
        <v>836.7091064453125</v>
      </c>
      <c r="K17" s="38">
        <v>1236.884765625</v>
      </c>
      <c r="L17" s="38">
        <v>1660.9898681640625</v>
      </c>
      <c r="M17" s="38">
        <v>3987.087646484375</v>
      </c>
      <c r="N17" s="80">
        <f>VLOOKUP('Hide - Control'!B$3,'All practice data'!A:CA,A17+29,FALSE)</f>
        <v>1523.9395363354793</v>
      </c>
      <c r="O17" s="80">
        <f>VLOOKUP('Hide - Control'!C$3,'All practice data'!A:CA,A17+29,FALSE)</f>
        <v>1812.1669120472948</v>
      </c>
      <c r="P17" s="38">
        <f>VLOOKUP('Hide - Control'!$B$4,'All practice data'!B:BC,A17+2,FALSE)</f>
        <v>4443</v>
      </c>
      <c r="Q17" s="38">
        <f>VLOOKUP('Hide - Control'!$B$4,'All practice data'!B:BC,3,FALSE)</f>
        <v>291547</v>
      </c>
      <c r="R17" s="38">
        <f>100000*(P17*(1-1/(9*P17)-1.96/(3*SQRT(P17)))^3)/Q17</f>
        <v>1479.4541172649583</v>
      </c>
      <c r="S17" s="38">
        <f>100000*((P17+1)*(1-1/(9*(P17+1))+1.96/(3*SQRT(P17+1)))^3)/Q17</f>
        <v>1569.4227548882113</v>
      </c>
      <c r="T17" s="53">
        <f t="shared" si="19"/>
        <v>3987.087646484375</v>
      </c>
      <c r="U17" s="51">
        <f t="shared" si="20"/>
        <v>271.24774169921875</v>
      </c>
      <c r="V17" s="7"/>
      <c r="W17" s="27">
        <f t="shared" si="2"/>
        <v>-1513.318115234375</v>
      </c>
      <c r="X17" s="27">
        <f t="shared" si="3"/>
        <v>3987.087646484375</v>
      </c>
      <c r="Y17" s="27">
        <f t="shared" si="4"/>
        <v>-1513.318115234375</v>
      </c>
      <c r="Z17" s="27">
        <f t="shared" si="5"/>
        <v>3987.087646484375</v>
      </c>
      <c r="AA17" s="32">
        <f t="shared" si="6"/>
        <v>0.324442583736942</v>
      </c>
      <c r="AB17" s="33">
        <f t="shared" si="7"/>
        <v>0.42724615664451604</v>
      </c>
      <c r="AC17" s="33">
        <v>0.5</v>
      </c>
      <c r="AD17" s="33">
        <f t="shared" si="8"/>
        <v>0.5771043302824517</v>
      </c>
      <c r="AE17" s="33">
        <f t="shared" si="9"/>
        <v>1</v>
      </c>
      <c r="AF17" s="33">
        <f t="shared" si="10"/>
        <v>-999</v>
      </c>
      <c r="AG17" s="33">
        <f t="shared" si="11"/>
        <v>-999</v>
      </c>
      <c r="AH17" s="33">
        <f t="shared" si="12"/>
        <v>1.0000000221426233</v>
      </c>
      <c r="AI17" s="34">
        <f t="shared" si="13"/>
        <v>0.6045890378535514</v>
      </c>
      <c r="AJ17" s="4">
        <v>13.462005546258133</v>
      </c>
      <c r="AK17" s="32">
        <f t="shared" si="14"/>
        <v>-999</v>
      </c>
      <c r="AL17" s="34">
        <f t="shared" si="15"/>
        <v>1.0000000221426233</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457</v>
      </c>
      <c r="E18" s="80">
        <f>IF(LEFT(VLOOKUP($B18,'Indicator chart'!$D$1:$J$36,5,FALSE),1)=" "," ",VLOOKUP($B18,'Indicator chart'!$D$1:$J$36,5,FALSE))</f>
        <v>1.959971924</v>
      </c>
      <c r="F18" s="81">
        <f>IF(LEFT(VLOOKUP($B18,'Indicator chart'!$D$1:$J$36,6,FALSE),1)=" "," ",VLOOKUP($B18,'Indicator chart'!$D$1:$J$36,6,FALSE))</f>
        <v>1.784367828</v>
      </c>
      <c r="G18" s="38">
        <f>IF(LEFT(VLOOKUP($B18,'Indicator chart'!$D$1:$J$36,7,FALSE),1)=" "," ",VLOOKUP($B18,'Indicator chart'!$D$1:$J$36,7,FALSE))</f>
        <v>2.148183441</v>
      </c>
      <c r="H18" s="50">
        <f>IF(LEFT(F18,1)=" ",4,IF(AND(ABS(N18-E18)&gt;SQRT((E18-G18)^2+(N18-R18)^2),E18&lt;N18),1,IF(AND(ABS(N18-E18)&gt;SQRT((E18-F18)^2+(N18-S18)^2),E18&gt;N18),3,2)))</f>
        <v>3</v>
      </c>
      <c r="I18" s="38">
        <v>0.16257968544960022</v>
      </c>
      <c r="J18" s="38"/>
      <c r="K18" s="38">
        <v>1</v>
      </c>
      <c r="L18" s="38"/>
      <c r="M18" s="38">
        <v>1.9599719047546387</v>
      </c>
      <c r="N18" s="80">
        <v>1</v>
      </c>
      <c r="O18" s="80">
        <f>VLOOKUP('Hide - Control'!C$3,'All practice data'!A:CA,A18+29,FALSE)</f>
        <v>1</v>
      </c>
      <c r="P18" s="38">
        <f>VLOOKUP('Hide - Control'!$B$4,'All practice data'!B:BC,A18+2,FALSE)</f>
        <v>4443</v>
      </c>
      <c r="Q18" s="38">
        <f>VLOOKUP('Hide - Control'!$B$4,'All practice data'!B:BC,14,FALSE)</f>
        <v>4443</v>
      </c>
      <c r="R18" s="81">
        <v>1</v>
      </c>
      <c r="S18" s="38">
        <v>1</v>
      </c>
      <c r="T18" s="53">
        <f t="shared" si="19"/>
        <v>1.9599719047546387</v>
      </c>
      <c r="U18" s="51">
        <f t="shared" si="20"/>
        <v>0.16257968544960022</v>
      </c>
      <c r="V18" s="7"/>
      <c r="W18" s="27">
        <f>IF((K18-I18)&gt;(M18-K18),I18,(K18-(M18-K18)))</f>
        <v>0.04002809524536133</v>
      </c>
      <c r="X18" s="27">
        <f t="shared" si="3"/>
        <v>1.9599719047546387</v>
      </c>
      <c r="Y18" s="27">
        <f t="shared" si="4"/>
        <v>0.04002809524536133</v>
      </c>
      <c r="Z18" s="27">
        <f t="shared" si="5"/>
        <v>1.9599719047546387</v>
      </c>
      <c r="AA18" s="32" t="s">
        <v>343</v>
      </c>
      <c r="AB18" s="33" t="s">
        <v>343</v>
      </c>
      <c r="AC18" s="33">
        <v>0.5</v>
      </c>
      <c r="AD18" s="33" t="s">
        <v>343</v>
      </c>
      <c r="AE18" s="33" t="s">
        <v>343</v>
      </c>
      <c r="AF18" s="33">
        <f t="shared" si="10"/>
        <v>-999</v>
      </c>
      <c r="AG18" s="33">
        <f t="shared" si="11"/>
        <v>-999</v>
      </c>
      <c r="AH18" s="33">
        <f t="shared" si="12"/>
        <v>1.000000010023919</v>
      </c>
      <c r="AI18" s="34">
        <v>0.5</v>
      </c>
      <c r="AJ18" s="4">
        <v>14.538000971640056</v>
      </c>
      <c r="AK18" s="32">
        <f t="shared" si="14"/>
        <v>-999</v>
      </c>
      <c r="AL18" s="34">
        <f t="shared" si="15"/>
        <v>1.000000010023919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0.07221006564551423</v>
      </c>
      <c r="F19" s="38">
        <f>IF(LEFT(VLOOKUP($B19,'Indicator chart'!$D$1:$J$36,6,FALSE),1)=" "," ",VLOOKUP($B19,'Indicator chart'!$D$1:$J$36,6,FALSE))</f>
        <v>0.05187641236870202</v>
      </c>
      <c r="G19" s="38">
        <f>IF(LEFT(VLOOKUP($B19,'Indicator chart'!$D$1:$J$36,7,FALSE),1)=" "," ",VLOOKUP($B19,'Indicator chart'!$D$1:$J$36,7,FALSE))</f>
        <v>0.09967587804952412</v>
      </c>
      <c r="H19" s="50">
        <f t="shared" si="0"/>
        <v>1</v>
      </c>
      <c r="I19" s="38">
        <v>0.02070442959666252</v>
      </c>
      <c r="J19" s="38">
        <v>0.07265021651983261</v>
      </c>
      <c r="K19" s="38">
        <v>0.12712842226028442</v>
      </c>
      <c r="L19" s="38">
        <v>0.16242235898971558</v>
      </c>
      <c r="M19" s="38">
        <v>0.3888888955116272</v>
      </c>
      <c r="N19" s="80">
        <f>VLOOKUP('Hide - Control'!B$3,'All practice data'!A:CA,A19+29,FALSE)</f>
        <v>0.10893540400630204</v>
      </c>
      <c r="O19" s="80">
        <f>VLOOKUP('Hide - Control'!C$3,'All practice data'!A:CA,A19+29,FALSE)</f>
        <v>0.10919341638628717</v>
      </c>
      <c r="P19" s="38">
        <f>VLOOKUP('Hide - Control'!$B$4,'All practice data'!B:BC,A19+2,FALSE)</f>
        <v>484</v>
      </c>
      <c r="Q19" s="38">
        <f>VLOOKUP('Hide - Control'!$B$4,'All practice data'!B:BC,15,FALSE)</f>
        <v>4443</v>
      </c>
      <c r="R19" s="38">
        <f>+((2*P19+1.96^2-1.96*SQRT(1.96^2+4*P19*(1-P19/Q19)))/(2*(Q19+1.96^2)))</f>
        <v>0.10010967219465179</v>
      </c>
      <c r="S19" s="38">
        <f>+((2*P19+1.96^2+1.96*SQRT(1.96^2+4*P19*(1-P19/Q19)))/(2*(Q19+1.96^2)))</f>
        <v>0.11843681257332375</v>
      </c>
      <c r="T19" s="53">
        <f t="shared" si="19"/>
        <v>0.3888888955116272</v>
      </c>
      <c r="U19" s="51">
        <f t="shared" si="20"/>
        <v>0.02070442959666252</v>
      </c>
      <c r="V19" s="7"/>
      <c r="W19" s="27">
        <f t="shared" si="2"/>
        <v>-0.13463205099105835</v>
      </c>
      <c r="X19" s="27">
        <f t="shared" si="3"/>
        <v>0.3888888955116272</v>
      </c>
      <c r="Y19" s="27">
        <f t="shared" si="4"/>
        <v>-0.13463205099105835</v>
      </c>
      <c r="Z19" s="27">
        <f t="shared" si="5"/>
        <v>0.3888888955116272</v>
      </c>
      <c r="AA19" s="32">
        <f t="shared" si="6"/>
        <v>0.29671492922188936</v>
      </c>
      <c r="AB19" s="33">
        <f t="shared" si="7"/>
        <v>0.3959388232612535</v>
      </c>
      <c r="AC19" s="33">
        <v>0.5</v>
      </c>
      <c r="AD19" s="33">
        <f t="shared" si="8"/>
        <v>0.5674164748616226</v>
      </c>
      <c r="AE19" s="33">
        <f t="shared" si="9"/>
        <v>1</v>
      </c>
      <c r="AF19" s="33">
        <f t="shared" si="10"/>
        <v>-999</v>
      </c>
      <c r="AG19" s="33">
        <f t="shared" si="11"/>
        <v>-999</v>
      </c>
      <c r="AH19" s="33">
        <f t="shared" si="12"/>
        <v>0.39509807204153874</v>
      </c>
      <c r="AI19" s="34">
        <f t="shared" si="13"/>
        <v>0.46574156966629554</v>
      </c>
      <c r="AJ19" s="4">
        <v>15.61399639702198</v>
      </c>
      <c r="AK19" s="32">
        <f t="shared" si="14"/>
        <v>0.39509807204153874</v>
      </c>
      <c r="AL19" s="34">
        <f t="shared" si="15"/>
        <v>-999</v>
      </c>
      <c r="AY19" s="103" t="s">
        <v>270</v>
      </c>
      <c r="AZ19" s="103" t="s">
        <v>462</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0.5689655172413793</v>
      </c>
      <c r="F20" s="38">
        <f>IF(LEFT(VLOOKUP($B20,'Indicator chart'!$D$1:$J$36,6,FALSE),1)=" "," ",VLOOKUP($B20,'Indicator chart'!$D$1:$J$36,6,FALSE))</f>
        <v>0.4411787670572742</v>
      </c>
      <c r="G20" s="38">
        <f>IF(LEFT(VLOOKUP($B20,'Indicator chart'!$D$1:$J$36,7,FALSE),1)=" "," ",VLOOKUP($B20,'Indicator chart'!$D$1:$J$36,7,FALSE))</f>
        <v>0.6881839919916507</v>
      </c>
      <c r="H20" s="50">
        <f t="shared" si="0"/>
        <v>2</v>
      </c>
      <c r="I20" s="38">
        <v>0.09238772839307785</v>
      </c>
      <c r="J20" s="38">
        <v>0.33000001311302185</v>
      </c>
      <c r="K20" s="38">
        <v>0.45409756898880005</v>
      </c>
      <c r="L20" s="38">
        <v>0.5049999952316284</v>
      </c>
      <c r="M20" s="38">
        <v>0.699999988079071</v>
      </c>
      <c r="N20" s="80">
        <f>VLOOKUP('Hide - Control'!B$3,'All practice data'!A:CA,A20+29,FALSE)</f>
        <v>0.44</v>
      </c>
      <c r="O20" s="80">
        <f>VLOOKUP('Hide - Control'!C$3,'All practice data'!A:CA,A20+29,FALSE)</f>
        <v>0.4534552930810221</v>
      </c>
      <c r="P20" s="38">
        <f>VLOOKUP('Hide - Control'!$B$4,'All practice data'!B:BC,A20+1,FALSE)</f>
        <v>484</v>
      </c>
      <c r="Q20" s="38">
        <f>VLOOKUP('Hide - Control'!$B$4,'All practice data'!B:BC,A20+2,FALSE)</f>
        <v>1100</v>
      </c>
      <c r="R20" s="38">
        <f>+((2*P20+1.96^2-1.96*SQRT(1.96^2+4*P20*(1-P20/Q20)))/(2*(Q20+1.96^2)))</f>
        <v>0.41092456392898674</v>
      </c>
      <c r="S20" s="38">
        <f>+((2*P20+1.96^2+1.96*SQRT(1.96^2+4*P20*(1-P20/Q20)))/(2*(Q20+1.96^2)))</f>
        <v>0.46949306120853296</v>
      </c>
      <c r="T20" s="53">
        <f t="shared" si="19"/>
        <v>0.699999988079071</v>
      </c>
      <c r="U20" s="51">
        <f t="shared" si="20"/>
        <v>0.09238772839307785</v>
      </c>
      <c r="V20" s="7"/>
      <c r="W20" s="27">
        <f t="shared" si="2"/>
        <v>0.09238772839307785</v>
      </c>
      <c r="X20" s="27">
        <f t="shared" si="3"/>
        <v>0.8158074095845222</v>
      </c>
      <c r="Y20" s="27">
        <f t="shared" si="4"/>
        <v>0.09238772839307785</v>
      </c>
      <c r="Z20" s="27">
        <f t="shared" si="5"/>
        <v>0.8158074095845222</v>
      </c>
      <c r="AA20" s="32">
        <f t="shared" si="6"/>
        <v>0</v>
      </c>
      <c r="AB20" s="33">
        <f t="shared" si="7"/>
        <v>0.328457036624447</v>
      </c>
      <c r="AC20" s="33">
        <v>0.5</v>
      </c>
      <c r="AD20" s="33">
        <f t="shared" si="8"/>
        <v>0.5703636181960021</v>
      </c>
      <c r="AE20" s="33">
        <f t="shared" si="9"/>
        <v>0.839916683888499</v>
      </c>
      <c r="AF20" s="33">
        <f t="shared" si="10"/>
        <v>-999</v>
      </c>
      <c r="AG20" s="33">
        <f t="shared" si="11"/>
        <v>0.6587846601897756</v>
      </c>
      <c r="AH20" s="33">
        <f t="shared" si="12"/>
        <v>-999</v>
      </c>
      <c r="AI20" s="34">
        <f t="shared" si="13"/>
        <v>0.49911216694198846</v>
      </c>
      <c r="AJ20" s="4">
        <v>16.689991822403904</v>
      </c>
      <c r="AK20" s="32">
        <f t="shared" si="14"/>
        <v>-999</v>
      </c>
      <c r="AL20" s="34">
        <f t="shared" si="15"/>
        <v>-999</v>
      </c>
      <c r="AY20" s="103" t="s">
        <v>211</v>
      </c>
      <c r="AZ20" s="103" t="s">
        <v>443</v>
      </c>
      <c r="BA20" s="103" t="s">
        <v>343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270.45890769499215</v>
      </c>
      <c r="F21" s="38">
        <f>IF(LEFT(VLOOKUP($B21,'Indicator chart'!$D$1:$J$36,6,FALSE),1)=" "," ",VLOOKUP($B21,'Indicator chart'!$D$1:$J$36,6,FALSE))</f>
        <v>183.7287253201294</v>
      </c>
      <c r="G21" s="38">
        <f>IF(LEFT(VLOOKUP($B21,'Indicator chart'!$D$1:$J$36,7,FALSE),1)=" "," ",VLOOKUP($B21,'Indicator chart'!$D$1:$J$36,7,FALSE))</f>
        <v>383.9101354102528</v>
      </c>
      <c r="H21" s="50">
        <f t="shared" si="0"/>
        <v>2</v>
      </c>
      <c r="I21" s="38">
        <v>61.46357345581055</v>
      </c>
      <c r="J21" s="38">
        <v>154.59303283691406</v>
      </c>
      <c r="K21" s="38">
        <v>213.79148864746094</v>
      </c>
      <c r="L21" s="38">
        <v>282.0379638671875</v>
      </c>
      <c r="M21" s="38">
        <v>566.572265625</v>
      </c>
      <c r="N21" s="80">
        <f>VLOOKUP('Hide - Control'!B$3,'All practice data'!A:CA,A21+29,FALSE)</f>
        <v>241.81349833817532</v>
      </c>
      <c r="O21" s="80">
        <f>VLOOKUP('Hide - Control'!C$3,'All practice data'!A:CA,A21+29,FALSE)</f>
        <v>377.7293140102421</v>
      </c>
      <c r="P21" s="38">
        <f>VLOOKUP('Hide - Control'!$B$4,'All practice data'!B:BC,A21+2,FALSE)</f>
        <v>705</v>
      </c>
      <c r="Q21" s="38">
        <f>VLOOKUP('Hide - Control'!$B$4,'All practice data'!B:BC,3,FALSE)</f>
        <v>291547</v>
      </c>
      <c r="R21" s="38">
        <f aca="true" t="shared" si="21" ref="R21:R27">100000*(P21*(1-1/(9*P21)-1.96/(3*SQRT(P21)))^3)/Q21</f>
        <v>224.2902008016906</v>
      </c>
      <c r="S21" s="38">
        <f aca="true" t="shared" si="22" ref="S21:S27">100000*((P21+1)*(1-1/(9*(P21+1))+1.96/(3*SQRT(P21+1)))^3)/Q21</f>
        <v>260.3421232058863</v>
      </c>
      <c r="T21" s="53">
        <f t="shared" si="19"/>
        <v>566.572265625</v>
      </c>
      <c r="U21" s="51">
        <f t="shared" si="20"/>
        <v>61.46357345581055</v>
      </c>
      <c r="V21" s="7"/>
      <c r="W21" s="27">
        <f t="shared" si="2"/>
        <v>-138.98928833007812</v>
      </c>
      <c r="X21" s="27">
        <f t="shared" si="3"/>
        <v>566.572265625</v>
      </c>
      <c r="Y21" s="27">
        <f t="shared" si="4"/>
        <v>-138.98928833007812</v>
      </c>
      <c r="Z21" s="27">
        <f t="shared" si="5"/>
        <v>566.572265625</v>
      </c>
      <c r="AA21" s="32">
        <f t="shared" si="6"/>
        <v>0.28410400292112736</v>
      </c>
      <c r="AB21" s="33">
        <f t="shared" si="7"/>
        <v>0.41609739011613445</v>
      </c>
      <c r="AC21" s="33">
        <v>0.5</v>
      </c>
      <c r="AD21" s="33">
        <f t="shared" si="8"/>
        <v>0.5967264653766434</v>
      </c>
      <c r="AE21" s="33">
        <f t="shared" si="9"/>
        <v>1</v>
      </c>
      <c r="AF21" s="33">
        <f t="shared" si="10"/>
        <v>-999</v>
      </c>
      <c r="AG21" s="33">
        <f t="shared" si="11"/>
        <v>0.58031534418206</v>
      </c>
      <c r="AH21" s="33">
        <f t="shared" si="12"/>
        <v>-999</v>
      </c>
      <c r="AI21" s="34">
        <f t="shared" si="13"/>
        <v>0.7323508479789118</v>
      </c>
      <c r="AJ21" s="4">
        <v>17.765987247785823</v>
      </c>
      <c r="AK21" s="32">
        <f t="shared" si="14"/>
        <v>-999</v>
      </c>
      <c r="AL21" s="34">
        <f t="shared" si="15"/>
        <v>-999</v>
      </c>
      <c r="AY21" s="103" t="s">
        <v>123</v>
      </c>
      <c r="AZ21" s="103" t="s">
        <v>417</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575.8157389635317</v>
      </c>
      <c r="F22" s="38">
        <f>IF(LEFT(VLOOKUP($B22,'Indicator chart'!$D$1:$J$36,6,FALSE),1)=" "," ",VLOOKUP($B22,'Indicator chart'!$D$1:$J$36,6,FALSE))</f>
        <v>445.312607914896</v>
      </c>
      <c r="G22" s="38">
        <f>IF(LEFT(VLOOKUP($B22,'Indicator chart'!$D$1:$J$36,7,FALSE),1)=" "," ",VLOOKUP($B22,'Indicator chart'!$D$1:$J$36,7,FALSE))</f>
        <v>732.5931116553754</v>
      </c>
      <c r="H22" s="50">
        <f t="shared" si="0"/>
        <v>3</v>
      </c>
      <c r="I22" s="38">
        <v>18.07059669494629</v>
      </c>
      <c r="J22" s="38">
        <v>105.6312255859375</v>
      </c>
      <c r="K22" s="38">
        <v>175.241943359375</v>
      </c>
      <c r="L22" s="38">
        <v>289.74664306640625</v>
      </c>
      <c r="M22" s="38">
        <v>684.1046142578125</v>
      </c>
      <c r="N22" s="80">
        <f>VLOOKUP('Hide - Control'!B$3,'All practice data'!A:CA,A22+29,FALSE)</f>
        <v>250.0454472177728</v>
      </c>
      <c r="O22" s="80">
        <f>VLOOKUP('Hide - Control'!C$3,'All practice data'!A:CA,A22+29,FALSE)</f>
        <v>282.45290788403287</v>
      </c>
      <c r="P22" s="38">
        <f>VLOOKUP('Hide - Control'!$B$4,'All practice data'!B:BC,A22+2,FALSE)</f>
        <v>729</v>
      </c>
      <c r="Q22" s="38">
        <f>VLOOKUP('Hide - Control'!$B$4,'All practice data'!B:BC,3,FALSE)</f>
        <v>291547</v>
      </c>
      <c r="R22" s="38">
        <f t="shared" si="21"/>
        <v>232.22082803302536</v>
      </c>
      <c r="S22" s="38">
        <f t="shared" si="22"/>
        <v>268.8751871162437</v>
      </c>
      <c r="T22" s="53">
        <f t="shared" si="19"/>
        <v>684.1046142578125</v>
      </c>
      <c r="U22" s="51">
        <f t="shared" si="20"/>
        <v>18.07059669494629</v>
      </c>
      <c r="V22" s="7"/>
      <c r="W22" s="27">
        <f t="shared" si="2"/>
        <v>-333.6207275390625</v>
      </c>
      <c r="X22" s="27">
        <f t="shared" si="3"/>
        <v>684.1046142578125</v>
      </c>
      <c r="Y22" s="27">
        <f t="shared" si="4"/>
        <v>-333.6207275390625</v>
      </c>
      <c r="Z22" s="27">
        <f t="shared" si="5"/>
        <v>684.1046142578125</v>
      </c>
      <c r="AA22" s="32">
        <f t="shared" si="6"/>
        <v>0.34556604792121004</v>
      </c>
      <c r="AB22" s="33">
        <f t="shared" si="7"/>
        <v>0.43160166607374223</v>
      </c>
      <c r="AC22" s="33">
        <v>0.5</v>
      </c>
      <c r="AD22" s="33">
        <f t="shared" si="8"/>
        <v>0.6125104141603314</v>
      </c>
      <c r="AE22" s="33">
        <f t="shared" si="9"/>
        <v>1</v>
      </c>
      <c r="AF22" s="33">
        <f t="shared" si="10"/>
        <v>-999</v>
      </c>
      <c r="AG22" s="33">
        <f t="shared" si="11"/>
        <v>-999</v>
      </c>
      <c r="AH22" s="33">
        <f t="shared" si="12"/>
        <v>0.893597151562436</v>
      </c>
      <c r="AI22" s="34">
        <f t="shared" si="13"/>
        <v>0.6053437112368336</v>
      </c>
      <c r="AJ22" s="4">
        <v>18.841982673167745</v>
      </c>
      <c r="AK22" s="32">
        <f t="shared" si="14"/>
        <v>-999</v>
      </c>
      <c r="AL22" s="34">
        <f t="shared" si="15"/>
        <v>0.893597151562436</v>
      </c>
      <c r="AY22" s="103" t="s">
        <v>149</v>
      </c>
      <c r="AZ22" s="103" t="s">
        <v>427</v>
      </c>
      <c r="BA22" s="103" t="s">
        <v>343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113.41825161402896</v>
      </c>
      <c r="F23" s="38">
        <f>IF(LEFT(VLOOKUP($B23,'Indicator chart'!$D$1:$J$36,6,FALSE),1)=" "," ",VLOOKUP($B23,'Indicator chart'!$D$1:$J$36,6,FALSE))</f>
        <v>60.331143720681624</v>
      </c>
      <c r="G23" s="38">
        <f>IF(LEFT(VLOOKUP($B23,'Indicator chart'!$D$1:$J$36,7,FALSE),1)=" "," ",VLOOKUP($B23,'Indicator chart'!$D$1:$J$36,7,FALSE))</f>
        <v>193.96187778094904</v>
      </c>
      <c r="H23" s="50">
        <f t="shared" si="0"/>
        <v>3</v>
      </c>
      <c r="I23" s="38">
        <v>3.248678207397461</v>
      </c>
      <c r="J23" s="38">
        <v>20.195899963378906</v>
      </c>
      <c r="K23" s="38">
        <v>44.081214904785156</v>
      </c>
      <c r="L23" s="38">
        <v>69.48287963867188</v>
      </c>
      <c r="M23" s="38">
        <v>270.75811767578125</v>
      </c>
      <c r="N23" s="80">
        <f>VLOOKUP('Hide - Control'!B$3,'All practice data'!A:CA,A23+29,FALSE)</f>
        <v>51.10668262750088</v>
      </c>
      <c r="O23" s="80">
        <f>VLOOKUP('Hide - Control'!C$3,'All practice data'!A:CA,A23+29,FALSE)</f>
        <v>70.46674929228394</v>
      </c>
      <c r="P23" s="38">
        <f>VLOOKUP('Hide - Control'!$B$4,'All practice data'!B:BC,A23+2,FALSE)</f>
        <v>149</v>
      </c>
      <c r="Q23" s="38">
        <f>VLOOKUP('Hide - Control'!$B$4,'All practice data'!B:BC,3,FALSE)</f>
        <v>291547</v>
      </c>
      <c r="R23" s="38">
        <f t="shared" si="21"/>
        <v>43.229553838598754</v>
      </c>
      <c r="S23" s="38">
        <f t="shared" si="22"/>
        <v>60.00360757518147</v>
      </c>
      <c r="T23" s="53">
        <f t="shared" si="19"/>
        <v>270.75811767578125</v>
      </c>
      <c r="U23" s="51">
        <f t="shared" si="20"/>
        <v>3.248678207397461</v>
      </c>
      <c r="V23" s="7"/>
      <c r="W23" s="27">
        <f t="shared" si="2"/>
        <v>-182.59568786621094</v>
      </c>
      <c r="X23" s="27">
        <f t="shared" si="3"/>
        <v>270.75811767578125</v>
      </c>
      <c r="Y23" s="27">
        <f t="shared" si="4"/>
        <v>-182.59568786621094</v>
      </c>
      <c r="Z23" s="27">
        <f t="shared" si="5"/>
        <v>270.75811767578125</v>
      </c>
      <c r="AA23" s="32">
        <f t="shared" si="6"/>
        <v>0.40993229526644936</v>
      </c>
      <c r="AB23" s="33">
        <f t="shared" si="7"/>
        <v>0.4473141845300031</v>
      </c>
      <c r="AC23" s="33">
        <v>0.5</v>
      </c>
      <c r="AD23" s="33">
        <f t="shared" si="8"/>
        <v>0.5560305536721338</v>
      </c>
      <c r="AE23" s="33">
        <f t="shared" si="9"/>
        <v>1</v>
      </c>
      <c r="AF23" s="33">
        <f t="shared" si="10"/>
        <v>-999</v>
      </c>
      <c r="AG23" s="33">
        <f t="shared" si="11"/>
        <v>-999</v>
      </c>
      <c r="AH23" s="33">
        <f t="shared" si="12"/>
        <v>0.6529424389111507</v>
      </c>
      <c r="AI23" s="34">
        <f t="shared" si="13"/>
        <v>0.5582007563738313</v>
      </c>
      <c r="AJ23" s="4">
        <v>19.917978098549675</v>
      </c>
      <c r="AK23" s="32">
        <f t="shared" si="14"/>
        <v>-999</v>
      </c>
      <c r="AL23" s="34">
        <f t="shared" si="15"/>
        <v>0.6529424389111507</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136</v>
      </c>
      <c r="E24" s="38">
        <f>IF(LEFT(VLOOKUP($B24,'Indicator chart'!$D$1:$J$36,5,FALSE),1)=" "," ",VLOOKUP($B24,'Indicator chart'!$D$1:$J$36,5,FALSE))</f>
        <v>1186.5294015006107</v>
      </c>
      <c r="F24" s="38">
        <f>IF(LEFT(VLOOKUP($B24,'Indicator chart'!$D$1:$J$36,6,FALSE),1)=" "," ",VLOOKUP($B24,'Indicator chart'!$D$1:$J$36,6,FALSE))</f>
        <v>995.48521125906</v>
      </c>
      <c r="G24" s="38">
        <f>IF(LEFT(VLOOKUP($B24,'Indicator chart'!$D$1:$J$36,7,FALSE),1)=" "," ",VLOOKUP($B24,'Indicator chart'!$D$1:$J$36,7,FALSE))</f>
        <v>1403.544514303504</v>
      </c>
      <c r="H24" s="50">
        <f t="shared" si="0"/>
        <v>3</v>
      </c>
      <c r="I24" s="38">
        <v>27.3076171875</v>
      </c>
      <c r="J24" s="38">
        <v>86.34060668945312</v>
      </c>
      <c r="K24" s="38">
        <v>166.93673706054688</v>
      </c>
      <c r="L24" s="38">
        <v>321.30010986328125</v>
      </c>
      <c r="M24" s="38">
        <v>1186.5294189453125</v>
      </c>
      <c r="N24" s="80">
        <f>VLOOKUP('Hide - Control'!B$3,'All practice data'!A:CA,A24+29,FALSE)</f>
        <v>293.60617670564267</v>
      </c>
      <c r="O24" s="80">
        <f>VLOOKUP('Hide - Control'!C$3,'All practice data'!A:CA,A24+29,FALSE)</f>
        <v>323.23046266988894</v>
      </c>
      <c r="P24" s="38">
        <f>VLOOKUP('Hide - Control'!$B$4,'All practice data'!B:BC,A24+2,FALSE)</f>
        <v>856</v>
      </c>
      <c r="Q24" s="38">
        <f>VLOOKUP('Hide - Control'!$B$4,'All practice data'!B:BC,3,FALSE)</f>
        <v>291547</v>
      </c>
      <c r="R24" s="38">
        <f t="shared" si="21"/>
        <v>274.26376370889983</v>
      </c>
      <c r="S24" s="38">
        <f t="shared" si="22"/>
        <v>313.95276511790723</v>
      </c>
      <c r="T24" s="53">
        <f t="shared" si="19"/>
        <v>1186.5294189453125</v>
      </c>
      <c r="U24" s="51">
        <f t="shared" si="20"/>
        <v>27.3076171875</v>
      </c>
      <c r="V24" s="7"/>
      <c r="W24" s="27">
        <f t="shared" si="2"/>
        <v>-852.6559448242188</v>
      </c>
      <c r="X24" s="27">
        <f t="shared" si="3"/>
        <v>1186.5294189453125</v>
      </c>
      <c r="Y24" s="27">
        <f t="shared" si="4"/>
        <v>-852.6559448242188</v>
      </c>
      <c r="Z24" s="27">
        <f t="shared" si="5"/>
        <v>1186.5294189453125</v>
      </c>
      <c r="AA24" s="32">
        <f t="shared" si="6"/>
        <v>0.4315270095824267</v>
      </c>
      <c r="AB24" s="33">
        <f t="shared" si="7"/>
        <v>0.46047630990146576</v>
      </c>
      <c r="AC24" s="33">
        <v>0.5</v>
      </c>
      <c r="AD24" s="33">
        <f t="shared" si="8"/>
        <v>0.5756985488152908</v>
      </c>
      <c r="AE24" s="33">
        <f t="shared" si="9"/>
        <v>1</v>
      </c>
      <c r="AF24" s="33">
        <f t="shared" si="10"/>
        <v>-999</v>
      </c>
      <c r="AG24" s="33">
        <f t="shared" si="11"/>
        <v>-999</v>
      </c>
      <c r="AH24" s="33">
        <f t="shared" si="12"/>
        <v>0.9999999914452594</v>
      </c>
      <c r="AI24" s="34">
        <f t="shared" si="13"/>
        <v>0.5766451782100014</v>
      </c>
      <c r="AJ24" s="4">
        <v>20.99397352393159</v>
      </c>
      <c r="AK24" s="32">
        <f t="shared" si="14"/>
        <v>-999</v>
      </c>
      <c r="AL24" s="34">
        <f t="shared" si="15"/>
        <v>0.9999999914452594</v>
      </c>
      <c r="AY24" s="103" t="s">
        <v>65</v>
      </c>
      <c r="AZ24" s="103" t="s">
        <v>66</v>
      </c>
      <c r="BA24" s="103" t="s">
        <v>523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102</v>
      </c>
      <c r="E25" s="38">
        <f>IF(LEFT(VLOOKUP($B25,'Indicator chart'!$D$1:$J$36,5,FALSE),1)=" "," ",VLOOKUP($B25,'Indicator chart'!$D$1:$J$36,5,FALSE))</f>
        <v>889.897051125458</v>
      </c>
      <c r="F25" s="38">
        <f>IF(LEFT(VLOOKUP($B25,'Indicator chart'!$D$1:$J$36,6,FALSE),1)=" "," ",VLOOKUP($B25,'Indicator chart'!$D$1:$J$36,6,FALSE))</f>
        <v>725.5856648441676</v>
      </c>
      <c r="G25" s="38">
        <f>IF(LEFT(VLOOKUP($B25,'Indicator chart'!$D$1:$J$36,7,FALSE),1)=" "," ",VLOOKUP($B25,'Indicator chart'!$D$1:$J$36,7,FALSE))</f>
        <v>1080.2878221687874</v>
      </c>
      <c r="H25" s="50">
        <f t="shared" si="0"/>
        <v>3</v>
      </c>
      <c r="I25" s="38">
        <v>185.5142822265625</v>
      </c>
      <c r="J25" s="38">
        <v>457.1260070800781</v>
      </c>
      <c r="K25" s="38">
        <v>628.319580078125</v>
      </c>
      <c r="L25" s="38">
        <v>779.2779541015625</v>
      </c>
      <c r="M25" s="38">
        <v>1109.2149658203125</v>
      </c>
      <c r="N25" s="80">
        <f>VLOOKUP('Hide - Control'!B$3,'All practice data'!A:CA,A25+29,FALSE)</f>
        <v>653.4109423180482</v>
      </c>
      <c r="O25" s="80">
        <f>VLOOKUP('Hide - Control'!C$3,'All practice data'!A:CA,A25+29,FALSE)</f>
        <v>562.6134400960308</v>
      </c>
      <c r="P25" s="38">
        <f>VLOOKUP('Hide - Control'!$B$4,'All practice data'!B:BC,A25+2,FALSE)</f>
        <v>1905</v>
      </c>
      <c r="Q25" s="38">
        <f>VLOOKUP('Hide - Control'!$B$4,'All practice data'!B:BC,3,FALSE)</f>
        <v>291547</v>
      </c>
      <c r="R25" s="38">
        <f t="shared" si="21"/>
        <v>624.3946859930339</v>
      </c>
      <c r="S25" s="38">
        <f t="shared" si="22"/>
        <v>683.4276345071846</v>
      </c>
      <c r="T25" s="53">
        <f t="shared" si="19"/>
        <v>1109.2149658203125</v>
      </c>
      <c r="U25" s="51">
        <f t="shared" si="20"/>
        <v>185.5142822265625</v>
      </c>
      <c r="V25" s="7"/>
      <c r="W25" s="27">
        <f t="shared" si="2"/>
        <v>147.4241943359375</v>
      </c>
      <c r="X25" s="27">
        <f t="shared" si="3"/>
        <v>1109.2149658203125</v>
      </c>
      <c r="Y25" s="27">
        <f t="shared" si="4"/>
        <v>147.4241943359375</v>
      </c>
      <c r="Z25" s="27">
        <f t="shared" si="5"/>
        <v>1109.2149658203125</v>
      </c>
      <c r="AA25" s="32">
        <f t="shared" si="6"/>
        <v>0.039603299407665195</v>
      </c>
      <c r="AB25" s="33">
        <f t="shared" si="7"/>
        <v>0.3220053902847954</v>
      </c>
      <c r="AC25" s="33">
        <v>0.5</v>
      </c>
      <c r="AD25" s="33">
        <f t="shared" si="8"/>
        <v>0.6569555234871475</v>
      </c>
      <c r="AE25" s="33">
        <f t="shared" si="9"/>
        <v>1</v>
      </c>
      <c r="AF25" s="33">
        <f t="shared" si="10"/>
        <v>-999</v>
      </c>
      <c r="AG25" s="33">
        <f t="shared" si="11"/>
        <v>-999</v>
      </c>
      <c r="AH25" s="33">
        <f t="shared" si="12"/>
        <v>0.7719692045325292</v>
      </c>
      <c r="AI25" s="34">
        <f t="shared" si="13"/>
        <v>0.43168354081762816</v>
      </c>
      <c r="AJ25" s="4">
        <v>22.06996894931352</v>
      </c>
      <c r="AK25" s="32">
        <f t="shared" si="14"/>
        <v>-999</v>
      </c>
      <c r="AL25" s="34">
        <f t="shared" si="15"/>
        <v>0.7719692045325292</v>
      </c>
      <c r="AY25" s="103" t="s">
        <v>257</v>
      </c>
      <c r="AZ25" s="103" t="s">
        <v>258</v>
      </c>
      <c r="BA25" s="103" t="s">
        <v>523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497.2954109230501</v>
      </c>
      <c r="F26" s="38">
        <f>IF(LEFT(VLOOKUP($B26,'Indicator chart'!$D$1:$J$36,6,FALSE),1)=" "," ",VLOOKUP($B26,'Indicator chart'!$D$1:$J$36,6,FALSE))</f>
        <v>376.62166066366643</v>
      </c>
      <c r="G26" s="38">
        <f>IF(LEFT(VLOOKUP($B26,'Indicator chart'!$D$1:$J$36,7,FALSE),1)=" "," ",VLOOKUP($B26,'Indicator chart'!$D$1:$J$36,7,FALSE))</f>
        <v>644.3184566702936</v>
      </c>
      <c r="H26" s="50">
        <f t="shared" si="0"/>
        <v>3</v>
      </c>
      <c r="I26" s="38">
        <v>107.70059204101562</v>
      </c>
      <c r="J26" s="38">
        <v>197.2786865234375</v>
      </c>
      <c r="K26" s="38">
        <v>265.02655029296875</v>
      </c>
      <c r="L26" s="38">
        <v>363.1212463378906</v>
      </c>
      <c r="M26" s="38">
        <v>567.7039794921875</v>
      </c>
      <c r="N26" s="80">
        <f>VLOOKUP('Hide - Control'!B$3,'All practice data'!A:CA,A26+29,FALSE)</f>
        <v>302.5241213252066</v>
      </c>
      <c r="O26" s="80">
        <f>VLOOKUP('Hide - Control'!C$3,'All practice data'!A:CA,A26+29,FALSE)</f>
        <v>405.57105879375996</v>
      </c>
      <c r="P26" s="38">
        <f>VLOOKUP('Hide - Control'!$B$4,'All practice data'!B:BC,A26+2,FALSE)</f>
        <v>882</v>
      </c>
      <c r="Q26" s="38">
        <f>VLOOKUP('Hide - Control'!$B$4,'All practice data'!B:BC,3,FALSE)</f>
        <v>291547</v>
      </c>
      <c r="R26" s="38">
        <f t="shared" si="21"/>
        <v>282.88520387523636</v>
      </c>
      <c r="S26" s="38">
        <f t="shared" si="22"/>
        <v>323.16704616928024</v>
      </c>
      <c r="T26" s="53">
        <f t="shared" si="19"/>
        <v>567.7039794921875</v>
      </c>
      <c r="U26" s="51">
        <f t="shared" si="20"/>
        <v>107.70059204101562</v>
      </c>
      <c r="V26" s="7"/>
      <c r="W26" s="27">
        <f t="shared" si="2"/>
        <v>-37.65087890625</v>
      </c>
      <c r="X26" s="27">
        <f t="shared" si="3"/>
        <v>567.7039794921875</v>
      </c>
      <c r="Y26" s="27">
        <f t="shared" si="4"/>
        <v>-37.65087890625</v>
      </c>
      <c r="Z26" s="27">
        <f t="shared" si="5"/>
        <v>567.7039794921875</v>
      </c>
      <c r="AA26" s="32">
        <f t="shared" si="6"/>
        <v>0.2401095306838968</v>
      </c>
      <c r="AB26" s="33">
        <f t="shared" si="7"/>
        <v>0.38808570241136087</v>
      </c>
      <c r="AC26" s="33">
        <v>0.5</v>
      </c>
      <c r="AD26" s="33">
        <f t="shared" si="8"/>
        <v>0.6620449471644565</v>
      </c>
      <c r="AE26" s="33">
        <f t="shared" si="9"/>
        <v>1</v>
      </c>
      <c r="AF26" s="33">
        <f t="shared" si="10"/>
        <v>-999</v>
      </c>
      <c r="AG26" s="33">
        <f t="shared" si="11"/>
        <v>-999</v>
      </c>
      <c r="AH26" s="33">
        <f t="shared" si="12"/>
        <v>0.8836904212590042</v>
      </c>
      <c r="AI26" s="34">
        <f t="shared" si="13"/>
        <v>0.7321687957913215</v>
      </c>
      <c r="AJ26" s="4">
        <v>23.145964374695435</v>
      </c>
      <c r="AK26" s="32">
        <f t="shared" si="14"/>
        <v>-999</v>
      </c>
      <c r="AL26" s="34">
        <f t="shared" si="15"/>
        <v>0.8836904212590042</v>
      </c>
      <c r="AY26" s="103" t="s">
        <v>120</v>
      </c>
      <c r="AZ26" s="103" t="s">
        <v>416</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148</v>
      </c>
      <c r="E27" s="38">
        <f>IF(LEFT(VLOOKUP($B27,'Indicator chart'!$D$1:$J$36,5,FALSE),1)=" "," ",VLOOKUP($B27,'Indicator chart'!$D$1:$J$36,5,FALSE))</f>
        <v>1291.2231722212528</v>
      </c>
      <c r="F27" s="38">
        <f>IF(LEFT(VLOOKUP($B27,'Indicator chart'!$D$1:$J$36,6,FALSE),1)=" "," ",VLOOKUP($B27,'Indicator chart'!$D$1:$J$36,6,FALSE))</f>
        <v>1091.5627778871387</v>
      </c>
      <c r="G27" s="38">
        <f>IF(LEFT(VLOOKUP($B27,'Indicator chart'!$D$1:$J$36,7,FALSE),1)=" "," ",VLOOKUP($B27,'Indicator chart'!$D$1:$J$36,7,FALSE))</f>
        <v>1516.8253347539614</v>
      </c>
      <c r="H27" s="50">
        <f t="shared" si="0"/>
        <v>3</v>
      </c>
      <c r="I27" s="38">
        <v>356.1643981933594</v>
      </c>
      <c r="J27" s="38">
        <v>706.6746215820312</v>
      </c>
      <c r="K27" s="38">
        <v>853.9501953125</v>
      </c>
      <c r="L27" s="38">
        <v>1053.42431640625</v>
      </c>
      <c r="M27" s="38">
        <v>1758.1246337890625</v>
      </c>
      <c r="N27" s="80">
        <f>VLOOKUP('Hide - Control'!B$3,'All practice data'!A:CA,A27+29,FALSE)</f>
        <v>949.7611019835567</v>
      </c>
      <c r="O27" s="80">
        <f>VLOOKUP('Hide - Control'!C$3,'All practice data'!A:CA,A27+29,FALSE)</f>
        <v>1059.3522061277838</v>
      </c>
      <c r="P27" s="38">
        <f>VLOOKUP('Hide - Control'!$B$4,'All practice data'!B:BC,A27+2,FALSE)</f>
        <v>2769</v>
      </c>
      <c r="Q27" s="38">
        <f>VLOOKUP('Hide - Control'!$B$4,'All practice data'!B:BC,3,FALSE)</f>
        <v>291547</v>
      </c>
      <c r="R27" s="38">
        <f t="shared" si="21"/>
        <v>914.710977648314</v>
      </c>
      <c r="S27" s="38">
        <f t="shared" si="22"/>
        <v>985.810360761863</v>
      </c>
      <c r="T27" s="53">
        <f t="shared" si="19"/>
        <v>1758.1246337890625</v>
      </c>
      <c r="U27" s="51">
        <f t="shared" si="20"/>
        <v>356.1643981933594</v>
      </c>
      <c r="V27" s="7"/>
      <c r="W27" s="27">
        <f t="shared" si="2"/>
        <v>-50.2242431640625</v>
      </c>
      <c r="X27" s="27">
        <f t="shared" si="3"/>
        <v>1758.1246337890625</v>
      </c>
      <c r="Y27" s="27">
        <f t="shared" si="4"/>
        <v>-50.2242431640625</v>
      </c>
      <c r="Z27" s="27">
        <f t="shared" si="5"/>
        <v>1758.1246337890625</v>
      </c>
      <c r="AA27" s="32">
        <f t="shared" si="6"/>
        <v>0.22472911424157455</v>
      </c>
      <c r="AB27" s="33">
        <f t="shared" si="7"/>
        <v>0.41855798645523956</v>
      </c>
      <c r="AC27" s="33">
        <v>0.5</v>
      </c>
      <c r="AD27" s="33">
        <f t="shared" si="8"/>
        <v>0.610307321577152</v>
      </c>
      <c r="AE27" s="33">
        <f t="shared" si="9"/>
        <v>1</v>
      </c>
      <c r="AF27" s="33">
        <f t="shared" si="10"/>
        <v>-999</v>
      </c>
      <c r="AG27" s="33">
        <f t="shared" si="11"/>
        <v>-999</v>
      </c>
      <c r="AH27" s="33">
        <f t="shared" si="12"/>
        <v>0.7418078626760954</v>
      </c>
      <c r="AI27" s="34">
        <f t="shared" si="13"/>
        <v>0.6135853890989024</v>
      </c>
      <c r="AJ27" s="4">
        <v>24.221959800077364</v>
      </c>
      <c r="AK27" s="32">
        <f t="shared" si="14"/>
        <v>-999</v>
      </c>
      <c r="AL27" s="34">
        <f t="shared" si="15"/>
        <v>0.7418078626760954</v>
      </c>
      <c r="AY27" s="103" t="s">
        <v>115</v>
      </c>
      <c r="AZ27" s="103" t="s">
        <v>415</v>
      </c>
      <c r="BA27" s="103" t="s">
        <v>523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61</v>
      </c>
      <c r="E28" s="38">
        <f>IF(LEFT(VLOOKUP($B28,'Indicator chart'!$D$1:$J$36,5,FALSE),1)=" "," ",VLOOKUP($B28,'Indicator chart'!$D$1:$J$36,5,FALSE))</f>
        <v>532.1933344965975</v>
      </c>
      <c r="F28" s="38">
        <f>IF(LEFT(VLOOKUP($B28,'Indicator chart'!$D$1:$J$36,6,FALSE),1)=" "," ",VLOOKUP($B28,'Indicator chart'!$D$1:$J$36,6,FALSE))</f>
        <v>407.0615553094003</v>
      </c>
      <c r="G28" s="38">
        <f>IF(LEFT(VLOOKUP($B28,'Indicator chart'!$D$1:$J$36,7,FALSE),1)=" "," ",VLOOKUP($B28,'Indicator chart'!$D$1:$J$36,7,FALSE))</f>
        <v>683.6390532371877</v>
      </c>
      <c r="H28" s="50">
        <f t="shared" si="0"/>
        <v>2</v>
      </c>
      <c r="I28" s="38">
        <v>155.9251708984375</v>
      </c>
      <c r="J28" s="38">
        <v>341.4609680175781</v>
      </c>
      <c r="K28" s="38">
        <v>446.0358581542969</v>
      </c>
      <c r="L28" s="38">
        <v>643.3909301757812</v>
      </c>
      <c r="M28" s="38">
        <v>1324.5032958984375</v>
      </c>
      <c r="N28" s="80">
        <f>VLOOKUP('Hide - Control'!B$3,'All practice data'!A:CA,A28+29,FALSE)</f>
        <v>506.60785396522687</v>
      </c>
      <c r="O28" s="80">
        <f>VLOOKUP('Hide - Control'!C$3,'All practice data'!A:CA,A28+29,FALSE)</f>
        <v>582.9390489900089</v>
      </c>
      <c r="P28" s="38">
        <f>VLOOKUP('Hide - Control'!$B$4,'All practice data'!B:BC,A28+2,FALSE)</f>
        <v>1477</v>
      </c>
      <c r="Q28" s="38">
        <f>VLOOKUP('Hide - Control'!$B$4,'All practice data'!B:BC,3,FALSE)</f>
        <v>291547</v>
      </c>
      <c r="R28" s="38">
        <f>100000*(P28*(1-1/(9*P28)-1.96/(3*SQRT(P28)))^3)/Q28</f>
        <v>481.0973737202581</v>
      </c>
      <c r="S28" s="38">
        <f>100000*((P28+1)*(1-1/(9*(P28+1))+1.96/(3*SQRT(P28+1)))^3)/Q28</f>
        <v>533.1198037312798</v>
      </c>
      <c r="T28" s="53">
        <f t="shared" si="19"/>
        <v>1324.5032958984375</v>
      </c>
      <c r="U28" s="51">
        <f t="shared" si="20"/>
        <v>155.9251708984375</v>
      </c>
      <c r="V28" s="7"/>
      <c r="W28" s="27">
        <f t="shared" si="2"/>
        <v>-432.43157958984375</v>
      </c>
      <c r="X28" s="27">
        <f t="shared" si="3"/>
        <v>1324.5032958984375</v>
      </c>
      <c r="Y28" s="27">
        <f t="shared" si="4"/>
        <v>-432.43157958984375</v>
      </c>
      <c r="Z28" s="27">
        <f t="shared" si="5"/>
        <v>1324.5032958984375</v>
      </c>
      <c r="AA28" s="32">
        <f t="shared" si="6"/>
        <v>0.33487681228068694</v>
      </c>
      <c r="AB28" s="33">
        <f t="shared" si="7"/>
        <v>0.440478789740197</v>
      </c>
      <c r="AC28" s="33">
        <v>0.5</v>
      </c>
      <c r="AD28" s="33">
        <f t="shared" si="8"/>
        <v>0.6123291903273513</v>
      </c>
      <c r="AE28" s="33">
        <f t="shared" si="9"/>
        <v>1</v>
      </c>
      <c r="AF28" s="33">
        <f t="shared" si="10"/>
        <v>-999</v>
      </c>
      <c r="AG28" s="33">
        <f t="shared" si="11"/>
        <v>0.5490385144858348</v>
      </c>
      <c r="AH28" s="33">
        <f t="shared" si="12"/>
        <v>-999</v>
      </c>
      <c r="AI28" s="34">
        <f t="shared" si="13"/>
        <v>0.5779216081060855</v>
      </c>
      <c r="AJ28" s="4">
        <v>25.297955225459287</v>
      </c>
      <c r="AK28" s="32">
        <f t="shared" si="14"/>
        <v>-999</v>
      </c>
      <c r="AL28" s="34">
        <f t="shared" si="15"/>
        <v>-999</v>
      </c>
      <c r="AY28" s="103" t="s">
        <v>241</v>
      </c>
      <c r="AZ28" s="103" t="s">
        <v>242</v>
      </c>
      <c r="BA28" s="103" t="s">
        <v>523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418</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439</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398</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463</v>
      </c>
      <c r="BA33" s="103" t="s">
        <v>523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594</v>
      </c>
      <c r="I35" s="291"/>
      <c r="Y35" s="43"/>
      <c r="Z35" s="44"/>
      <c r="AA35" s="44"/>
      <c r="AB35" s="43"/>
      <c r="AC35" s="43"/>
      <c r="AY35" s="103" t="s">
        <v>159</v>
      </c>
      <c r="AZ35" s="103" t="s">
        <v>431</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420</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437</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464</v>
      </c>
      <c r="BA41" s="103" t="s">
        <v>523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461</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449</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440</v>
      </c>
      <c r="BA46" s="103" t="s">
        <v>523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444</v>
      </c>
      <c r="BA48" s="103" t="s">
        <v>523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455</v>
      </c>
      <c r="BA49" s="103" t="s">
        <v>523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421</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454</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395</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441</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411</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456</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401</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445</v>
      </c>
      <c r="BA61" s="103" t="s">
        <v>523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434</v>
      </c>
      <c r="BA63" s="103" t="s">
        <v>343</v>
      </c>
      <c r="BB63" s="10">
        <v>318405</v>
      </c>
      <c r="BE63" s="70"/>
      <c r="BF63" s="239"/>
    </row>
    <row r="64" spans="1:58" ht="12.75">
      <c r="A64" s="3"/>
      <c r="B64" s="12"/>
      <c r="C64" s="3"/>
      <c r="I64" s="11"/>
      <c r="V64" s="3"/>
      <c r="AY64" s="103" t="s">
        <v>78</v>
      </c>
      <c r="AZ64" s="103" t="s">
        <v>402</v>
      </c>
      <c r="BA64" s="103" t="s">
        <v>523</v>
      </c>
      <c r="BB64" s="10">
        <v>181285</v>
      </c>
      <c r="BE64" s="70"/>
      <c r="BF64" s="241"/>
    </row>
    <row r="65" spans="1:58" ht="12.75">
      <c r="A65" s="3"/>
      <c r="B65" s="12"/>
      <c r="C65" s="3"/>
      <c r="AY65" s="103" t="s">
        <v>512</v>
      </c>
      <c r="AZ65" s="103" t="s">
        <v>513</v>
      </c>
      <c r="BA65" s="103" t="s">
        <v>343</v>
      </c>
      <c r="BB65" s="10">
        <v>1169302</v>
      </c>
      <c r="BE65" s="70"/>
      <c r="BF65" s="241"/>
    </row>
    <row r="66" spans="1:58" ht="12.75">
      <c r="A66" s="3"/>
      <c r="B66" s="12"/>
      <c r="C66" s="3"/>
      <c r="E66" s="2"/>
      <c r="F66" s="2"/>
      <c r="G66" s="2"/>
      <c r="V66" s="2"/>
      <c r="AY66" s="103" t="s">
        <v>200</v>
      </c>
      <c r="AZ66" s="103" t="s">
        <v>442</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465</v>
      </c>
      <c r="BA70" s="103" t="s">
        <v>522</v>
      </c>
      <c r="BB70" s="10">
        <v>141474</v>
      </c>
      <c r="BE70" s="70"/>
      <c r="BF70" s="239"/>
    </row>
    <row r="71" spans="1:58" ht="12.75">
      <c r="A71" s="3"/>
      <c r="B71" s="12"/>
      <c r="C71" s="3"/>
      <c r="AY71" s="103" t="s">
        <v>127</v>
      </c>
      <c r="AZ71" s="103" t="s">
        <v>419</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394</v>
      </c>
      <c r="BA73" s="103" t="s">
        <v>343</v>
      </c>
      <c r="BB73" s="10">
        <v>190143</v>
      </c>
      <c r="BE73" s="70"/>
      <c r="BF73" s="239"/>
    </row>
    <row r="74" spans="1:58" ht="12.75">
      <c r="A74" s="3"/>
      <c r="B74" s="12"/>
      <c r="C74" s="3"/>
      <c r="AY74" s="103" t="s">
        <v>165</v>
      </c>
      <c r="AZ74" s="103" t="s">
        <v>166</v>
      </c>
      <c r="BA74" s="103" t="s">
        <v>523</v>
      </c>
      <c r="BB74" s="10">
        <v>419928</v>
      </c>
      <c r="BE74" s="70"/>
      <c r="BF74" s="241"/>
    </row>
    <row r="75" spans="1:58" ht="12.75">
      <c r="A75" s="3"/>
      <c r="B75" s="12"/>
      <c r="C75" s="3"/>
      <c r="AY75" s="103" t="s">
        <v>113</v>
      </c>
      <c r="AZ75" s="103" t="s">
        <v>413</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523</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447</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436</v>
      </c>
      <c r="BA81" s="103" t="s">
        <v>523</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410</v>
      </c>
      <c r="BA83" s="103" t="s">
        <v>523</v>
      </c>
      <c r="BB83" s="10">
        <v>208442</v>
      </c>
      <c r="BE83" s="70"/>
      <c r="BF83" s="241"/>
    </row>
    <row r="84" spans="1:58" ht="12.75">
      <c r="A84" s="3"/>
      <c r="B84" s="12"/>
      <c r="C84" s="3"/>
      <c r="AY84" s="103" t="s">
        <v>203</v>
      </c>
      <c r="AZ84" s="103" t="s">
        <v>204</v>
      </c>
      <c r="BA84" s="103" t="s">
        <v>523</v>
      </c>
      <c r="BB84" s="10">
        <v>545543</v>
      </c>
      <c r="BE84" s="70"/>
      <c r="BF84" s="241"/>
    </row>
    <row r="85" spans="1:58" ht="12.75">
      <c r="A85" s="3"/>
      <c r="B85" s="12"/>
      <c r="C85" s="3"/>
      <c r="AY85" s="103" t="s">
        <v>135</v>
      </c>
      <c r="AZ85" s="103" t="s">
        <v>425</v>
      </c>
      <c r="BA85" s="103" t="s">
        <v>523</v>
      </c>
      <c r="BB85" s="10">
        <v>274067</v>
      </c>
      <c r="BE85" s="70"/>
      <c r="BF85" s="241"/>
    </row>
    <row r="86" spans="1:58" ht="12.75">
      <c r="A86" s="3"/>
      <c r="B86" s="12"/>
      <c r="C86" s="3"/>
      <c r="AY86" s="103" t="s">
        <v>251</v>
      </c>
      <c r="AZ86" s="103" t="s">
        <v>252</v>
      </c>
      <c r="BA86" s="103" t="s">
        <v>523</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523</v>
      </c>
      <c r="BB88" s="10">
        <v>258492</v>
      </c>
      <c r="BE88" s="70"/>
      <c r="BF88" s="241"/>
    </row>
    <row r="89" spans="1:58" ht="12.75">
      <c r="A89" s="3"/>
      <c r="B89" s="12"/>
      <c r="C89" s="3"/>
      <c r="AY89" s="103" t="s">
        <v>81</v>
      </c>
      <c r="AZ89" s="103" t="s">
        <v>403</v>
      </c>
      <c r="BA89" s="103" t="s">
        <v>343</v>
      </c>
      <c r="BB89" s="10">
        <v>283085</v>
      </c>
      <c r="BE89" s="70"/>
      <c r="BF89" s="241"/>
    </row>
    <row r="90" spans="1:58" ht="12.75">
      <c r="A90" s="3"/>
      <c r="B90" s="12"/>
      <c r="C90" s="3"/>
      <c r="AY90" s="103" t="s">
        <v>76</v>
      </c>
      <c r="AZ90" s="103" t="s">
        <v>400</v>
      </c>
      <c r="BA90" s="103" t="s">
        <v>343</v>
      </c>
      <c r="BB90" s="10">
        <v>357346</v>
      </c>
      <c r="BE90" s="70"/>
      <c r="BF90" s="241"/>
    </row>
    <row r="91" spans="1:58" ht="12.75">
      <c r="A91" s="3"/>
      <c r="B91" s="12"/>
      <c r="C91" s="3"/>
      <c r="AY91" s="103" t="s">
        <v>243</v>
      </c>
      <c r="AZ91" s="103" t="s">
        <v>453</v>
      </c>
      <c r="BA91" s="103" t="s">
        <v>523</v>
      </c>
      <c r="BB91" s="10">
        <v>748575</v>
      </c>
      <c r="BE91" s="247"/>
      <c r="BF91" s="249"/>
    </row>
    <row r="92" spans="1:58" ht="12.75">
      <c r="A92" s="3"/>
      <c r="B92" s="12"/>
      <c r="C92" s="3"/>
      <c r="AY92" s="103" t="s">
        <v>249</v>
      </c>
      <c r="AZ92" s="103" t="s">
        <v>250</v>
      </c>
      <c r="BA92" s="103" t="s">
        <v>523</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438</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404</v>
      </c>
      <c r="BA98" s="103" t="s">
        <v>343</v>
      </c>
      <c r="BB98" s="10">
        <v>214052</v>
      </c>
      <c r="BE98" s="248"/>
      <c r="BF98" s="241"/>
    </row>
    <row r="99" spans="1:58" ht="12.75">
      <c r="A99" s="3"/>
      <c r="B99" s="12"/>
      <c r="C99" s="3"/>
      <c r="AY99" s="103" t="s">
        <v>205</v>
      </c>
      <c r="AZ99" s="103" t="s">
        <v>206</v>
      </c>
      <c r="BA99" s="103" t="s">
        <v>523</v>
      </c>
      <c r="BB99" s="10">
        <v>795503</v>
      </c>
      <c r="BE99" s="70"/>
      <c r="BF99" s="249"/>
    </row>
    <row r="100" spans="1:58" ht="12.75">
      <c r="A100" s="3"/>
      <c r="B100" s="12"/>
      <c r="C100" s="3"/>
      <c r="AY100" s="103" t="s">
        <v>226</v>
      </c>
      <c r="AZ100" s="103" t="s">
        <v>448</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435</v>
      </c>
      <c r="BA103" s="103" t="s">
        <v>343</v>
      </c>
      <c r="BB103" s="10">
        <v>656875</v>
      </c>
      <c r="BE103" s="70"/>
      <c r="BF103" s="239"/>
    </row>
    <row r="104" spans="51:58" ht="12.75">
      <c r="AY104" s="103" t="s">
        <v>114</v>
      </c>
      <c r="AZ104" s="103" t="s">
        <v>414</v>
      </c>
      <c r="BA104" s="103" t="s">
        <v>343</v>
      </c>
      <c r="BB104" s="10">
        <v>236592</v>
      </c>
      <c r="BF104" s="252"/>
    </row>
    <row r="105" spans="51:58" ht="12.75">
      <c r="AY105" s="103" t="s">
        <v>259</v>
      </c>
      <c r="AZ105" s="103" t="s">
        <v>457</v>
      </c>
      <c r="BA105" s="103" t="s">
        <v>523</v>
      </c>
      <c r="BB105" s="10">
        <v>671572</v>
      </c>
      <c r="BE105" s="237"/>
      <c r="BF105" s="238"/>
    </row>
    <row r="106" spans="51:58" ht="12.75">
      <c r="AY106" s="103" t="s">
        <v>239</v>
      </c>
      <c r="AZ106" s="103" t="s">
        <v>240</v>
      </c>
      <c r="BA106" s="103" t="s">
        <v>523</v>
      </c>
      <c r="BB106" s="10">
        <v>177882</v>
      </c>
      <c r="BF106" s="252"/>
    </row>
    <row r="107" spans="51:58" ht="12.75">
      <c r="AY107" s="103" t="s">
        <v>91</v>
      </c>
      <c r="AZ107" s="103" t="s">
        <v>407</v>
      </c>
      <c r="BA107" s="103" t="s">
        <v>343</v>
      </c>
      <c r="BB107" s="10">
        <v>274443</v>
      </c>
      <c r="BF107" s="252"/>
    </row>
    <row r="108" spans="51:58" ht="12.75">
      <c r="AY108" s="103" t="s">
        <v>95</v>
      </c>
      <c r="AZ108" s="103" t="s">
        <v>409</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429</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450</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428</v>
      </c>
      <c r="BA117" s="103" t="s">
        <v>523</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460</v>
      </c>
      <c r="BA119" s="103" t="s">
        <v>343</v>
      </c>
      <c r="BB119" s="10">
        <v>538131</v>
      </c>
      <c r="BE119" s="70"/>
      <c r="BF119" s="239"/>
    </row>
    <row r="120" spans="51:58" ht="12.75">
      <c r="AY120" s="103" t="s">
        <v>150</v>
      </c>
      <c r="AZ120" s="103" t="s">
        <v>151</v>
      </c>
      <c r="BA120" s="103" t="s">
        <v>523</v>
      </c>
      <c r="BB120" s="10">
        <v>389725</v>
      </c>
      <c r="BE120" s="70"/>
      <c r="BF120" s="239"/>
    </row>
    <row r="121" spans="51:58" ht="12.75">
      <c r="AY121" s="103" t="s">
        <v>212</v>
      </c>
      <c r="AZ121" s="103" t="s">
        <v>213</v>
      </c>
      <c r="BA121" s="103" t="s">
        <v>523</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452</v>
      </c>
      <c r="BA123" s="103" t="s">
        <v>523</v>
      </c>
      <c r="BB123" s="10">
        <v>615835</v>
      </c>
      <c r="BF123" s="252"/>
    </row>
    <row r="124" spans="51:58" ht="12.75">
      <c r="AY124" s="103" t="s">
        <v>130</v>
      </c>
      <c r="AZ124" s="103" t="s">
        <v>422</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424</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408</v>
      </c>
      <c r="BA128" s="103" t="s">
        <v>523</v>
      </c>
      <c r="BB128" s="10">
        <v>298190</v>
      </c>
      <c r="BE128" s="250"/>
      <c r="BF128" s="249"/>
    </row>
    <row r="129" spans="51:58" ht="12.75">
      <c r="AY129" s="103" t="s">
        <v>85</v>
      </c>
      <c r="AZ129" s="103" t="s">
        <v>405</v>
      </c>
      <c r="BA129" s="103" t="s">
        <v>343</v>
      </c>
      <c r="BB129" s="10">
        <v>191885</v>
      </c>
      <c r="BE129" s="70"/>
      <c r="BF129" s="249"/>
    </row>
    <row r="130" spans="51:58" ht="12.75">
      <c r="AY130" s="103" t="s">
        <v>233</v>
      </c>
      <c r="AZ130" s="103" t="s">
        <v>451</v>
      </c>
      <c r="BA130" s="103" t="s">
        <v>343</v>
      </c>
      <c r="BB130" s="10">
        <v>268223</v>
      </c>
      <c r="BE130" s="70"/>
      <c r="BF130" s="249"/>
    </row>
    <row r="131" spans="51:58" ht="12.75">
      <c r="AY131" s="103" t="s">
        <v>245</v>
      </c>
      <c r="AZ131" s="103" t="s">
        <v>246</v>
      </c>
      <c r="BA131" s="103" t="s">
        <v>523</v>
      </c>
      <c r="BB131" s="10">
        <v>616983</v>
      </c>
      <c r="BE131" s="247"/>
      <c r="BF131" s="249"/>
    </row>
    <row r="132" spans="51:58" ht="12.75">
      <c r="AY132" s="103" t="s">
        <v>131</v>
      </c>
      <c r="AZ132" s="103" t="s">
        <v>423</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430</v>
      </c>
      <c r="BA134" s="103" t="s">
        <v>343</v>
      </c>
      <c r="BB134" s="10">
        <v>390971</v>
      </c>
      <c r="BE134" s="243"/>
      <c r="BF134" s="238"/>
    </row>
    <row r="135" spans="51:58" ht="12.75">
      <c r="AY135" s="103" t="s">
        <v>121</v>
      </c>
      <c r="AZ135" s="103" t="s">
        <v>122</v>
      </c>
      <c r="BA135" s="103" t="s">
        <v>522</v>
      </c>
      <c r="BB135" s="10">
        <v>218182</v>
      </c>
      <c r="BE135" s="250"/>
      <c r="BF135" s="249"/>
    </row>
    <row r="136" spans="51:58" ht="12.75">
      <c r="AY136" s="103" t="s">
        <v>148</v>
      </c>
      <c r="AZ136" s="103" t="s">
        <v>426</v>
      </c>
      <c r="BA136" s="103" t="s">
        <v>523</v>
      </c>
      <c r="BB136" s="10">
        <v>236598</v>
      </c>
      <c r="BE136" s="237"/>
      <c r="BF136" s="238"/>
    </row>
    <row r="137" spans="51:58" ht="12.75">
      <c r="AY137" s="103" t="s">
        <v>160</v>
      </c>
      <c r="AZ137" s="103" t="s">
        <v>432</v>
      </c>
      <c r="BA137" s="103" t="s">
        <v>523</v>
      </c>
      <c r="BB137" s="10">
        <v>165993</v>
      </c>
      <c r="BF137" s="252"/>
    </row>
    <row r="138" spans="51:58" ht="12.75">
      <c r="AY138" s="103" t="s">
        <v>54</v>
      </c>
      <c r="AZ138" s="103" t="s">
        <v>55</v>
      </c>
      <c r="BA138" s="103" t="s">
        <v>343</v>
      </c>
      <c r="BB138" s="10">
        <v>145889</v>
      </c>
      <c r="BE138" s="70"/>
      <c r="BF138" s="239"/>
    </row>
    <row r="139" spans="51:58" ht="12.75">
      <c r="AY139" s="103" t="s">
        <v>75</v>
      </c>
      <c r="AZ139" s="103" t="s">
        <v>399</v>
      </c>
      <c r="BA139" s="103" t="s">
        <v>343</v>
      </c>
      <c r="BB139" s="10">
        <v>267393</v>
      </c>
      <c r="BE139" s="237"/>
      <c r="BF139" s="238"/>
    </row>
    <row r="140" spans="51:58" ht="12.75">
      <c r="AY140" s="103" t="s">
        <v>201</v>
      </c>
      <c r="AZ140" s="103" t="s">
        <v>202</v>
      </c>
      <c r="BA140" s="103" t="s">
        <v>523</v>
      </c>
      <c r="BB140" s="10">
        <v>232551</v>
      </c>
      <c r="BE140" s="70"/>
      <c r="BF140" s="239"/>
    </row>
    <row r="141" spans="51:58" ht="12.75">
      <c r="AY141" s="103" t="s">
        <v>167</v>
      </c>
      <c r="AZ141" s="103" t="s">
        <v>168</v>
      </c>
      <c r="BA141" s="103" t="s">
        <v>523</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446</v>
      </c>
      <c r="BA148" s="103" t="s">
        <v>523</v>
      </c>
      <c r="BB148" s="10">
        <v>707573</v>
      </c>
      <c r="BF148" s="252"/>
    </row>
    <row r="149" spans="51:58" ht="12.75">
      <c r="AY149" s="103" t="s">
        <v>218</v>
      </c>
      <c r="AZ149" s="103" t="s">
        <v>219</v>
      </c>
      <c r="BA149" s="103" t="s">
        <v>523</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523</v>
      </c>
      <c r="BB152" s="10">
        <v>462395</v>
      </c>
      <c r="BE152" s="250"/>
      <c r="BF152" s="239"/>
    </row>
    <row r="153" spans="51:58" ht="12.75">
      <c r="AY153" s="103" t="s">
        <v>191</v>
      </c>
      <c r="AZ153" s="103" t="s">
        <v>192</v>
      </c>
      <c r="BA153" s="103" t="s">
        <v>343</v>
      </c>
      <c r="BB153" s="10">
        <v>332176</v>
      </c>
      <c r="BF153" s="252"/>
    </row>
    <row r="154" spans="51:58" ht="12.75">
      <c r="AY154" s="103" t="s">
        <v>161</v>
      </c>
      <c r="AZ154" s="103" t="s">
        <v>433</v>
      </c>
      <c r="BA154" s="103" t="s">
        <v>343</v>
      </c>
      <c r="BB154" s="10">
        <v>246213</v>
      </c>
      <c r="BE154" s="237"/>
      <c r="BF154" s="238"/>
    </row>
    <row r="155" spans="51:58" ht="12.75">
      <c r="AY155" s="103" t="s">
        <v>235</v>
      </c>
      <c r="AZ155" s="103" t="s">
        <v>236</v>
      </c>
      <c r="BA155" s="103" t="s">
        <v>523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539</v>
      </c>
      <c r="B3" s="56" t="s">
        <v>72</v>
      </c>
      <c r="C3" s="56" t="s">
        <v>24</v>
      </c>
    </row>
    <row r="4" spans="1:2" ht="12.75">
      <c r="A4" s="76">
        <v>1</v>
      </c>
      <c r="B4" s="78" t="s">
        <v>71</v>
      </c>
    </row>
    <row r="5" ht="12.75">
      <c r="A5" s="280" t="s">
        <v>539</v>
      </c>
    </row>
    <row r="6" ht="12.75">
      <c r="A6" s="280" t="s">
        <v>581</v>
      </c>
    </row>
    <row r="7" ht="12.75">
      <c r="A7" s="280" t="s">
        <v>576</v>
      </c>
    </row>
    <row r="8" ht="12.75">
      <c r="A8" s="280" t="s">
        <v>565</v>
      </c>
    </row>
    <row r="9" ht="12.75">
      <c r="A9" s="280" t="s">
        <v>554</v>
      </c>
    </row>
    <row r="10" ht="12.75">
      <c r="A10" s="280" t="s">
        <v>545</v>
      </c>
    </row>
    <row r="11" ht="12.75">
      <c r="A11" s="280" t="s">
        <v>567</v>
      </c>
    </row>
    <row r="12" ht="12.75">
      <c r="A12" s="280" t="s">
        <v>531</v>
      </c>
    </row>
    <row r="13" ht="12.75">
      <c r="A13" s="280" t="s">
        <v>561</v>
      </c>
    </row>
    <row r="14" ht="12.75">
      <c r="A14" s="280" t="s">
        <v>562</v>
      </c>
    </row>
    <row r="15" ht="12.75">
      <c r="A15" s="280" t="s">
        <v>538</v>
      </c>
    </row>
    <row r="16" ht="12.75">
      <c r="A16" s="280" t="s">
        <v>566</v>
      </c>
    </row>
    <row r="17" ht="12.75">
      <c r="A17" s="280" t="s">
        <v>570</v>
      </c>
    </row>
    <row r="18" ht="12.75">
      <c r="A18" s="280" t="s">
        <v>533</v>
      </c>
    </row>
    <row r="19" ht="12.75">
      <c r="A19" s="280" t="s">
        <v>549</v>
      </c>
    </row>
    <row r="20" ht="12.75">
      <c r="A20" s="280" t="s">
        <v>571</v>
      </c>
    </row>
    <row r="21" ht="12.75">
      <c r="A21" s="280" t="s">
        <v>536</v>
      </c>
    </row>
    <row r="22" ht="12.75">
      <c r="A22" s="280" t="s">
        <v>584</v>
      </c>
    </row>
    <row r="23" ht="12.75">
      <c r="A23" s="280" t="s">
        <v>535</v>
      </c>
    </row>
    <row r="24" ht="12.75">
      <c r="A24" s="280" t="s">
        <v>532</v>
      </c>
    </row>
    <row r="25" ht="12.75">
      <c r="A25" s="280" t="s">
        <v>564</v>
      </c>
    </row>
    <row r="26" ht="12.75">
      <c r="A26" s="280" t="s">
        <v>558</v>
      </c>
    </row>
    <row r="27" ht="12.75">
      <c r="A27" s="280" t="s">
        <v>575</v>
      </c>
    </row>
    <row r="28" ht="12.75">
      <c r="A28" s="280" t="s">
        <v>583</v>
      </c>
    </row>
    <row r="29" ht="12.75">
      <c r="A29" s="280" t="s">
        <v>574</v>
      </c>
    </row>
    <row r="30" ht="12.75">
      <c r="A30" s="280" t="s">
        <v>529</v>
      </c>
    </row>
    <row r="31" ht="12.75">
      <c r="A31" s="280" t="s">
        <v>555</v>
      </c>
    </row>
    <row r="32" ht="12.75">
      <c r="A32" s="280" t="s">
        <v>580</v>
      </c>
    </row>
    <row r="33" ht="12.75">
      <c r="A33" s="280" t="s">
        <v>527</v>
      </c>
    </row>
    <row r="34" ht="12.75">
      <c r="A34" s="280" t="s">
        <v>552</v>
      </c>
    </row>
    <row r="35" ht="12.75">
      <c r="A35" s="280" t="s">
        <v>577</v>
      </c>
    </row>
    <row r="36" ht="12.75">
      <c r="A36" s="280" t="s">
        <v>582</v>
      </c>
    </row>
    <row r="37" ht="12.75">
      <c r="A37" s="280" t="s">
        <v>595</v>
      </c>
    </row>
    <row r="38" ht="12.75">
      <c r="A38" s="280" t="s">
        <v>596</v>
      </c>
    </row>
    <row r="39" ht="12.75">
      <c r="A39" s="280" t="s">
        <v>569</v>
      </c>
    </row>
    <row r="40" ht="12.75">
      <c r="A40" s="280" t="s">
        <v>553</v>
      </c>
    </row>
    <row r="41" ht="12.75">
      <c r="A41" s="280" t="s">
        <v>551</v>
      </c>
    </row>
    <row r="42" ht="12.75">
      <c r="A42" s="280" t="s">
        <v>541</v>
      </c>
    </row>
    <row r="43" ht="12.75">
      <c r="A43" s="280" t="s">
        <v>543</v>
      </c>
    </row>
    <row r="44" ht="12.75">
      <c r="A44" s="280" t="s">
        <v>530</v>
      </c>
    </row>
    <row r="45" ht="12.75">
      <c r="A45" s="280" t="s">
        <v>563</v>
      </c>
    </row>
    <row r="46" ht="12.75">
      <c r="A46" s="280" t="s">
        <v>578</v>
      </c>
    </row>
    <row r="47" ht="12.75">
      <c r="A47" s="280" t="s">
        <v>547</v>
      </c>
    </row>
    <row r="48" ht="12.75">
      <c r="A48" s="280" t="s">
        <v>559</v>
      </c>
    </row>
    <row r="49" ht="12.75">
      <c r="A49" s="280" t="s">
        <v>550</v>
      </c>
    </row>
    <row r="50" ht="12.75">
      <c r="A50" s="280" t="s">
        <v>573</v>
      </c>
    </row>
    <row r="51" ht="12.75">
      <c r="A51" s="280" t="s">
        <v>548</v>
      </c>
    </row>
    <row r="52" ht="12.75">
      <c r="A52" s="280" t="s">
        <v>544</v>
      </c>
    </row>
    <row r="53" ht="12.75">
      <c r="A53" s="280" t="s">
        <v>528</v>
      </c>
    </row>
    <row r="54" ht="12.75">
      <c r="A54" s="280" t="s">
        <v>560</v>
      </c>
    </row>
    <row r="55" ht="12.75">
      <c r="A55" s="280" t="s">
        <v>540</v>
      </c>
    </row>
    <row r="56" ht="12.75">
      <c r="A56" s="280" t="s">
        <v>546</v>
      </c>
    </row>
    <row r="57" ht="12.75">
      <c r="A57" s="280" t="s">
        <v>579</v>
      </c>
    </row>
    <row r="58" ht="12.75">
      <c r="A58" s="280" t="s">
        <v>557</v>
      </c>
    </row>
    <row r="59" ht="12.75">
      <c r="A59" s="280" t="s">
        <v>556</v>
      </c>
    </row>
    <row r="60" ht="12.75">
      <c r="A60" s="280" t="s">
        <v>534</v>
      </c>
    </row>
    <row r="61" ht="12.75">
      <c r="A61" s="280" t="s">
        <v>568</v>
      </c>
    </row>
    <row r="62" ht="12.75">
      <c r="A62" s="280" t="s">
        <v>572</v>
      </c>
    </row>
    <row r="63" ht="12.75">
      <c r="A63" s="280" t="s">
        <v>537</v>
      </c>
    </row>
    <row r="64" ht="12.75">
      <c r="A64" s="280" t="s">
        <v>542</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