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<sst xmlns="http://schemas.openxmlformats.org/spreadsheetml/2006/main" count="1437" uniqueCount="556">
  <si>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</si>
  <si>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</si>
  <si>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</si>
  <si>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</si>
  <si>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</si>
  <si>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</si>
  <si>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</si>
  <si>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</si>
  <si>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</si>
  <si>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</si>
  <si>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</si>
  <si>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</si>
  <si>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</si>
  <si>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</si>
  <si>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</si>
  <si>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</si>
  <si>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</si>
  <si>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</si>
  <si>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</si>
  <si>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</si>
  <si>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</si>
  <si>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</si>
  <si>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</si>
  <si>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</si>
  <si>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</si>
  <si>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</si>
  <si>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</si>
  <si>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</si>
  <si>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</si>
  <si>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</si>
  <si>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</si>
  <si>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</si>
  <si>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</si>
  <si>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</si>
  <si>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</si>
  <si>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</si>
  <si>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</si>
  <si>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</si>
  <si>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</si>
  <si>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</si>
  <si>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</si>
  <si>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</si>
  <si>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</si>
  <si>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</si>
  <si>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</si>
  <si>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</si>
  <si>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</si>
  <si>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</si>
  <si>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</si>
  <si>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</si>
  <si>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</si>
  <si>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</si>
  <si>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</si>
  <si>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</si>
  <si>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</si>
  <si>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</si>
  <si>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</si>
  <si>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</si>
  <si>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</si>
  <si>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</si>
  <si>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</si>
  <si>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</si>
  <si>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</si>
  <si>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</si>
  <si>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</si>
  <si>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</si>
  <si>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</si>
  <si>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</si>
  <si>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</si>
  <si>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</si>
  <si>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</si>
  <si>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</si>
  <si>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</si>
  <si>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</si>
  <si>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</si>
  <si>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</si>
  <si>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</si>
  <si>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</si>
  <si>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</si>
  <si>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</si>
  <si>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</si>
  <si>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</si>
  <si>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</si>
  <si>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</si>
  <si>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</si>
  <si>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</si>
  <si>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</si>
  <si>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</si>
  <si>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</si>
  <si>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</si>
  <si>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</si>
  <si>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</si>
  <si>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</si>
  <si>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</si>
  <si>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</si>
  <si>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</si>
  <si>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</si>
  <si>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</si>
  <si>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</si>
  <si>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</si>
  <si>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</si>
  <si>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</si>
  <si>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</si>
  <si>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</si>
  <si>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</si>
  <si>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</si>
  <si>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</si>
  <si>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</si>
  <si>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</si>
  <si>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</si>
  <si>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</si>
  <si>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</si>
  <si>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</si>
  <si>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</si>
  <si>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</si>
  <si>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</si>
  <si>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</si>
  <si>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</si>
  <si>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</si>
  <si>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</si>
  <si>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</si>
  <si>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</si>
  <si>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</si>
  <si>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</si>
  <si>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</si>
  <si>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</si>
  <si>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</si>
  <si>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</si>
  <si>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</si>
  <si>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</si>
  <si>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</si>
  <si>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</si>
  <si>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</si>
  <si>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</si>
  <si>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</si>
  <si>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</si>
  <si>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</si>
  <si>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</si>
  <si>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</si>
  <si>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</si>
  <si>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</si>
  <si>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</si>
  <si>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</si>
  <si>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</si>
  <si>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</si>
  <si>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</si>
  <si>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</si>
  <si>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</si>
  <si>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</si>
  <si>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</si>
  <si>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</si>
  <si>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</si>
  <si>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</si>
  <si>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</si>
  <si>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</si>
  <si>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</si>
  <si>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</si>
  <si>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</si>
  <si>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</si>
  <si>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</si>
  <si>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</si>
  <si>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</si>
  <si>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</si>
  <si>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</si>
  <si>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</si>
  <si>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</si>
  <si>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</si>
  <si>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</si>
  <si>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</si>
  <si>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</si>
  <si>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</si>
  <si>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</si>
  <si>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</si>
  <si>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</si>
  <si>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</si>
  <si>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</si>
  <si>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</si>
  <si>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</si>
  <si>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</si>
  <si>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</si>
  <si>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</si>
  <si>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</si>
  <si>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</si>
  <si>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</si>
  <si>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</si>
  <si>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</si>
  <si>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</si>
  <si>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</si>
  <si>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</si>
  <si>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</si>
  <si>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</si>
  <si>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</si>
  <si>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</si>
  <si>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</si>
  <si>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</si>
  <si>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</si>
  <si>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</si>
  <si>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</si>
  <si>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</si>
  <si>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</si>
  <si>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</si>
  <si>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</si>
  <si>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</si>
  <si>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</si>
  <si>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</si>
  <si>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</si>
  <si>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</si>
  <si>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</si>
  <si>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</si>
  <si>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</si>
  <si>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</si>
  <si>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</si>
  <si>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</si>
  <si>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</si>
  <si>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</si>
  <si>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</si>
  <si>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</si>
  <si>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</si>
  <si>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</si>
  <si>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</si>
  <si>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</si>
  <si>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</si>
  <si>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</si>
  <si>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</si>
  <si>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</si>
  <si>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</si>
  <si>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</si>
  <si>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</si>
  <si>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</si>
  <si>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</si>
  <si>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</si>
  <si>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</si>
  <si>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</si>
  <si>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</si>
  <si>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</si>
  <si>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</si>
  <si>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</si>
  <si>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</si>
  <si>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</si>
  <si>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</si>
  <si>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</si>
  <si>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</si>
  <si>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</si>
  <si>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</si>
  <si>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</si>
  <si>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</si>
  <si>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</si>
  <si>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</si>
  <si>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</si>
  <si>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</si>
  <si>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</si>
  <si>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</si>
  <si>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</si>
  <si>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</si>
  <si>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</si>
  <si>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</si>
  <si>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</si>
  <si>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</si>
  <si>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</si>
  <si>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</si>
  <si>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</si>
  <si>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</si>
  <si>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</si>
  <si>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</si>
  <si>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</si>
  <si>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</si>
  <si>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</si>
  <si>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</si>
  <si>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</si>
  <si>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</si>
  <si>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</si>
  <si>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</si>
  <si>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</si>
  <si>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</si>
  <si>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</si>
  <si>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</si>
  <si>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</si>
  <si>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</si>
  <si>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</si>
  <si>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</si>
  <si>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</si>
  <si>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</si>
  <si>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F82001</t>
  </si>
  <si>
    <t>F82003</t>
  </si>
  <si>
    <t>F82004</t>
  </si>
  <si>
    <t>F82005</t>
  </si>
  <si>
    <t>F82012</t>
  </si>
  <si>
    <t>F82015</t>
  </si>
  <si>
    <t>F82017</t>
  </si>
  <si>
    <t>F82018</t>
  </si>
  <si>
    <t>F82023</t>
  </si>
  <si>
    <t>F82025</t>
  </si>
  <si>
    <t>F82027</t>
  </si>
  <si>
    <t>F82034</t>
  </si>
  <si>
    <t>F82038</t>
  </si>
  <si>
    <t>F82040</t>
  </si>
  <si>
    <t>F82042</t>
  </si>
  <si>
    <t>F82051</t>
  </si>
  <si>
    <t>F82604</t>
  </si>
  <si>
    <t>F82612</t>
  </si>
  <si>
    <t>F82621</t>
  </si>
  <si>
    <t>F82625</t>
  </si>
  <si>
    <t>F82629</t>
  </si>
  <si>
    <t>F82634</t>
  </si>
  <si>
    <t>F82642</t>
  </si>
  <si>
    <t>F82645</t>
  </si>
  <si>
    <t>F82647</t>
  </si>
  <si>
    <t>F82650</t>
  </si>
  <si>
    <t>F82660</t>
  </si>
  <si>
    <t>F82661</t>
  </si>
  <si>
    <t>F82665</t>
  </si>
  <si>
    <t>F82668</t>
  </si>
  <si>
    <t>F82676</t>
  </si>
  <si>
    <t>F82677</t>
  </si>
  <si>
    <t>F82678</t>
  </si>
  <si>
    <t>F82679</t>
  </si>
  <si>
    <t>F82680</t>
  </si>
  <si>
    <t>F86040</t>
  </si>
  <si>
    <t>5CC</t>
  </si>
  <si>
    <t>Y01280</t>
  </si>
  <si>
    <t>Y01719</t>
  </si>
  <si>
    <t>Y01795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</si>
  <si>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</si>
  <si>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</si>
  <si>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</si>
  <si>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</si>
  <si>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</si>
  <si>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</si>
  <si>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</si>
  <si>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</si>
  <si>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</si>
  <si>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</si>
  <si>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</si>
  <si>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</si>
  <si>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</si>
  <si>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</si>
  <si>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</si>
  <si>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</si>
  <si>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</si>
  <si>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</si>
  <si>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</si>
  <si>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</si>
  <si>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</si>
  <si>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</si>
  <si>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</si>
  <si>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</si>
  <si>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</si>
  <si>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</si>
  <si>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</si>
  <si>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</si>
  <si>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</si>
  <si>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</si>
  <si>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</si>
  <si>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</si>
  <si>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</si>
  <si>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</si>
  <si>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</si>
  <si>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</si>
  <si>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</si>
  <si>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</si>
  <si>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</si>
  <si>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</si>
  <si>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</si>
  <si>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</si>
  <si>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</si>
  <si>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</si>
  <si>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</si>
  <si>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</si>
  <si>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</si>
  <si>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</si>
  <si>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</si>
  <si>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</si>
  <si>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</si>
  <si>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</si>
  <si>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</si>
  <si>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</si>
  <si>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</si>
  <si>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</si>
  <si>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</si>
  <si>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</si>
  <si>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</si>
  <si>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</si>
  <si>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</si>
  <si>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</si>
  <si>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</si>
  <si>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</si>
  <si>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</si>
  <si>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</si>
  <si>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</si>
  <si>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</si>
  <si>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</si>
  <si>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</si>
  <si>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</si>
  <si>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</si>
  <si>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</si>
  <si>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</si>
  <si>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</si>
  <si>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</si>
  <si>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</si>
  <si>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</si>
  <si>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</si>
  <si>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</si>
  <si>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</si>
  <si>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</si>
  <si>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</si>
  <si>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</si>
  <si>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</si>
  <si>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</si>
  <si>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</si>
  <si>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</si>
  <si>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</si>
  <si>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</si>
  <si>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</si>
  <si>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</si>
  <si>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</si>
  <si>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</si>
  <si>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</si>
  <si>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</si>
  <si>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</si>
  <si>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</si>
  <si>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</si>
  <si>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</si>
  <si>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</si>
  <si>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</si>
  <si>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</si>
  <si>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</si>
  <si>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</si>
  <si>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</si>
  <si>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</si>
  <si>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</si>
  <si>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</si>
  <si>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</si>
  <si>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</si>
  <si>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</si>
  <si>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</si>
  <si>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</si>
  <si>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</si>
  <si>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</si>
  <si>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</si>
  <si>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</si>
  <si>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</si>
  <si>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</si>
  <si>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</si>
  <si>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</si>
  <si>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</si>
  <si>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</si>
  <si>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</si>
  <si>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</si>
  <si>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</si>
  <si>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</si>
  <si>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</si>
  <si>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</si>
  <si>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</si>
  <si>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</si>
  <si>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</si>
  <si>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</si>
  <si>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</si>
  <si>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</si>
  <si>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</si>
  <si>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</si>
  <si>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</si>
  <si>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</si>
  <si>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</si>
  <si>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</si>
  <si>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</si>
  <si>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</si>
  <si>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</si>
  <si>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</si>
  <si>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</si>
  <si>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</si>
  <si>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</si>
  <si>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</si>
  <si>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</si>
  <si>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</si>
  <si>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</si>
  <si>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</si>
  <si>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</si>
  <si>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</si>
  <si>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</si>
  <si>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</si>
  <si>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</si>
  <si>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</si>
  <si>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</si>
  <si>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</si>
  <si>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</si>
  <si>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</si>
  <si>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</si>
  <si>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</si>
  <si>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</si>
  <si>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</si>
  <si>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</si>
  <si>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</si>
  <si>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</si>
  <si>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</si>
  <si>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</si>
  <si>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</si>
  <si>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</si>
  <si>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</si>
  <si>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</si>
  <si>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</si>
  <si>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</si>
  <si>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</si>
  <si>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</si>
  <si>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</si>
  <si>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</si>
  <si>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(F82001) DR BB QUANSAH'S PRACTICE</t>
  </si>
  <si>
    <t>(F82003) DR M FATEH'S PRACTICE</t>
  </si>
  <si>
    <t>(F82005) DR M GOYAL'S PRACTICE</t>
  </si>
  <si>
    <t>(F82012) DR PA HEININK'S PRACTICE</t>
  </si>
  <si>
    <t>(F82015) DR SN AHMAD'S PRACTICE</t>
  </si>
  <si>
    <t>(F82018) DR AS CHOPRA'S PRACTICE</t>
  </si>
  <si>
    <t>(F82023) THIRD AVENUE SURGERY</t>
  </si>
  <si>
    <t>(F82025) DR BK JAISWAL'S PRACTICE</t>
  </si>
  <si>
    <t>(F82027) DR P PRASAD'S PRACTICE</t>
  </si>
  <si>
    <t>(F82034) DR N NIRANJAN'S PRACTICE</t>
  </si>
  <si>
    <t>(F82038) DR SZ HAIDER'S PRACTICE</t>
  </si>
  <si>
    <t>(F82040) JOHN SMITH MEDICAL CENTRE</t>
  </si>
  <si>
    <t>(F82042) DR K JOHN'S PRACTICE</t>
  </si>
  <si>
    <t>(F82051) LABURNUM HEALTH CENTRE</t>
  </si>
  <si>
    <t>(F82604) DR KP KASHYAP'S PRACTICE</t>
  </si>
  <si>
    <t>(F82612) THE WHITE HOUSE SURGERY</t>
  </si>
  <si>
    <t>(F82621) DR C OLA'S PRACTICE</t>
  </si>
  <si>
    <t>(F82625) DR MF HAQ'S PRACTICE</t>
  </si>
  <si>
    <t>(F82629) THE LAWNS MEDICAL CARE</t>
  </si>
  <si>
    <t>(F82634) HEATHWAY MEDICAL CENTRE</t>
  </si>
  <si>
    <t>(F82642) GABLES SURGERY</t>
  </si>
  <si>
    <t>(F82645) DR F. ISLAM</t>
  </si>
  <si>
    <t>(F82647) DR R CHIBBER'S PRACTICE</t>
  </si>
  <si>
    <t>(F82650) DR AA ANSARI'S PRACTICE</t>
  </si>
  <si>
    <t>(F82660) DR V GORIPARTHI'S PRACTICE</t>
  </si>
  <si>
    <t>(F82661) DR NPS TEOTIA'S PRACTICE</t>
  </si>
  <si>
    <t>(F82665) DR VK CHAWLA'S PRACTICE</t>
  </si>
  <si>
    <t>(F82668) DR AK MITTAL'S PRACTICE</t>
  </si>
  <si>
    <t>(F82676) DR GS KALKAT'S PRACTICE</t>
  </si>
  <si>
    <t>(F82677) DR A MOGHAL'S PRACTICE</t>
  </si>
  <si>
    <t>(F82678) DR KM ALKAISY PRACTICE</t>
  </si>
  <si>
    <t>(F82679) DR DP SHAH'S PRACTICE</t>
  </si>
  <si>
    <t>(F82680) DR JP LAWRENCE'S PRACTICE</t>
  </si>
  <si>
    <t>(F86040) DR UA AFSER'S PRACTICE</t>
  </si>
  <si>
    <t>(Y01280) SHIFA MEDICAL PRACTICE</t>
  </si>
  <si>
    <t>(Y01719) BROAD STREET MEDICAL CENTRE</t>
  </si>
  <si>
    <t>(Y01795) DR M EHSAN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</si>
  <si>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</si>
  <si>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</si>
  <si>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</si>
  <si>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</si>
  <si>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</si>
  <si>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</si>
  <si>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</si>
  <si>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</si>
  <si>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</si>
  <si>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</si>
  <si>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(F82004) DR IA MOGHAL + ASSOCIATES</t>
  </si>
  <si>
    <t>(F82017) DR MOHAN + ASSOCIATES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</si>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</sst>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0.9727206759670634</c:v>
                </c:pt>
                <c:pt idx="3">
                  <c:v>0.8499999329447806</c:v>
                </c:pt>
                <c:pt idx="4">
                  <c:v>1</c:v>
                </c:pt>
                <c:pt idx="5">
                  <c:v>1</c:v>
                </c:pt>
                <c:pt idx="6">
                  <c:v>1</c:v>
                </c:pt>
                <c:pt idx="7">
                  <c:v>0.8556474721624849</c:v>
                </c:pt>
                <c:pt idx="8">
                  <c:v>0.8701292802768159</c:v>
                </c:pt>
                <c:pt idx="9">
                  <c:v>0.9300057805330325</c:v>
                </c:pt>
                <c:pt idx="10">
                  <c:v>0.9329158129492868</c:v>
                </c:pt>
                <c:pt idx="11">
                  <c:v>0.8533662876447605</c:v>
                </c:pt>
                <c:pt idx="12">
                  <c:v>1</c:v>
                </c:pt>
                <c:pt idx="13">
                  <c:v>0</c:v>
                </c:pt>
                <c:pt idx="14">
                  <c:v>1</c:v>
                </c:pt>
                <c:pt idx="15">
                  <c:v>0.8848984165956753</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0.5931734125719272</c:v>
                </c:pt>
                <c:pt idx="3">
                  <c:v>0.5499999478459405</c:v>
                </c:pt>
                <c:pt idx="4">
                  <c:v>0.6091169781225241</c:v>
                </c:pt>
                <c:pt idx="5">
                  <c:v>0.5806296280986356</c:v>
                </c:pt>
                <c:pt idx="6">
                  <c:v>0.6000000186264519</c:v>
                </c:pt>
                <c:pt idx="7">
                  <c:v>0.63073655836305</c:v>
                </c:pt>
                <c:pt idx="8">
                  <c:v>0.6421046947184864</c:v>
                </c:pt>
                <c:pt idx="9">
                  <c:v>0.589921675044277</c:v>
                </c:pt>
                <c:pt idx="10">
                  <c:v>0.5768415520306686</c:v>
                </c:pt>
                <c:pt idx="11">
                  <c:v>0.5891622679172137</c:v>
                </c:pt>
                <c:pt idx="12">
                  <c:v>0.6530090379774642</c:v>
                </c:pt>
                <c:pt idx="13">
                  <c:v>0</c:v>
                </c:pt>
                <c:pt idx="14">
                  <c:v>0.664966854729997</c:v>
                </c:pt>
                <c:pt idx="15">
                  <c:v>0.5941327155089671</c:v>
                </c:pt>
                <c:pt idx="16">
                  <c:v>0.5878903666823272</c:v>
                </c:pt>
                <c:pt idx="17">
                  <c:v>0.6949015645083318</c:v>
                </c:pt>
                <c:pt idx="18">
                  <c:v>0.6162126199504798</c:v>
                </c:pt>
                <c:pt idx="19">
                  <c:v>0.5754323878350902</c:v>
                </c:pt>
                <c:pt idx="20">
                  <c:v>0.6074764341462945</c:v>
                </c:pt>
                <c:pt idx="21">
                  <c:v>0.6927970020097047</c:v>
                </c:pt>
                <c:pt idx="22">
                  <c:v>0.601780871819672</c:v>
                </c:pt>
                <c:pt idx="23">
                  <c:v>0.6319681849440072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0.31922112598181596</c:v>
                </c:pt>
                <c:pt idx="3">
                  <c:v>0.3499999329447806</c:v>
                </c:pt>
                <c:pt idx="4">
                  <c:v>0.42570383509377624</c:v>
                </c:pt>
                <c:pt idx="5">
                  <c:v>0.43890914717381685</c:v>
                </c:pt>
                <c:pt idx="6">
                  <c:v>0.40000002793967787</c:v>
                </c:pt>
                <c:pt idx="7">
                  <c:v>0.2567020168687269</c:v>
                </c:pt>
                <c:pt idx="8">
                  <c:v>0.3143173796412506</c:v>
                </c:pt>
                <c:pt idx="9">
                  <c:v>0.367846952334311</c:v>
                </c:pt>
                <c:pt idx="10">
                  <c:v>0.34637205758664297</c:v>
                </c:pt>
                <c:pt idx="11">
                  <c:v>0.38339772756572504</c:v>
                </c:pt>
                <c:pt idx="12">
                  <c:v>0.4450464699935353</c:v>
                </c:pt>
                <c:pt idx="13">
                  <c:v>0</c:v>
                </c:pt>
                <c:pt idx="14">
                  <c:v>0.3494510682352427</c:v>
                </c:pt>
                <c:pt idx="15">
                  <c:v>0.39017842313945555</c:v>
                </c:pt>
                <c:pt idx="16">
                  <c:v>0.43944641159363357</c:v>
                </c:pt>
                <c:pt idx="17">
                  <c:v>0.3695312967901393</c:v>
                </c:pt>
                <c:pt idx="18">
                  <c:v>0.37222040024213443</c:v>
                </c:pt>
                <c:pt idx="19">
                  <c:v>0.4444731043361115</c:v>
                </c:pt>
                <c:pt idx="20">
                  <c:v>0.39981696711849823</c:v>
                </c:pt>
                <c:pt idx="21">
                  <c:v>0.4051690037076689</c:v>
                </c:pt>
                <c:pt idx="22">
                  <c:v>0.39437810044338195</c:v>
                </c:pt>
                <c:pt idx="23">
                  <c:v>0.40730743880145137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0.3334112603121174</c:v>
                </c:pt>
                <c:pt idx="5">
                  <c:v>0.329929802496045</c:v>
                </c:pt>
                <c:pt idx="6">
                  <c:v>0.10000000698491947</c:v>
                </c:pt>
                <c:pt idx="7">
                  <c:v>0</c:v>
                </c:pt>
                <c:pt idx="8">
                  <c:v>0</c:v>
                </c:pt>
                <c:pt idx="9">
                  <c:v>0</c:v>
                </c:pt>
                <c:pt idx="10">
                  <c:v>0</c:v>
                </c:pt>
                <c:pt idx="11">
                  <c:v>0</c:v>
                </c:pt>
                <c:pt idx="12">
                  <c:v>0.31086796813470885</c:v>
                </c:pt>
                <c:pt idx="13">
                  <c:v>0</c:v>
                </c:pt>
                <c:pt idx="14">
                  <c:v>0.08660749435483589</c:v>
                </c:pt>
                <c:pt idx="15">
                  <c:v>0</c:v>
                </c:pt>
                <c:pt idx="16">
                  <c:v>0.30366322675256474</c:v>
                </c:pt>
                <c:pt idx="17">
                  <c:v>0.2642466062251957</c:v>
                </c:pt>
                <c:pt idx="18">
                  <c:v>0.386137124282245</c:v>
                </c:pt>
                <c:pt idx="19">
                  <c:v>0.393145744296914</c:v>
                </c:pt>
                <c:pt idx="20">
                  <c:v>0.08060495625203154</c:v>
                </c:pt>
                <c:pt idx="21">
                  <c:v>0.19222734204369543</c:v>
                </c:pt>
                <c:pt idx="22">
                  <c:v>0.07423804417802006</c:v>
                </c:pt>
                <c:pt idx="23">
                  <c:v>0.2922312094195391</c:v>
                </c:pt>
                <c:pt idx="24">
                  <c:v>0</c:v>
                </c:pt>
                <c:pt idx="25">
                  <c:v>0</c:v>
                </c:pt>
                <c:pt idx="26">
                  <c:v>0</c:v>
                </c:pt>
              </c:numCache>
            </c:numRef>
          </c:val>
        </c:ser>
        <c:overlap val="100"/>
        <c:gapWidth val="100"/>
        <c:axId val="63163877"/>
        <c:axId val="316039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0.8885902489329692</c:v>
                </c:pt>
                <c:pt idx="3">
                  <c:v>-0.09945348542114456</c:v>
                </c:pt>
                <c:pt idx="4">
                  <c:v>0.6904347952394148</c:v>
                </c:pt>
                <c:pt idx="5">
                  <c:v>0.5747356982835737</c:v>
                </c:pt>
                <c:pt idx="6">
                  <c:v>0.7970363349415219</c:v>
                </c:pt>
                <c:pt idx="7">
                  <c:v>0.8119011789613035</c:v>
                </c:pt>
                <c:pt idx="8">
                  <c:v>0.708698979766128</c:v>
                </c:pt>
                <c:pt idx="9">
                  <c:v>0.6114074192507011</c:v>
                </c:pt>
                <c:pt idx="10">
                  <c:v>0.9445022970021214</c:v>
                </c:pt>
                <c:pt idx="11">
                  <c:v>0.8545784432611393</c:v>
                </c:pt>
                <c:pt idx="12">
                  <c:v>0.6434863931521918</c:v>
                </c:pt>
                <c:pt idx="13">
                  <c:v>0.5</c:v>
                </c:pt>
                <c:pt idx="14">
                  <c:v>0.5374004271667719</c:v>
                </c:pt>
                <c:pt idx="15">
                  <c:v>0.4984948892548189</c:v>
                </c:pt>
                <c:pt idx="16">
                  <c:v>0.5947950704911519</c:v>
                </c:pt>
                <c:pt idx="17">
                  <c:v>0.6683398728224301</c:v>
                </c:pt>
                <c:pt idx="18">
                  <c:v>0.6740866490048867</c:v>
                </c:pt>
                <c:pt idx="19">
                  <c:v>0.6160775225633578</c:v>
                </c:pt>
                <c:pt idx="20">
                  <c:v>0.5380681443955708</c:v>
                </c:pt>
                <c:pt idx="21">
                  <c:v>0.6959246477858053</c:v>
                </c:pt>
                <c:pt idx="22">
                  <c:v>0.597945135079085</c:v>
                </c:pt>
                <c:pt idx="23">
                  <c:v>0.5878656431695819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0.4499999508261725</c:v>
                </c:pt>
                <c:pt idx="4">
                  <c:v>0.5592520203476375</c:v>
                </c:pt>
                <c:pt idx="5">
                  <c:v>-999</c:v>
                </c:pt>
                <c:pt idx="6">
                  <c:v>-999</c:v>
                </c:pt>
                <c:pt idx="7">
                  <c:v>-999</c:v>
                </c:pt>
                <c:pt idx="8">
                  <c:v>-999</c:v>
                </c:pt>
                <c:pt idx="9">
                  <c:v>0.49473184644269186</c:v>
                </c:pt>
                <c:pt idx="10">
                  <c:v>0.3764716933342708</c:v>
                </c:pt>
                <c:pt idx="11">
                  <c:v>0.6484380890089522</c:v>
                </c:pt>
                <c:pt idx="12">
                  <c:v>0.605135390853043</c:v>
                </c:pt>
                <c:pt idx="13">
                  <c:v>0.5945775863873308</c:v>
                </c:pt>
                <c:pt idx="14">
                  <c:v>-999</c:v>
                </c:pt>
                <c:pt idx="15">
                  <c:v>-999</c:v>
                </c:pt>
                <c:pt idx="16">
                  <c:v>0.4850153637944091</c:v>
                </c:pt>
                <c:pt idx="17">
                  <c:v>0.5000000050904257</c:v>
                </c:pt>
                <c:pt idx="18">
                  <c:v>-999</c:v>
                </c:pt>
                <c:pt idx="19">
                  <c:v>-999</c:v>
                </c:pt>
                <c:pt idx="20">
                  <c:v>-999</c:v>
                </c:pt>
                <c:pt idx="21">
                  <c:v>0.4433814323832193</c:v>
                </c:pt>
                <c:pt idx="22">
                  <c:v>0.35218719387756164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0.340475582743643</c:v>
                </c:pt>
                <c:pt idx="3">
                  <c:v>-999</c:v>
                </c:pt>
                <c:pt idx="4">
                  <c:v>-999</c:v>
                </c:pt>
                <c:pt idx="5">
                  <c:v>-999</c:v>
                </c:pt>
                <c:pt idx="6">
                  <c:v>0.15000000335276134</c:v>
                </c:pt>
                <c:pt idx="7">
                  <c:v>0.2340100426565752</c:v>
                </c:pt>
                <c:pt idx="8">
                  <c:v>-999</c:v>
                </c:pt>
                <c:pt idx="9">
                  <c:v>-999</c:v>
                </c:pt>
                <c:pt idx="10">
                  <c:v>-999</c:v>
                </c:pt>
                <c:pt idx="11">
                  <c:v>-999</c:v>
                </c:pt>
                <c:pt idx="12">
                  <c:v>-999</c:v>
                </c:pt>
                <c:pt idx="13">
                  <c:v>-999</c:v>
                </c:pt>
                <c:pt idx="14">
                  <c:v>-999</c:v>
                </c:pt>
                <c:pt idx="15">
                  <c:v>-999</c:v>
                </c:pt>
                <c:pt idx="16">
                  <c:v>-999</c:v>
                </c:pt>
                <c:pt idx="17">
                  <c:v>-999</c:v>
                </c:pt>
                <c:pt idx="18">
                  <c:v>-999</c:v>
                </c:pt>
                <c:pt idx="19">
                  <c:v>1.0000000044633555</c:v>
                </c:pt>
                <c:pt idx="20">
                  <c:v>0.16911094901286722</c:v>
                </c:pt>
                <c:pt idx="21">
                  <c:v>-999</c:v>
                </c:pt>
                <c:pt idx="22">
                  <c:v>-999</c:v>
                </c:pt>
                <c:pt idx="23">
                  <c:v>0.32346131900183306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6000383"/>
        <c:axId val="9785720"/>
      </c:scatterChart>
      <c:catAx>
        <c:axId val="63163877"/>
        <c:scaling>
          <c:orientation val="maxMin"/>
        </c:scaling>
        <c:axPos val="l"/>
        <c:delete val="0"/>
        <c:numFmt formatCode="General" sourceLinked="1"/>
        <c:majorTickMark val="out"/>
        <c:minorTickMark val="none"/>
        <c:tickLblPos val="none"/>
        <c:spPr>
          <a:ln w="3175">
            <a:noFill/>
          </a:ln>
        </c:spPr>
        <c:crossAx val="31603982"/>
        <c:crosses val="autoZero"/>
        <c:auto val="1"/>
        <c:lblOffset val="100"/>
        <c:tickLblSkip val="1"/>
        <c:noMultiLvlLbl val="0"/>
      </c:catAx>
      <c:valAx>
        <c:axId val="31603982"/>
        <c:scaling>
          <c:orientation val="minMax"/>
          <c:max val="1"/>
          <c:min val="0"/>
        </c:scaling>
        <c:axPos val="t"/>
        <c:delete val="0"/>
        <c:numFmt formatCode="General" sourceLinked="1"/>
        <c:majorTickMark val="none"/>
        <c:minorTickMark val="none"/>
        <c:tickLblPos val="none"/>
        <c:spPr>
          <a:ln w="3175">
            <a:noFill/>
          </a:ln>
        </c:spPr>
        <c:crossAx val="63163877"/>
        <c:crossesAt val="1"/>
        <c:crossBetween val="between"/>
        <c:dispUnits/>
        <c:majorUnit val="1"/>
      </c:valAx>
      <c:valAx>
        <c:axId val="16000383"/>
        <c:scaling>
          <c:orientation val="minMax"/>
          <c:max val="1"/>
          <c:min val="0"/>
        </c:scaling>
        <c:axPos val="t"/>
        <c:delete val="0"/>
        <c:numFmt formatCode="General" sourceLinked="1"/>
        <c:majorTickMark val="none"/>
        <c:minorTickMark val="none"/>
        <c:tickLblPos val="none"/>
        <c:spPr>
          <a:ln w="3175">
            <a:noFill/>
          </a:ln>
        </c:spPr>
        <c:crossAx val="9785720"/>
        <c:crosses val="max"/>
        <c:crossBetween val="midCat"/>
        <c:dispUnits/>
        <c:majorUnit val="0.1"/>
        <c:minorUnit val="0.020000000000000004"/>
      </c:valAx>
      <c:valAx>
        <c:axId val="9785720"/>
        <c:scaling>
          <c:orientation val="maxMin"/>
          <c:max val="29"/>
          <c:min val="0"/>
        </c:scaling>
        <c:axPos val="l"/>
        <c:delete val="0"/>
        <c:numFmt formatCode="General" sourceLinked="1"/>
        <c:majorTickMark val="none"/>
        <c:minorTickMark val="none"/>
        <c:tickLblPos val="none"/>
        <c:spPr>
          <a:ln w="3175">
            <a:noFill/>
          </a:ln>
        </c:spPr>
        <c:crossAx val="1600038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(Y01719) BROAD STREET MEDICAL CENTRE, BARKING AND DAGENHAM PCT (5C2)</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474</v>
      </c>
      <c r="Q3" s="65"/>
      <c r="R3" s="66"/>
      <c r="S3" s="66"/>
      <c r="T3" s="66"/>
      <c r="U3" s="66"/>
      <c r="V3" s="66"/>
      <c r="W3" s="66"/>
      <c r="X3" s="66"/>
      <c r="Y3" s="66"/>
      <c r="Z3" s="66"/>
      <c r="AA3" s="66"/>
      <c r="AB3" s="66"/>
      <c r="AC3" s="66"/>
    </row>
    <row r="4" spans="2:29" ht="18" customHeight="1">
      <c r="B4" s="319" t="s">
        <v>545</v>
      </c>
      <c r="C4" s="320"/>
      <c r="D4" s="320"/>
      <c r="E4" s="320"/>
      <c r="F4" s="320"/>
      <c r="G4" s="321"/>
      <c r="H4" s="112"/>
      <c r="I4" s="112"/>
      <c r="J4" s="112"/>
      <c r="K4" s="112"/>
      <c r="L4" s="113"/>
      <c r="M4" s="65"/>
      <c r="N4" s="65"/>
      <c r="O4" s="65"/>
      <c r="P4" s="134" t="s">
        <v>475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544</v>
      </c>
      <c r="C8" s="115"/>
      <c r="D8" s="115"/>
      <c r="E8" s="128">
        <f>VLOOKUP('Hide - Control'!A$3,'All practice data'!A:CA,4,FALSE)</f>
        <v>3482</v>
      </c>
      <c r="F8" s="310" t="str">
        <f>VLOOKUP('Hide - Control'!B4,'Hide - Calculation'!AY:BA,3,FALSE)</f>
        <v> </v>
      </c>
      <c r="G8" s="310"/>
      <c r="H8" s="310"/>
      <c r="I8" s="115"/>
      <c r="J8" s="115"/>
      <c r="K8" s="115"/>
      <c r="L8" s="115"/>
      <c r="M8" s="109"/>
      <c r="N8" s="314" t="s">
        <v>484</v>
      </c>
      <c r="O8" s="314"/>
      <c r="P8" s="314"/>
      <c r="Q8" s="314" t="s">
        <v>32</v>
      </c>
      <c r="R8" s="314"/>
      <c r="S8" s="314"/>
      <c r="T8" s="314" t="s">
        <v>548</v>
      </c>
      <c r="U8" s="314"/>
      <c r="V8" s="314" t="s">
        <v>33</v>
      </c>
      <c r="W8" s="314"/>
      <c r="X8" s="314"/>
      <c r="Y8" s="135"/>
      <c r="Z8" s="314" t="s">
        <v>477</v>
      </c>
      <c r="AA8" s="314"/>
      <c r="AB8" s="161"/>
      <c r="AC8" s="109"/>
    </row>
    <row r="9" spans="2:29" s="61" customFormat="1" ht="19.5" customHeight="1" thickBot="1">
      <c r="B9" s="114" t="s">
        <v>469</v>
      </c>
      <c r="C9" s="114"/>
      <c r="D9" s="114"/>
      <c r="E9" s="129">
        <f>VLOOKUP('Hide - Control'!B4,'Hide - Calculation'!AY:BB,4,FALSE)</f>
        <v>186689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447</v>
      </c>
      <c r="E11" s="317"/>
      <c r="F11" s="318"/>
      <c r="G11" s="263" t="s">
        <v>445</v>
      </c>
      <c r="H11" s="255" t="s">
        <v>446</v>
      </c>
      <c r="I11" s="255" t="s">
        <v>457</v>
      </c>
      <c r="J11" s="255" t="s">
        <v>458</v>
      </c>
      <c r="K11" s="255" t="s">
        <v>331</v>
      </c>
      <c r="L11" s="256" t="s">
        <v>371</v>
      </c>
      <c r="M11" s="257" t="s">
        <v>467</v>
      </c>
      <c r="N11" s="334" t="s">
        <v>465</v>
      </c>
      <c r="O11" s="334"/>
      <c r="P11" s="334"/>
      <c r="Q11" s="334"/>
      <c r="R11" s="334"/>
      <c r="S11" s="334"/>
      <c r="T11" s="334"/>
      <c r="U11" s="334"/>
      <c r="V11" s="334"/>
      <c r="W11" s="334"/>
      <c r="X11" s="334"/>
      <c r="Y11" s="334"/>
      <c r="Z11" s="334"/>
      <c r="AA11" s="258" t="s">
        <v>468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329</v>
      </c>
      <c r="C13" s="163">
        <v>1</v>
      </c>
      <c r="D13" s="312" t="s">
        <v>325</v>
      </c>
      <c r="E13" s="313"/>
      <c r="F13" s="313"/>
      <c r="G13" s="166">
        <f>IF(VLOOKUP('Hide - Control'!A$3,'All practice data'!A:CA,C13+4,FALSE)=" "," ",VLOOKUP('Hide - Control'!A$3,'All practice data'!A:CA,C13+4,FALSE))</f>
        <v>299</v>
      </c>
      <c r="H13" s="190">
        <f>IF(VLOOKUP('Hide - Control'!A$3,'All practice data'!A:CA,C13+30,FALSE)=" "," ",VLOOKUP('Hide - Control'!A$3,'All practice data'!A:CA,C13+30,FALSE))</f>
        <v>0.08587018954623779</v>
      </c>
      <c r="I13" s="191">
        <f>IF(LEFT(G13,1)=" "," n/a",+((2*G13+1.96^2-1.96*SQRT(1.96^2+4*G13*(1-G13/E$8)))/(2*(E$8+1.96^2))))</f>
        <v>0.07701444200216055</v>
      </c>
      <c r="J13" s="191">
        <f>IF(LEFT(G13,1)=" "," n/a",+((2*G13+1.96^2+1.96*SQRT(1.96^2+4*G13*(1-G13/E$8)))/(2*(E$8+1.96^2))))</f>
        <v>0.09563872732142545</v>
      </c>
      <c r="K13" s="190">
        <f>IF('Hide - Calculation'!N7="","",'Hide - Calculation'!N7)</f>
        <v>0.09977020606463155</v>
      </c>
      <c r="L13" s="192">
        <f>'Hide - Calculation'!O7</f>
        <v>0.1599882305185145</v>
      </c>
      <c r="M13" s="208">
        <f>IF(ISBLANK('Hide - Calculation'!K7),"",'Hide - Calculation'!U7)</f>
        <v>0.03982985392212868</v>
      </c>
      <c r="N13" s="173"/>
      <c r="O13" s="173"/>
      <c r="P13" s="173"/>
      <c r="Q13" s="173"/>
      <c r="R13" s="173"/>
      <c r="S13" s="173"/>
      <c r="T13" s="173"/>
      <c r="U13" s="173"/>
      <c r="V13" s="173"/>
      <c r="W13" s="173"/>
      <c r="X13" s="173"/>
      <c r="Y13" s="173"/>
      <c r="Z13" s="173"/>
      <c r="AA13" s="226">
        <f>IF(ISBLANK('Hide - Calculation'!K7),"",'Hide - Calculation'!T7)</f>
        <v>0.1713646501302719</v>
      </c>
      <c r="AB13" s="233" t="s">
        <v>542</v>
      </c>
      <c r="AC13" s="209" t="s">
        <v>543</v>
      </c>
    </row>
    <row r="14" spans="2:29" ht="33.75" customHeight="1">
      <c r="B14" s="306"/>
      <c r="C14" s="137">
        <v>2</v>
      </c>
      <c r="D14" s="132" t="s">
        <v>478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0.26</v>
      </c>
      <c r="I14" s="120">
        <f>IF(LEFT(G14,1)=" "," n/a",+((2*H14*E8+1.96^2-1.96*SQRT(1.96^2+4*H14*E8*(1-H14*E8/E$8)))/(2*(E$8+1.96^2))))</f>
        <v>0.24570063672651088</v>
      </c>
      <c r="J14" s="120">
        <f>IF(LEFT(G14,1)=" "," n/a",+((2*H14*E8+1.96^2+1.96*SQRT(1.96^2+4*H14*E8*(1-H14*E8/E$8)))/(2*(E$8+1.96^2))))</f>
        <v>0.27482835116553794</v>
      </c>
      <c r="K14" s="119">
        <f>IF('Hide - Calculation'!N8="","",'Hide - Calculation'!N8)</f>
        <v>0.2646906887925909</v>
      </c>
      <c r="L14" s="155">
        <f>'Hide - Calculation'!O8</f>
        <v>0.15010930292554353</v>
      </c>
      <c r="M14" s="150">
        <f>IF(ISBLANK('Hide - Calculation'!K8),"",'Hide - Calculation'!U8)</f>
        <v>0.17000000178813934</v>
      </c>
      <c r="N14" s="84"/>
      <c r="O14" s="84"/>
      <c r="P14" s="84"/>
      <c r="Q14" s="84"/>
      <c r="R14" s="84"/>
      <c r="S14" s="84"/>
      <c r="T14" s="84"/>
      <c r="U14" s="84"/>
      <c r="V14" s="84"/>
      <c r="W14" s="84"/>
      <c r="X14" s="84"/>
      <c r="Y14" s="84"/>
      <c r="Z14" s="84"/>
      <c r="AA14" s="227">
        <f>IF(ISBLANK('Hide - Calculation'!K8),"",'Hide - Calculation'!T8)</f>
        <v>0.3400000035762787</v>
      </c>
      <c r="AB14" s="234" t="s">
        <v>39</v>
      </c>
      <c r="AC14" s="130" t="s">
        <v>543</v>
      </c>
    </row>
    <row r="15" spans="2:39" s="63" customFormat="1" ht="33.75" customHeight="1">
      <c r="B15" s="306"/>
      <c r="C15" s="137">
        <v>3</v>
      </c>
      <c r="D15" s="132" t="s">
        <v>334</v>
      </c>
      <c r="E15" s="85"/>
      <c r="F15" s="85"/>
      <c r="G15" s="121">
        <f>IF(VLOOKUP('Hide - Control'!A$3,'All practice data'!A:CA,C15+4,FALSE)=" "," ",VLOOKUP('Hide - Control'!A$3,'All practice data'!A:CA,C15+4,FALSE))</f>
        <v>11</v>
      </c>
      <c r="H15" s="122">
        <f>IF(VLOOKUP('Hide - Control'!A$3,'All practice data'!A:CA,C15+30,FALSE)=" "," ",VLOOKUP('Hide - Control'!A$3,'All practice data'!A:CA,C15+30,FALSE))</f>
        <v>315.9103963239518</v>
      </c>
      <c r="I15" s="123">
        <f>IF(LEFT(G15,1)=" "," n/a",IF(G15&lt;5,100000*VLOOKUP(G15,'Hide - Calculation'!AQ:AR,2,FALSE)/$E$8,100000*(G15*(1-1/(9*G15)-1.96/(3*SQRT(G15)))^3)/$E$8))</f>
        <v>157.48463811001682</v>
      </c>
      <c r="J15" s="123">
        <f>IF(LEFT(G15,1)=" "," n/a",IF(G15&lt;5,100000*VLOOKUP(G15,'Hide - Calculation'!AQ:AS,3,FALSE)/$E$8,100000*((G15+1)*(1-1/(9*(G15+1))+1.96/(3*SQRT(G15+1)))^3)/$E$8))</f>
        <v>565.2903687367555</v>
      </c>
      <c r="K15" s="122">
        <f>IF('Hide - Calculation'!N9="","",'Hide - Calculation'!N9)</f>
        <v>294.6076094467269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751.7084350585938</v>
      </c>
      <c r="AB15" s="234" t="s">
        <v>448</v>
      </c>
      <c r="AC15" s="131">
        <v>2009</v>
      </c>
      <c r="AD15" s="64"/>
      <c r="AE15" s="64"/>
      <c r="AF15" s="64"/>
      <c r="AG15" s="64"/>
      <c r="AH15" s="64"/>
      <c r="AI15" s="64"/>
      <c r="AJ15" s="64"/>
      <c r="AK15" s="64"/>
      <c r="AL15" s="64"/>
      <c r="AM15" s="64"/>
    </row>
    <row r="16" spans="2:29" s="63" customFormat="1" ht="33.75" customHeight="1">
      <c r="B16" s="306"/>
      <c r="C16" s="137">
        <v>4</v>
      </c>
      <c r="D16" s="132" t="s">
        <v>470</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191.22712104087546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564.0925903320312</v>
      </c>
      <c r="AB16" s="234" t="s">
        <v>328</v>
      </c>
      <c r="AC16" s="131" t="s">
        <v>502</v>
      </c>
    </row>
    <row r="17" spans="2:29" s="63" customFormat="1" ht="33.75" customHeight="1" thickBot="1">
      <c r="B17" s="309"/>
      <c r="C17" s="180">
        <v>5</v>
      </c>
      <c r="D17" s="195" t="s">
        <v>333</v>
      </c>
      <c r="E17" s="182"/>
      <c r="F17" s="182"/>
      <c r="G17" s="140">
        <f>IF(VLOOKUP('Hide - Control'!A$3,'All practice data'!A:CA,C17+4,FALSE)=" "," ",VLOOKUP('Hide - Control'!A$3,'All practice data'!A:CA,C17+4,FALSE))</f>
        <v>9</v>
      </c>
      <c r="H17" s="141">
        <f>IF(VLOOKUP('Hide - Control'!A$3,'All practice data'!A:CA,C17+30,FALSE)=" "," ",VLOOKUP('Hide - Control'!A$3,'All practice data'!A:CA,C17+30,FALSE))</f>
        <v>0.003</v>
      </c>
      <c r="I17" s="142">
        <f>IF(LEFT(G17,1)=" "," n/a",+((2*G17+1.96^2-1.96*SQRT(1.96^2+4*G17*(1-G17/E$8)))/(2*(E$8+1.96^2))))</f>
        <v>0.0013604312333342753</v>
      </c>
      <c r="J17" s="142">
        <f>IF(LEFT(G17,1)=" "," n/a",+((2*G17+1.96^2+1.96*SQRT(1.96^2+4*G17*(1-G17/E$8)))/(2*(E$8+1.96^2))))</f>
        <v>0.004905372697630344</v>
      </c>
      <c r="K17" s="141">
        <f>IF('Hide - Calculation'!N11="","",'Hide - Calculation'!N11)</f>
        <v>0.00974347711970175</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0.019999999552965164</v>
      </c>
      <c r="AB17" s="235" t="s">
        <v>471</v>
      </c>
      <c r="AC17" s="189" t="s">
        <v>502</v>
      </c>
    </row>
    <row r="18" spans="2:29" s="63" customFormat="1" ht="33.75" customHeight="1">
      <c r="B18" s="308" t="s">
        <v>13</v>
      </c>
      <c r="C18" s="163">
        <v>6</v>
      </c>
      <c r="D18" s="164" t="s">
        <v>479</v>
      </c>
      <c r="E18" s="165"/>
      <c r="F18" s="165"/>
      <c r="G18" s="219">
        <f>IF(OR(VLOOKUP('Hide - Control'!A$3,'All practice data'!A:CA,C18+4,FALSE)=" ",VLOOKUP('Hide - Control'!A$3,'All practice data'!A:CA,C18+52,FALSE)=0)," n/a",VLOOKUP('Hide - Control'!A$3,'All practice data'!A:CA,C18+4,FALSE))</f>
        <v>117</v>
      </c>
      <c r="H18" s="220">
        <f>IF(OR(VLOOKUP('Hide - Control'!A$3,'All practice data'!A:CA,C18+30,FALSE)=" ",VLOOKUP('Hide - Control'!A$3,'All practice data'!A:CA,C18+52,FALSE)=0)," n/a",VLOOKUP('Hide - Control'!A$3,'All practice data'!A:CA,C18+30,FALSE))</f>
        <v>0.5625</v>
      </c>
      <c r="I18" s="191">
        <f>IF(OR(LEFT(H18,1)=" ",VLOOKUP('Hide - Control'!A$3,'All practice data'!A:CA,C18+52,FALSE)=0)," n/a",+((2*G18+1.96^2-1.96*SQRT(1.96^2+4*G18*(1-G18/(VLOOKUP('Hide - Control'!A$3,'All practice data'!A:CA,C18+52,FALSE)))))/(2*(((VLOOKUP('Hide - Control'!A$3,'All practice data'!A:CA,C18+52,FALSE)))+1.96^2))))</f>
        <v>0.4945532578732267</v>
      </c>
      <c r="J18" s="191">
        <f>IF(OR(LEFT(H18,1)=" ",VLOOKUP('Hide - Control'!A$3,'All practice data'!A:CA,C18+52,FALSE)=0)," n/a",+((2*G18+1.96^2+1.96*SQRT(1.96^2+4*G18*(1-G18/(VLOOKUP('Hide - Control'!A$3,'All practice data'!A:CA,C18+52,FALSE)))))/(2*((VLOOKUP('Hide - Control'!A$3,'All practice data'!A:CA,C18+52,FALSE))+1.96^2))))</f>
        <v>0.6281799541115771</v>
      </c>
      <c r="K18" s="220">
        <f>IF('Hide - Calculation'!N12="","",'Hide - Calculation'!N12)</f>
        <v>0.6388138385502471</v>
      </c>
      <c r="L18" s="192">
        <f>'Hide - Calculation'!O12</f>
        <v>0.7248631360507991</v>
      </c>
      <c r="M18" s="193">
        <f>IF(ISBLANK('Hide - Calculation'!K12),"",'Hide - Calculation'!U12)</f>
        <v>0.4967530071735382</v>
      </c>
      <c r="N18" s="194"/>
      <c r="O18" s="173"/>
      <c r="P18" s="173"/>
      <c r="Q18" s="173"/>
      <c r="R18" s="173"/>
      <c r="S18" s="173"/>
      <c r="T18" s="173"/>
      <c r="U18" s="173"/>
      <c r="V18" s="173"/>
      <c r="W18" s="173"/>
      <c r="X18" s="173"/>
      <c r="Y18" s="173"/>
      <c r="Z18" s="174"/>
      <c r="AA18" s="193">
        <f>IF(ISBLANK('Hide - Calculation'!K12),"",'Hide - Calculation'!T12)</f>
        <v>0.7371540069580078</v>
      </c>
      <c r="AB18" s="233" t="s">
        <v>48</v>
      </c>
      <c r="AC18" s="175" t="s">
        <v>503</v>
      </c>
    </row>
    <row r="19" spans="2:29" s="63" customFormat="1" ht="33.75" customHeight="1">
      <c r="B19" s="306"/>
      <c r="C19" s="137">
        <v>7</v>
      </c>
      <c r="D19" s="132" t="s">
        <v>480</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0.6676904176904177</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0.8409090042114258</v>
      </c>
      <c r="AB19" s="234" t="s">
        <v>48</v>
      </c>
      <c r="AC19" s="131" t="s">
        <v>502</v>
      </c>
    </row>
    <row r="20" spans="2:29" s="63" customFormat="1" ht="33.75" customHeight="1">
      <c r="B20" s="306"/>
      <c r="C20" s="137">
        <v>8</v>
      </c>
      <c r="D20" s="132" t="s">
        <v>481</v>
      </c>
      <c r="E20" s="85"/>
      <c r="F20" s="85"/>
      <c r="G20" s="221">
        <f>IF(OR(VLOOKUP('Hide - Control'!A$3,'All practice data'!A:CA,C20+4,FALSE)=" ",VLOOKUP('Hide - Control'!A$3,'All practice data'!A:CA,C20+52,FALSE)=0)," n/a",VLOOKUP('Hide - Control'!A$3,'All practice data'!A:CA,C20+4,FALSE))</f>
        <v>724</v>
      </c>
      <c r="H20" s="218">
        <f>IF(OR(VLOOKUP('Hide - Control'!A$3,'All practice data'!A:CA,C20+30,FALSE)=" ",VLOOKUP('Hide - Control'!A$3,'All practice data'!A:CA,C20+52,FALSE)=0)," n/a",VLOOKUP('Hide - Control'!A$3,'All practice data'!A:CA,C20+30,FALSE))</f>
        <v>0.717542</v>
      </c>
      <c r="I20" s="120">
        <f>IF(OR(LEFT(H20,1)=" ",VLOOKUP('Hide - Control'!A$3,'All practice data'!A:CA,C20+52,FALSE)=0)," n/a",+((2*G20+1.96^2-1.96*SQRT(1.96^2+4*G20*(1-G20/(VLOOKUP('Hide - Control'!A$3,'All practice data'!A:CA,C20+52,FALSE)))))/(2*(((VLOOKUP('Hide - Control'!A$3,'All practice data'!A:CA,C20+52,FALSE)))+1.96^2))))</f>
        <v>0.6889788192476884</v>
      </c>
      <c r="J20" s="120">
        <f>IF(OR(LEFT(H20,1)=" ",VLOOKUP('Hide - Control'!A$3,'All practice data'!A:CA,C20+52,FALSE)=0)," n/a",+((2*G20+1.96^2+1.96*SQRT(1.96^2+4*G20*(1-G20/(VLOOKUP('Hide - Control'!A$3,'All practice data'!A:CA,C20+52,FALSE)))))/(2*((VLOOKUP('Hide - Control'!A$3,'All practice data'!A:CA,C20+52,FALSE))+1.96^2))))</f>
        <v>0.7444551945210983</v>
      </c>
      <c r="K20" s="218">
        <f>IF('Hide - Calculation'!N14="","",'Hide - Calculation'!N14)</f>
        <v>0.71310494834149</v>
      </c>
      <c r="L20" s="155">
        <f>'Hide - Calculation'!O14</f>
        <v>0.7559681673907895</v>
      </c>
      <c r="M20" s="152">
        <f>IF(ISBLANK('Hide - Calculation'!K14),"",'Hide - Calculation'!U14)</f>
        <v>0.554606020450592</v>
      </c>
      <c r="N20" s="160"/>
      <c r="O20" s="84"/>
      <c r="P20" s="84"/>
      <c r="Q20" s="84"/>
      <c r="R20" s="84"/>
      <c r="S20" s="84"/>
      <c r="T20" s="84"/>
      <c r="U20" s="84"/>
      <c r="V20" s="84"/>
      <c r="W20" s="84"/>
      <c r="X20" s="84"/>
      <c r="Y20" s="84"/>
      <c r="Z20" s="88"/>
      <c r="AA20" s="152">
        <f>IF(ISBLANK('Hide - Calculation'!K14),"",'Hide - Calculation'!T14)</f>
        <v>0.8608959913253784</v>
      </c>
      <c r="AB20" s="234" t="s">
        <v>48</v>
      </c>
      <c r="AC20" s="131" t="s">
        <v>504</v>
      </c>
    </row>
    <row r="21" spans="2:29" s="63" customFormat="1" ht="33.75" customHeight="1">
      <c r="B21" s="306"/>
      <c r="C21" s="137">
        <v>9</v>
      </c>
      <c r="D21" s="132" t="s">
        <v>482</v>
      </c>
      <c r="E21" s="85"/>
      <c r="F21" s="85"/>
      <c r="G21" s="221">
        <f>IF(OR(VLOOKUP('Hide - Control'!A$3,'All practice data'!A:CA,C21+4,FALSE)=" ",VLOOKUP('Hide - Control'!A$3,'All practice data'!A:CA,C21+52,FALSE)=0)," n/a",VLOOKUP('Hide - Control'!A$3,'All practice data'!A:CA,C21+4,FALSE))</f>
        <v>55</v>
      </c>
      <c r="H21" s="218">
        <f>IF(OR(VLOOKUP('Hide - Control'!A$3,'All practice data'!A:CA,C21+30,FALSE)=" ",VLOOKUP('Hide - Control'!A$3,'All practice data'!A:CA,C21+52,FALSE)=0)," n/a",VLOOKUP('Hide - Control'!A$3,'All practice data'!A:CA,C21+30,FALSE))</f>
        <v>0.354839</v>
      </c>
      <c r="I21" s="120">
        <f>IF(OR(LEFT(H21,1)=" ",VLOOKUP('Hide - Control'!A$3,'All practice data'!A:CA,C21+52,FALSE)=0)," n/a",+((2*G21+1.96^2-1.96*SQRT(1.96^2+4*G21*(1-G21/(VLOOKUP('Hide - Control'!A$3,'All practice data'!A:CA,C21+52,FALSE)))))/(2*(((VLOOKUP('Hide - Control'!A$3,'All practice data'!A:CA,C21+52,FALSE)))+1.96^2))))</f>
        <v>0.28385799593700395</v>
      </c>
      <c r="J21" s="120">
        <f>IF(OR(LEFT(H21,1)=" ",VLOOKUP('Hide - Control'!A$3,'All practice data'!A:CA,C21+52,FALSE)=0)," n/a",+((2*G21+1.96^2+1.96*SQRT(1.96^2+4*G21*(1-G21/(VLOOKUP('Hide - Control'!A$3,'All practice data'!A:CA,C21+52,FALSE)))))/(2*((VLOOKUP('Hide - Control'!A$3,'All practice data'!A:CA,C21+52,FALSE))+1.96^2))))</f>
        <v>0.43284090409925857</v>
      </c>
      <c r="K21" s="218">
        <f>IF('Hide - Calculation'!N15="","",'Hide - Calculation'!N15)</f>
        <v>0.3954253882511816</v>
      </c>
      <c r="L21" s="155">
        <f>'Hide - Calculation'!O15</f>
        <v>0.5147293797466616</v>
      </c>
      <c r="M21" s="152">
        <f>IF(ISBLANK('Hide - Calculation'!K15),"",'Hide - Calculation'!U15)</f>
        <v>0.24886900186538696</v>
      </c>
      <c r="N21" s="160"/>
      <c r="O21" s="84"/>
      <c r="P21" s="84"/>
      <c r="Q21" s="84"/>
      <c r="R21" s="84"/>
      <c r="S21" s="84"/>
      <c r="T21" s="84"/>
      <c r="U21" s="84"/>
      <c r="V21" s="84"/>
      <c r="W21" s="84"/>
      <c r="X21" s="84"/>
      <c r="Y21" s="84"/>
      <c r="Z21" s="88"/>
      <c r="AA21" s="152">
        <f>IF(ISBLANK('Hide - Calculation'!K15),"",'Hide - Calculation'!T15)</f>
        <v>0.5114679932594299</v>
      </c>
      <c r="AB21" s="234" t="s">
        <v>48</v>
      </c>
      <c r="AC21" s="131" t="s">
        <v>503</v>
      </c>
    </row>
    <row r="22" spans="2:29" s="63" customFormat="1" ht="33.75" customHeight="1" thickBot="1">
      <c r="B22" s="309"/>
      <c r="C22" s="180">
        <v>10</v>
      </c>
      <c r="D22" s="195" t="s">
        <v>483</v>
      </c>
      <c r="E22" s="182"/>
      <c r="F22" s="182"/>
      <c r="G22" s="222">
        <f>IF(OR(VLOOKUP('Hide - Control'!A$3,'All practice data'!A:CA,C22+4,FALSE)=" ",VLOOKUP('Hide - Control'!A$3,'All practice data'!A:CA,C22+52,FALSE)=0)," n/a",VLOOKUP('Hide - Control'!A$3,'All practice data'!A:CA,C22+4,FALSE))</f>
        <v>35</v>
      </c>
      <c r="H22" s="223">
        <f>IF(OR(VLOOKUP('Hide - Control'!A$3,'All practice data'!A:CA,C22+30,FALSE)=" ",VLOOKUP('Hide - Control'!A$3,'All practice data'!A:CA,C22+52,FALSE)=0)," n/a",VLOOKUP('Hide - Control'!A$3,'All practice data'!A:CA,C22+30,FALSE))</f>
        <v>0.5</v>
      </c>
      <c r="I22" s="196">
        <f>IF(OR(LEFT(H22,1)=" ",VLOOKUP('Hide - Control'!A$3,'All practice data'!A:CA,C22+52,FALSE)=0)," n/a",+((2*G22+1.96^2-1.96*SQRT(1.96^2+4*G22*(1-G22/(VLOOKUP('Hide - Control'!A$3,'All practice data'!A:CA,C22+52,FALSE)))))/(2*(((VLOOKUP('Hide - Control'!A$3,'All practice data'!A:CA,C22+52,FALSE)))+1.96^2))))</f>
        <v>0.3859551898733622</v>
      </c>
      <c r="J22" s="196">
        <f>IF(OR(LEFT(H22,1)=" ",VLOOKUP('Hide - Control'!A$3,'All practice data'!A:CA,C22+52,FALSE)=0)," n/a",+((2*G22+1.96^2+1.96*SQRT(1.96^2+4*G22*(1-G22/(VLOOKUP('Hide - Control'!A$3,'All practice data'!A:CA,C22+52,FALSE)))))/(2*((VLOOKUP('Hide - Control'!A$3,'All practice data'!A:CA,C22+52,FALSE))+1.96^2))))</f>
        <v>0.6140448101266378</v>
      </c>
      <c r="K22" s="223">
        <f>IF('Hide - Calculation'!N16="","",'Hide - Calculation'!N16)</f>
        <v>0.4514072119613017</v>
      </c>
      <c r="L22" s="197">
        <f>'Hide - Calculation'!O16</f>
        <v>0.5752927626212945</v>
      </c>
      <c r="M22" s="198">
        <f>IF(ISBLANK('Hide - Calculation'!K16),"",'Hide - Calculation'!U16)</f>
        <v>0.26315799355506897</v>
      </c>
      <c r="N22" s="199"/>
      <c r="O22" s="91"/>
      <c r="P22" s="91"/>
      <c r="Q22" s="91"/>
      <c r="R22" s="91"/>
      <c r="S22" s="91"/>
      <c r="T22" s="91"/>
      <c r="U22" s="91"/>
      <c r="V22" s="91"/>
      <c r="W22" s="91"/>
      <c r="X22" s="91"/>
      <c r="Y22" s="91"/>
      <c r="Z22" s="188"/>
      <c r="AA22" s="198">
        <f>IF(ISBLANK('Hide - Calculation'!K16),"",'Hide - Calculation'!T16)</f>
        <v>0.5748500227928162</v>
      </c>
      <c r="AB22" s="235" t="s">
        <v>48</v>
      </c>
      <c r="AC22" s="189" t="s">
        <v>502</v>
      </c>
    </row>
    <row r="23" spans="2:29" s="63" customFormat="1" ht="33.75" customHeight="1">
      <c r="B23" s="308" t="s">
        <v>323</v>
      </c>
      <c r="C23" s="163">
        <v>11</v>
      </c>
      <c r="D23" s="179" t="s">
        <v>335</v>
      </c>
      <c r="E23" s="165"/>
      <c r="F23" s="165"/>
      <c r="G23" s="118">
        <f>IF(VLOOKUP('Hide - Control'!A$3,'All practice data'!A:CA,C23+4,FALSE)=" "," ",VLOOKUP('Hide - Control'!A$3,'All practice data'!A:CA,C23+4,FALSE))</f>
        <v>57</v>
      </c>
      <c r="H23" s="216">
        <f>IF(VLOOKUP('Hide - Control'!A$3,'All practice data'!A:CA,C23+30,FALSE)=" "," ",VLOOKUP('Hide - Control'!A$3,'All practice data'!A:CA,C23+30,FALSE))</f>
        <v>1636.9902354968408</v>
      </c>
      <c r="I23" s="215">
        <f>IF(LEFT(G23,1)=" "," n/a",IF(G23&lt;5,100000*VLOOKUP(G23,'Hide - Calculation'!AQ:AR,2,FALSE)/$E$8,100000*(G23*(1-1/(9*G23)-1.96/(3*SQRT(G23)))^3)/$E$8))</f>
        <v>1239.7580340399036</v>
      </c>
      <c r="J23" s="215">
        <f>IF(LEFT(G23,1)=" "," n/a",IF(G23&lt;5,100000*VLOOKUP(G23,'Hide - Calculation'!AQ:AS,3,FALSE)/$E$8,100000*((G23+1)*(1-1/(9*(G23+1))+1.96/(3*SQRT(G23+1)))^3)/$E$8))</f>
        <v>2120.9586876378244</v>
      </c>
      <c r="K23" s="216">
        <f>IF('Hide - Calculation'!N17="","",'Hide - Calculation'!N17)</f>
        <v>1475.7162982286047</v>
      </c>
      <c r="L23" s="217">
        <f>'Hide - Calculation'!O17</f>
        <v>1812.1669120472948</v>
      </c>
      <c r="M23" s="170">
        <f>IF(ISBLANK('Hide - Calculation'!K17),"",'Hide - Calculation'!U17)</f>
        <v>292.8587646484375</v>
      </c>
      <c r="N23" s="171"/>
      <c r="O23" s="172"/>
      <c r="P23" s="172"/>
      <c r="Q23" s="172"/>
      <c r="R23" s="173"/>
      <c r="S23" s="173"/>
      <c r="T23" s="173"/>
      <c r="U23" s="173"/>
      <c r="V23" s="173"/>
      <c r="W23" s="173"/>
      <c r="X23" s="173"/>
      <c r="Y23" s="173"/>
      <c r="Z23" s="174"/>
      <c r="AA23" s="170">
        <f>IF(ISBLANK('Hide - Calculation'!K17),"",'Hide - Calculation'!T17)</f>
        <v>3440.62158203125</v>
      </c>
      <c r="AB23" s="233" t="s">
        <v>26</v>
      </c>
      <c r="AC23" s="175" t="s">
        <v>502</v>
      </c>
    </row>
    <row r="24" spans="2:29" s="63" customFormat="1" ht="33.75" customHeight="1">
      <c r="B24" s="306"/>
      <c r="C24" s="137">
        <v>12</v>
      </c>
      <c r="D24" s="147" t="s">
        <v>489</v>
      </c>
      <c r="E24" s="85"/>
      <c r="F24" s="85"/>
      <c r="G24" s="118">
        <f>IF(VLOOKUP('Hide - Control'!A$3,'All practice data'!A:CA,C24+4,FALSE)=" "," ",VLOOKUP('Hide - Control'!A$3,'All practice data'!A:CA,C24+4,FALSE))</f>
        <v>57</v>
      </c>
      <c r="H24" s="119">
        <f>IF(VLOOKUP('Hide - Control'!A$3,'All practice data'!A:CA,C24+30,FALSE)=" "," ",VLOOKUP('Hide - Control'!A$3,'All practice data'!A:CA,C24+30,FALSE))</f>
        <v>1.2046704099999999</v>
      </c>
      <c r="I24" s="212">
        <f>IF(LEFT(VLOOKUP('Hide - Control'!A$3,'All practice data'!A:CA,C24+44,FALSE),1)=" "," n/a",VLOOKUP('Hide - Control'!A$3,'All practice data'!A:CA,C24+44,FALSE))</f>
        <v>0.9124056244000001</v>
      </c>
      <c r="J24" s="212">
        <f>IF(LEFT(VLOOKUP('Hide - Control'!A$3,'All practice data'!A:CA,C24+45,FALSE),1)=" "," n/a",VLOOKUP('Hide - Control'!A$3,'All practice data'!A:CA,C24+45,FALSE))</f>
        <v>1.5607902530000002</v>
      </c>
      <c r="K24" s="152" t="s">
        <v>547</v>
      </c>
      <c r="L24" s="213">
        <v>1</v>
      </c>
      <c r="M24" s="152">
        <f>IF(ISBLANK('Hide - Calculation'!K18),"",'Hide - Calculation'!U18)</f>
        <v>0.26668721437454224</v>
      </c>
      <c r="N24" s="86"/>
      <c r="O24" s="87"/>
      <c r="P24" s="87"/>
      <c r="Q24" s="87"/>
      <c r="R24" s="84"/>
      <c r="S24" s="84"/>
      <c r="T24" s="84"/>
      <c r="U24" s="84"/>
      <c r="V24" s="84"/>
      <c r="W24" s="84"/>
      <c r="X24" s="84"/>
      <c r="Y24" s="84"/>
      <c r="Z24" s="88"/>
      <c r="AA24" s="152">
        <f>IF(ISBLANK('Hide - Calculation'!K18),"",'Hide - Calculation'!T18)</f>
        <v>2.082023859024048</v>
      </c>
      <c r="AB24" s="234" t="s">
        <v>26</v>
      </c>
      <c r="AC24" s="131" t="s">
        <v>502</v>
      </c>
    </row>
    <row r="25" spans="2:29" s="63" customFormat="1" ht="33.75" customHeight="1">
      <c r="B25" s="306"/>
      <c r="C25" s="137">
        <v>13</v>
      </c>
      <c r="D25" s="147" t="s">
        <v>330</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0.09945553539019963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0.20000000298023224</v>
      </c>
      <c r="AB25" s="234" t="s">
        <v>26</v>
      </c>
      <c r="AC25" s="131" t="s">
        <v>502</v>
      </c>
    </row>
    <row r="26" spans="2:29" s="63" customFormat="1" ht="33.75" customHeight="1">
      <c r="B26" s="306"/>
      <c r="C26" s="137">
        <v>14</v>
      </c>
      <c r="D26" s="147" t="s">
        <v>472</v>
      </c>
      <c r="E26" s="85"/>
      <c r="F26" s="85"/>
      <c r="G26" s="121">
        <f>IF(VLOOKUP('Hide - Control'!A$3,'All practice data'!A:CA,C26+4,FALSE)=" "," ",VLOOKUP('Hide - Control'!A$3,'All practice data'!A:CA,C26+4,FALSE))</f>
        <v>6</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0.4756944444444444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0.7333333492279053</v>
      </c>
      <c r="AB26" s="234" t="s">
        <v>26</v>
      </c>
      <c r="AC26" s="131" t="s">
        <v>502</v>
      </c>
    </row>
    <row r="27" spans="2:29" s="63" customFormat="1" ht="33.75" customHeight="1">
      <c r="B27" s="306"/>
      <c r="C27" s="137">
        <v>15</v>
      </c>
      <c r="D27" s="147" t="s">
        <v>459</v>
      </c>
      <c r="E27" s="85"/>
      <c r="F27" s="85"/>
      <c r="G27" s="121">
        <f>IF(VLOOKUP('Hide - Control'!A$3,'All practice data'!A:CA,C27+4,FALSE)=" "," ",VLOOKUP('Hide - Control'!A$3,'All practice data'!A:CA,C27+4,FALSE))</f>
        <v>9</v>
      </c>
      <c r="H27" s="122">
        <f>IF(VLOOKUP('Hide - Control'!A$3,'All practice data'!A:CA,C27+30,FALSE)=" "," ",VLOOKUP('Hide - Control'!A$3,'All practice data'!A:CA,C27+30,FALSE))</f>
        <v>258.4721424468696</v>
      </c>
      <c r="I27" s="123">
        <f>IF(LEFT(G27,1)=" "," n/a",IF(G27&lt;5,100000*VLOOKUP(G27,'Hide - Calculation'!AQ:AR,2,FALSE)/$E$8,100000*(G27*(1-1/(9*G27)-1.96/(3*SQRT(G27)))^3)/$E$8))</f>
        <v>117.94431313963696</v>
      </c>
      <c r="J27" s="123">
        <f>IF(LEFT(G27,1)=" "," n/a",IF(G27&lt;5,100000*VLOOKUP(G27,'Hide - Calculation'!AQ:AS,3,FALSE)/$E$8,100000*((G27+1)*(1-1/(9*(G27+1))+1.96/(3*SQRT(G27+1)))^3)/$E$8))</f>
        <v>490.6933791135917</v>
      </c>
      <c r="K27" s="122">
        <f>IF('Hide - Calculation'!N21="","",'Hide - Calculation'!N21)</f>
        <v>332.10312337631035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817.916259765625</v>
      </c>
      <c r="AB27" s="234" t="s">
        <v>26</v>
      </c>
      <c r="AC27" s="131" t="s">
        <v>502</v>
      </c>
    </row>
    <row r="28" spans="2:29" s="63" customFormat="1" ht="33.75" customHeight="1">
      <c r="B28" s="306"/>
      <c r="C28" s="137">
        <v>16</v>
      </c>
      <c r="D28" s="147" t="s">
        <v>460</v>
      </c>
      <c r="E28" s="85"/>
      <c r="F28" s="85"/>
      <c r="G28" s="121">
        <f>IF(VLOOKUP('Hide - Control'!A$3,'All practice data'!A:CA,C28+4,FALSE)=" "," ",VLOOKUP('Hide - Control'!A$3,'All practice data'!A:CA,C28+4,FALSE))</f>
        <v>6</v>
      </c>
      <c r="H28" s="122">
        <f>IF(VLOOKUP('Hide - Control'!A$3,'All practice data'!A:CA,C28+30,FALSE)=" "," ",VLOOKUP('Hide - Control'!A$3,'All practice data'!A:CA,C28+30,FALSE))</f>
        <v>172.3147616312464</v>
      </c>
      <c r="I28" s="123">
        <f>IF(LEFT(G28,1)=" "," n/a",IF(G28&lt;5,100000*VLOOKUP(G28,'Hide - Calculation'!AQ:AR,2,FALSE)/$E$8,100000*(G28*(1-1/(9*G28)-1.96/(3*SQRT(G28)))^3)/$E$8))</f>
        <v>62.92190524651578</v>
      </c>
      <c r="J28" s="123">
        <f>IF(LEFT(G28,1)=" "," n/a",IF(G28&lt;5,100000*VLOOKUP(G28,'Hide - Calculation'!AQ:AS,3,FALSE)/$E$8,100000*((G28+1)*(1-1/(9*(G28+1))+1.96/(3*SQRT(G28+1)))^3)/$E$8))</f>
        <v>375.0687900252085</v>
      </c>
      <c r="K28" s="122">
        <f>IF('Hide - Calculation'!N22="","",'Hide - Calculation'!N22)</f>
        <v>216.40268039359577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499.445068359375</v>
      </c>
      <c r="AB28" s="234" t="s">
        <v>26</v>
      </c>
      <c r="AC28" s="131" t="s">
        <v>502</v>
      </c>
    </row>
    <row r="29" spans="2:29" s="63" customFormat="1" ht="33.75" customHeight="1">
      <c r="B29" s="306"/>
      <c r="C29" s="137">
        <v>17</v>
      </c>
      <c r="D29" s="147" t="s">
        <v>461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47.13721751147631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146.54698181152344</v>
      </c>
      <c r="AB29" s="234" t="s">
        <v>26</v>
      </c>
      <c r="AC29" s="131" t="s">
        <v>502</v>
      </c>
    </row>
    <row r="30" spans="2:29" s="63" customFormat="1" ht="33.75" customHeight="1" thickBot="1">
      <c r="B30" s="309"/>
      <c r="C30" s="180">
        <v>18</v>
      </c>
      <c r="D30" s="181" t="s">
        <v>462</v>
      </c>
      <c r="E30" s="182"/>
      <c r="F30" s="182"/>
      <c r="G30" s="183">
        <f>IF(VLOOKUP('Hide - Control'!A$3,'All practice data'!A:CA,C30+4,FALSE)=" "," ",VLOOKUP('Hide - Control'!A$3,'All practice data'!A:CA,C30+4,FALSE))</f>
        <v>29</v>
      </c>
      <c r="H30" s="184">
        <f>IF(VLOOKUP('Hide - Control'!A$3,'All practice data'!A:CA,C30+30,FALSE)=" "," ",VLOOKUP('Hide - Control'!A$3,'All practice data'!A:CA,C30+30,FALSE))</f>
        <v>832.854681217691</v>
      </c>
      <c r="I30" s="185">
        <f>IF(LEFT(G30,1)=" "," n/a",IF(G30&lt;5,100000*VLOOKUP(G30,'Hide - Calculation'!AQ:AR,2,FALSE)/$E$8,100000*(G30*(1-1/(9*G30)-1.96/(3*SQRT(G30)))^3)/$E$8))</f>
        <v>557.6561385774526</v>
      </c>
      <c r="J30" s="185">
        <f>IF(LEFT(G30,1)=" "," n/a",IF(G30&lt;5,100000*VLOOKUP(G30,'Hide - Calculation'!AQ:AS,3,FALSE)/$E$8,100000*((G30+1)*(1-1/(9*(G30+1))+1.96/(3*SQRT(G30+1)))^3)/$E$8))</f>
        <v>1196.1686757493705</v>
      </c>
      <c r="K30" s="184">
        <f>IF('Hide - Calculation'!N24="","",'Hide - Calculation'!N24)</f>
        <v>229.25828516945293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832.8546752929688</v>
      </c>
      <c r="AB30" s="235" t="s">
        <v>26</v>
      </c>
      <c r="AC30" s="189" t="s">
        <v>502</v>
      </c>
    </row>
    <row r="31" spans="2:29" s="63" customFormat="1" ht="33.75" customHeight="1">
      <c r="B31" s="304" t="s">
        <v>332</v>
      </c>
      <c r="C31" s="163">
        <v>19</v>
      </c>
      <c r="D31" s="164" t="s">
        <v>336</v>
      </c>
      <c r="E31" s="165"/>
      <c r="F31" s="165"/>
      <c r="G31" s="166">
        <f>IF(VLOOKUP('Hide - Control'!A$3,'All practice data'!A:CA,C31+4,FALSE)=" "," ",VLOOKUP('Hide - Control'!A$3,'All practice data'!A:CA,C31+4,FALSE))</f>
        <v>9</v>
      </c>
      <c r="H31" s="167">
        <f>IF(VLOOKUP('Hide - Control'!A$3,'All practice data'!A:CA,C31+30,FALSE)=" "," ",VLOOKUP('Hide - Control'!A$3,'All practice data'!A:CA,C31+30,FALSE))</f>
        <v>258.4721424468696</v>
      </c>
      <c r="I31" s="168">
        <f>IF(LEFT(G31,1)=" "," n/a",IF(G31&lt;5,100000*VLOOKUP(G31,'Hide - Calculation'!AQ:AR,2,FALSE)/$E$8,100000*(G31*(1-1/(9*G31)-1.96/(3*SQRT(G31)))^3)/$E$8))</f>
        <v>117.94431313963696</v>
      </c>
      <c r="J31" s="168">
        <f>IF(LEFT(G31,1)=" "," n/a",IF(G31&lt;5,100000*VLOOKUP(G31,'Hide - Calculation'!AQ:AS,3,FALSE)/$E$8,100000*((G31+1)*(1-1/(9*(G31+1))+1.96/(3*SQRT(G31+1)))^3)/$E$8))</f>
        <v>490.6933791135917</v>
      </c>
      <c r="K31" s="167">
        <f>IF('Hide - Calculation'!N25="","",'Hide - Calculation'!N25)</f>
        <v>549.0414539689001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943.396240234375</v>
      </c>
      <c r="AB31" s="233" t="s">
        <v>47</v>
      </c>
      <c r="AC31" s="175" t="s">
        <v>502</v>
      </c>
    </row>
    <row r="32" spans="2:29" s="63" customFormat="1" ht="33.75" customHeight="1">
      <c r="B32" s="305"/>
      <c r="C32" s="137">
        <v>20</v>
      </c>
      <c r="D32" s="132" t="s">
        <v>337</v>
      </c>
      <c r="E32" s="85"/>
      <c r="F32" s="85"/>
      <c r="G32" s="121">
        <f>IF(VLOOKUP('Hide - Control'!A$3,'All practice data'!A:CA,C32+4,FALSE)=" "," ",VLOOKUP('Hide - Control'!A$3,'All practice data'!A:CA,C32+4,FALSE))</f>
        <v>9</v>
      </c>
      <c r="H32" s="122">
        <f>IF(VLOOKUP('Hide - Control'!A$3,'All practice data'!A:CA,C32+30,FALSE)=" "," ",VLOOKUP('Hide - Control'!A$3,'All practice data'!A:CA,C32+30,FALSE))</f>
        <v>258.4721424468696</v>
      </c>
      <c r="I32" s="123">
        <f>IF(LEFT(G32,1)=" "," n/a",IF(G32&lt;5,100000*VLOOKUP(G32,'Hide - Calculation'!AQ:AR,2,FALSE)/$E$8,100000*(G32*(1-1/(9*G32)-1.96/(3*SQRT(G32)))^3)/$E$8))</f>
        <v>117.94431313963696</v>
      </c>
      <c r="J32" s="123">
        <f>IF(LEFT(G32,1)=" "," n/a",IF(G32&lt;5,100000*VLOOKUP(G32,'Hide - Calculation'!AQ:AS,3,FALSE)/$E$8,100000*((G32+1)*(1-1/(9*(G32+1))+1.96/(3*SQRT(G32+1)))^3)/$E$8))</f>
        <v>490.6933791135917</v>
      </c>
      <c r="K32" s="122">
        <f>IF('Hide - Calculation'!N26="","",'Hide - Calculation'!N26)</f>
        <v>318.17621820246507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582.6859130859375</v>
      </c>
      <c r="AB32" s="234" t="s">
        <v>47</v>
      </c>
      <c r="AC32" s="131" t="s">
        <v>502</v>
      </c>
    </row>
    <row r="33" spans="2:29" s="63" customFormat="1" ht="33.75" customHeight="1">
      <c r="B33" s="305"/>
      <c r="C33" s="137">
        <v>21</v>
      </c>
      <c r="D33" s="132" t="s">
        <v>339</v>
      </c>
      <c r="E33" s="85"/>
      <c r="F33" s="85"/>
      <c r="G33" s="121">
        <f>IF(VLOOKUP('Hide - Control'!A$3,'All practice data'!A:CA,C33+4,FALSE)=" "," ",VLOOKUP('Hide - Control'!A$3,'All practice data'!A:CA,C33+4,FALSE))</f>
        <v>24</v>
      </c>
      <c r="H33" s="122">
        <f>IF(VLOOKUP('Hide - Control'!A$3,'All practice data'!A:CA,C33+30,FALSE)=" "," ",VLOOKUP('Hide - Control'!A$3,'All practice data'!A:CA,C33+30,FALSE))</f>
        <v>689.2590465249856</v>
      </c>
      <c r="I33" s="123">
        <f>IF(LEFT(G33,1)=" "," n/a",IF(G33&lt;5,100000*VLOOKUP(G33,'Hide - Calculation'!AQ:AR,2,FALSE)/$E$8,100000*(G33*(1-1/(9*G33)-1.96/(3*SQRT(G33)))^3)/$E$8))</f>
        <v>441.4873576898217</v>
      </c>
      <c r="J33" s="123">
        <f>IF(LEFT(G33,1)=" "," n/a",IF(G33&lt;5,100000*VLOOKUP(G33,'Hide - Calculation'!AQ:AS,3,FALSE)/$E$8,100000*((G33+1)*(1-1/(9*(G33+1))+1.96/(3*SQRT(G33+1)))^3)/$E$8))</f>
        <v>1025.6130050922281</v>
      </c>
      <c r="K33" s="122">
        <f>IF('Hide - Calculation'!N27="","",'Hide - Calculation'!N27)</f>
        <v>961.4921071943178</v>
      </c>
      <c r="L33" s="156">
        <f>'Hide - Calculation'!O27</f>
        <v>1059.3522061277838</v>
      </c>
      <c r="M33" s="148">
        <f>IF(ISBLANK('Hide - Calculation'!K27),"",'Hide - Calculation'!U27)</f>
        <v>270.6883239746094</v>
      </c>
      <c r="N33" s="86"/>
      <c r="O33" s="87"/>
      <c r="P33" s="87"/>
      <c r="Q33" s="87"/>
      <c r="R33" s="84"/>
      <c r="S33" s="84"/>
      <c r="T33" s="84"/>
      <c r="U33" s="84"/>
      <c r="V33" s="84"/>
      <c r="W33" s="84"/>
      <c r="X33" s="84"/>
      <c r="Y33" s="84"/>
      <c r="Z33" s="88"/>
      <c r="AA33" s="148">
        <f>IF(ISBLANK('Hide - Calculation'!K27),"",'Hide - Calculation'!T27)</f>
        <v>1664.81689453125</v>
      </c>
      <c r="AB33" s="234" t="s">
        <v>47</v>
      </c>
      <c r="AC33" s="131" t="s">
        <v>502</v>
      </c>
    </row>
    <row r="34" spans="2:29" s="63" customFormat="1" ht="33.75" customHeight="1">
      <c r="B34" s="305"/>
      <c r="C34" s="137">
        <v>22</v>
      </c>
      <c r="D34" s="132" t="s">
        <v>338</v>
      </c>
      <c r="E34" s="85"/>
      <c r="F34" s="85"/>
      <c r="G34" s="118">
        <f>IF(VLOOKUP('Hide - Control'!A$3,'All practice data'!A:CA,C34+4,FALSE)=" "," ",VLOOKUP('Hide - Control'!A$3,'All practice data'!A:CA,C34+4,FALSE))</f>
        <v>7</v>
      </c>
      <c r="H34" s="122">
        <f>IF(VLOOKUP('Hide - Control'!A$3,'All practice data'!A:CA,C34+30,FALSE)=" "," ",VLOOKUP('Hide - Control'!A$3,'All practice data'!A:CA,C34+30,FALSE))</f>
        <v>201.03388856978748</v>
      </c>
      <c r="I34" s="123">
        <f>IF(LEFT(G34,1)=" "," n/a",IF(G34&lt;5,100000*VLOOKUP(G34,'Hide - Calculation'!AQ:AR,2,FALSE)/$E$8,100000*(G34*(1-1/(9*G34)-1.96/(3*SQRT(G34)))^3)/$E$8))</f>
        <v>80.53931362947785</v>
      </c>
      <c r="J34" s="123">
        <f>IF(LEFT(G34,1)=" "," n/a",IF(G34&lt;5,100000*VLOOKUP(G34,'Hide - Calculation'!AQ:AS,3,FALSE)/$E$8,100000*((G34+1)*(1-1/(9*(G34+1))+1.96/(3*SQRT(G34+1)))^3)/$E$8))</f>
        <v>414.2278419956393</v>
      </c>
      <c r="K34" s="122">
        <f>IF('Hide - Calculation'!N28="","",'Hide - Calculation'!N28)</f>
        <v>498.69033526345953</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1178.2252197265625</v>
      </c>
      <c r="AB34" s="234" t="s">
        <v>47</v>
      </c>
      <c r="AC34" s="131" t="s">
        <v>502</v>
      </c>
    </row>
    <row r="35" spans="2:29" s="63" customFormat="1" ht="33.75" customHeight="1">
      <c r="B35" s="305"/>
      <c r="C35" s="137">
        <v>23</v>
      </c>
      <c r="D35" s="138" t="s">
        <v>463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324</v>
      </c>
      <c r="AC35" s="131">
        <v>2008</v>
      </c>
    </row>
    <row r="36" spans="2:29" ht="33.75" customHeight="1">
      <c r="B36" s="306"/>
      <c r="C36" s="137">
        <v>24</v>
      </c>
      <c r="D36" s="224" t="s">
        <v>464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324</v>
      </c>
      <c r="AC36" s="131">
        <v>2008</v>
      </c>
    </row>
    <row r="37" spans="2:29" ht="33.75" customHeight="1" thickBot="1">
      <c r="B37" s="307"/>
      <c r="C37" s="176">
        <v>25</v>
      </c>
      <c r="D37" s="177" t="s">
        <v>340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324</v>
      </c>
      <c r="AC37" s="149">
        <v>2008</v>
      </c>
    </row>
    <row r="38" spans="2:29" ht="16.5" customHeight="1">
      <c r="B38" s="69"/>
      <c r="C38" s="69"/>
      <c r="D38" s="65" t="s">
        <v>322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546</v>
      </c>
      <c r="C39" s="244"/>
      <c r="D39" s="244"/>
      <c r="E39" s="303" t="s">
        <v>550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488</v>
      </c>
      <c r="BE2" s="341"/>
      <c r="BF2" s="341"/>
      <c r="BG2" s="341"/>
      <c r="BH2" s="341"/>
      <c r="BI2" s="341"/>
      <c r="BJ2" s="342"/>
    </row>
    <row r="3" spans="1:82" s="72" customFormat="1" ht="76.5" customHeight="1">
      <c r="A3" s="266" t="s">
        <v>276</v>
      </c>
      <c r="B3" s="275" t="s">
        <v>277</v>
      </c>
      <c r="C3" s="276" t="s">
        <v>49</v>
      </c>
      <c r="D3" s="274" t="s">
        <v>473</v>
      </c>
      <c r="E3" s="267" t="s">
        <v>345</v>
      </c>
      <c r="F3" s="267" t="s">
        <v>456</v>
      </c>
      <c r="G3" s="267" t="s">
        <v>347</v>
      </c>
      <c r="H3" s="267" t="s">
        <v>348</v>
      </c>
      <c r="I3" s="267" t="s">
        <v>349</v>
      </c>
      <c r="J3" s="267" t="s">
        <v>497</v>
      </c>
      <c r="K3" s="267" t="s">
        <v>498</v>
      </c>
      <c r="L3" s="267" t="s">
        <v>499</v>
      </c>
      <c r="M3" s="267" t="s">
        <v>350</v>
      </c>
      <c r="N3" s="267" t="s">
        <v>351</v>
      </c>
      <c r="O3" s="267" t="s">
        <v>352</v>
      </c>
      <c r="P3" s="267" t="s">
        <v>487</v>
      </c>
      <c r="Q3" s="267" t="s">
        <v>353</v>
      </c>
      <c r="R3" s="267" t="s">
        <v>354</v>
      </c>
      <c r="S3" s="267" t="s">
        <v>355</v>
      </c>
      <c r="T3" s="267" t="s">
        <v>356</v>
      </c>
      <c r="U3" s="267" t="s">
        <v>357</v>
      </c>
      <c r="V3" s="267" t="s">
        <v>358</v>
      </c>
      <c r="W3" s="267" t="s">
        <v>359</v>
      </c>
      <c r="X3" s="267" t="s">
        <v>360</v>
      </c>
      <c r="Y3" s="267" t="s">
        <v>361</v>
      </c>
      <c r="Z3" s="267" t="s">
        <v>362</v>
      </c>
      <c r="AA3" s="267" t="s">
        <v>363</v>
      </c>
      <c r="AB3" s="267" t="s">
        <v>364</v>
      </c>
      <c r="AC3" s="267" t="s">
        <v>365</v>
      </c>
      <c r="AD3" s="268" t="s">
        <v>366</v>
      </c>
      <c r="AE3" s="268" t="s">
        <v>345</v>
      </c>
      <c r="AF3" s="269" t="s">
        <v>346</v>
      </c>
      <c r="AG3" s="268" t="s">
        <v>347</v>
      </c>
      <c r="AH3" s="268" t="s">
        <v>348</v>
      </c>
      <c r="AI3" s="268" t="s">
        <v>349</v>
      </c>
      <c r="AJ3" s="268" t="s">
        <v>497</v>
      </c>
      <c r="AK3" s="268" t="s">
        <v>498</v>
      </c>
      <c r="AL3" s="268" t="s">
        <v>499</v>
      </c>
      <c r="AM3" s="268" t="s">
        <v>350</v>
      </c>
      <c r="AN3" s="268" t="s">
        <v>351</v>
      </c>
      <c r="AO3" s="268" t="s">
        <v>352</v>
      </c>
      <c r="AP3" s="268" t="s">
        <v>487</v>
      </c>
      <c r="AQ3" s="268" t="s">
        <v>353</v>
      </c>
      <c r="AR3" s="268" t="s">
        <v>354</v>
      </c>
      <c r="AS3" s="268" t="s">
        <v>355</v>
      </c>
      <c r="AT3" s="268" t="s">
        <v>356</v>
      </c>
      <c r="AU3" s="268" t="s">
        <v>357</v>
      </c>
      <c r="AV3" s="268" t="s">
        <v>358</v>
      </c>
      <c r="AW3" s="268" t="s">
        <v>359</v>
      </c>
      <c r="AX3" s="268" t="s">
        <v>360</v>
      </c>
      <c r="AY3" s="270" t="s">
        <v>361</v>
      </c>
      <c r="AZ3" s="271" t="s">
        <v>362</v>
      </c>
      <c r="BA3" s="271" t="s">
        <v>363</v>
      </c>
      <c r="BB3" s="271" t="s">
        <v>364</v>
      </c>
      <c r="BC3" s="272" t="s">
        <v>365</v>
      </c>
      <c r="BD3" s="273" t="s">
        <v>485</v>
      </c>
      <c r="BE3" s="273" t="s">
        <v>486</v>
      </c>
      <c r="BF3" s="273" t="s">
        <v>493</v>
      </c>
      <c r="BG3" s="273" t="s">
        <v>494</v>
      </c>
      <c r="BH3" s="273" t="s">
        <v>492</v>
      </c>
      <c r="BI3" s="273" t="s">
        <v>495</v>
      </c>
      <c r="BJ3" s="273" t="s">
        <v>496</v>
      </c>
      <c r="BK3" s="73"/>
      <c r="BL3" s="73"/>
      <c r="BM3" s="73"/>
      <c r="BN3" s="73"/>
      <c r="BO3" s="73"/>
      <c r="BP3" s="73"/>
      <c r="BQ3" s="73"/>
      <c r="BR3" s="73"/>
      <c r="BS3" s="73"/>
      <c r="BT3" s="73"/>
      <c r="BU3" s="73"/>
      <c r="BV3" s="73"/>
      <c r="BW3" s="73"/>
      <c r="BX3" s="73"/>
      <c r="BY3" s="73"/>
      <c r="BZ3" s="73"/>
      <c r="CA3" s="73"/>
      <c r="CB3" s="73"/>
      <c r="CC3" s="73"/>
      <c r="CD3" s="73"/>
    </row>
    <row r="4" spans="1:66" ht="12.75">
      <c r="A4" s="79" t="s">
        <v>540</v>
      </c>
      <c r="B4" s="79" t="s">
        <v>320</v>
      </c>
      <c r="C4" s="79" t="s">
        <v>73</v>
      </c>
      <c r="D4" s="99">
        <v>3482</v>
      </c>
      <c r="E4" s="99">
        <v>299</v>
      </c>
      <c r="F4" s="99" t="s">
        <v>343</v>
      </c>
      <c r="G4" s="99">
        <v>11</v>
      </c>
      <c r="H4" s="99" t="s">
        <v>549</v>
      </c>
      <c r="I4" s="99">
        <v>9</v>
      </c>
      <c r="J4" s="99">
        <v>117</v>
      </c>
      <c r="K4" s="99" t="s">
        <v>549</v>
      </c>
      <c r="L4" s="99">
        <v>724</v>
      </c>
      <c r="M4" s="99">
        <v>55</v>
      </c>
      <c r="N4" s="99">
        <v>35</v>
      </c>
      <c r="O4" s="99">
        <v>57</v>
      </c>
      <c r="P4" s="159">
        <v>57</v>
      </c>
      <c r="Q4" s="99" t="s">
        <v>549</v>
      </c>
      <c r="R4" s="99">
        <v>6</v>
      </c>
      <c r="S4" s="99">
        <v>9</v>
      </c>
      <c r="T4" s="99">
        <v>6</v>
      </c>
      <c r="U4" s="99" t="s">
        <v>549</v>
      </c>
      <c r="V4" s="99">
        <v>29</v>
      </c>
      <c r="W4" s="99">
        <v>9</v>
      </c>
      <c r="X4" s="99">
        <v>9</v>
      </c>
      <c r="Y4" s="99">
        <v>24</v>
      </c>
      <c r="Z4" s="99">
        <v>7</v>
      </c>
      <c r="AA4" s="99" t="s">
        <v>549</v>
      </c>
      <c r="AB4" s="99" t="s">
        <v>549</v>
      </c>
      <c r="AC4" s="99" t="s">
        <v>549</v>
      </c>
      <c r="AD4" s="98" t="s">
        <v>322</v>
      </c>
      <c r="AE4" s="100">
        <v>0.08587018954623779</v>
      </c>
      <c r="AF4" s="100">
        <v>0.26</v>
      </c>
      <c r="AG4" s="98">
        <v>315.9103963239518</v>
      </c>
      <c r="AH4" s="98" t="s">
        <v>549</v>
      </c>
      <c r="AI4" s="100">
        <v>0.003</v>
      </c>
      <c r="AJ4" s="100">
        <v>0.5625</v>
      </c>
      <c r="AK4" s="100" t="s">
        <v>549</v>
      </c>
      <c r="AL4" s="100">
        <v>0.717542</v>
      </c>
      <c r="AM4" s="100">
        <v>0.354839</v>
      </c>
      <c r="AN4" s="100">
        <v>0.5</v>
      </c>
      <c r="AO4" s="98">
        <v>1636.9902354968408</v>
      </c>
      <c r="AP4" s="158">
        <v>1.2046704099999999</v>
      </c>
      <c r="AQ4" s="100" t="s">
        <v>549</v>
      </c>
      <c r="AR4" s="100" t="s">
        <v>549</v>
      </c>
      <c r="AS4" s="98">
        <v>258.4721424468696</v>
      </c>
      <c r="AT4" s="98">
        <v>172.3147616312464</v>
      </c>
      <c r="AU4" s="98" t="s">
        <v>549</v>
      </c>
      <c r="AV4" s="98">
        <v>832.854681217691</v>
      </c>
      <c r="AW4" s="98">
        <v>258.4721424468696</v>
      </c>
      <c r="AX4" s="98">
        <v>258.4721424468696</v>
      </c>
      <c r="AY4" s="98">
        <v>689.2590465249856</v>
      </c>
      <c r="AZ4" s="98">
        <v>201.03388856978748</v>
      </c>
      <c r="BA4" s="100" t="s">
        <v>549</v>
      </c>
      <c r="BB4" s="100" t="s">
        <v>549</v>
      </c>
      <c r="BC4" s="100" t="s">
        <v>549</v>
      </c>
      <c r="BD4" s="158">
        <v>0.9124056244000001</v>
      </c>
      <c r="BE4" s="158">
        <v>1.5607902530000002</v>
      </c>
      <c r="BF4" s="162">
        <v>208</v>
      </c>
      <c r="BG4" s="162" t="s">
        <v>549</v>
      </c>
      <c r="BH4" s="162">
        <v>1009</v>
      </c>
      <c r="BI4" s="162">
        <v>155</v>
      </c>
      <c r="BJ4" s="162">
        <v>70</v>
      </c>
      <c r="BK4" s="97"/>
      <c r="BL4" s="97"/>
      <c r="BM4" s="97"/>
      <c r="BN4" s="97"/>
    </row>
    <row r="5" spans="1:66" ht="12.75">
      <c r="A5" s="79" t="s">
        <v>534</v>
      </c>
      <c r="B5" s="79" t="s">
        <v>313</v>
      </c>
      <c r="C5" s="79" t="s">
        <v>73</v>
      </c>
      <c r="D5" s="99">
        <v>5145</v>
      </c>
      <c r="E5" s="99">
        <v>453</v>
      </c>
      <c r="F5" s="99" t="s">
        <v>343</v>
      </c>
      <c r="G5" s="99">
        <v>7</v>
      </c>
      <c r="H5" s="99">
        <v>13</v>
      </c>
      <c r="I5" s="99">
        <v>66</v>
      </c>
      <c r="J5" s="99">
        <v>286</v>
      </c>
      <c r="K5" s="99">
        <v>10</v>
      </c>
      <c r="L5" s="99">
        <v>1014</v>
      </c>
      <c r="M5" s="99">
        <v>129</v>
      </c>
      <c r="N5" s="99">
        <v>50</v>
      </c>
      <c r="O5" s="99">
        <v>58</v>
      </c>
      <c r="P5" s="159">
        <v>58</v>
      </c>
      <c r="Q5" s="99">
        <v>7</v>
      </c>
      <c r="R5" s="99">
        <v>15</v>
      </c>
      <c r="S5" s="99">
        <v>12</v>
      </c>
      <c r="T5" s="99" t="s">
        <v>549</v>
      </c>
      <c r="U5" s="99" t="s">
        <v>549</v>
      </c>
      <c r="V5" s="99">
        <v>10</v>
      </c>
      <c r="W5" s="99">
        <v>23</v>
      </c>
      <c r="X5" s="99">
        <v>17</v>
      </c>
      <c r="Y5" s="99">
        <v>43</v>
      </c>
      <c r="Z5" s="99">
        <v>20</v>
      </c>
      <c r="AA5" s="99" t="s">
        <v>549</v>
      </c>
      <c r="AB5" s="99" t="s">
        <v>549</v>
      </c>
      <c r="AC5" s="99" t="s">
        <v>549</v>
      </c>
      <c r="AD5" s="98" t="s">
        <v>322</v>
      </c>
      <c r="AE5" s="100">
        <v>0.0880466472303207</v>
      </c>
      <c r="AF5" s="100">
        <v>0.26</v>
      </c>
      <c r="AG5" s="98">
        <v>136.05442176870747</v>
      </c>
      <c r="AH5" s="98">
        <v>252.67249757045676</v>
      </c>
      <c r="AI5" s="100">
        <v>0.013000000000000001</v>
      </c>
      <c r="AJ5" s="100">
        <v>0.677725</v>
      </c>
      <c r="AK5" s="100">
        <v>0.588235</v>
      </c>
      <c r="AL5" s="100">
        <v>0.768764</v>
      </c>
      <c r="AM5" s="100">
        <v>0.404389</v>
      </c>
      <c r="AN5" s="100">
        <v>0.409836</v>
      </c>
      <c r="AO5" s="98">
        <v>1127.3080660835763</v>
      </c>
      <c r="AP5" s="158">
        <v>0.8014558411</v>
      </c>
      <c r="AQ5" s="100">
        <v>0.1206896551724138</v>
      </c>
      <c r="AR5" s="100">
        <v>0.4666666666666667</v>
      </c>
      <c r="AS5" s="98">
        <v>233.23615160349854</v>
      </c>
      <c r="AT5" s="98" t="s">
        <v>549</v>
      </c>
      <c r="AU5" s="98" t="s">
        <v>549</v>
      </c>
      <c r="AV5" s="98">
        <v>194.3634596695821</v>
      </c>
      <c r="AW5" s="98">
        <v>447.0359572400389</v>
      </c>
      <c r="AX5" s="98">
        <v>330.4178814382896</v>
      </c>
      <c r="AY5" s="98">
        <v>835.7628765792031</v>
      </c>
      <c r="AZ5" s="98">
        <v>388.7269193391642</v>
      </c>
      <c r="BA5" s="100" t="s">
        <v>549</v>
      </c>
      <c r="BB5" s="100" t="s">
        <v>549</v>
      </c>
      <c r="BC5" s="100" t="s">
        <v>549</v>
      </c>
      <c r="BD5" s="158">
        <v>0.6085790253</v>
      </c>
      <c r="BE5" s="158">
        <v>1.036067505</v>
      </c>
      <c r="BF5" s="162">
        <v>422</v>
      </c>
      <c r="BG5" s="162">
        <v>17</v>
      </c>
      <c r="BH5" s="162">
        <v>1319</v>
      </c>
      <c r="BI5" s="162">
        <v>319</v>
      </c>
      <c r="BJ5" s="162">
        <v>122</v>
      </c>
      <c r="BK5" s="97"/>
      <c r="BL5" s="97"/>
      <c r="BM5" s="97"/>
      <c r="BN5" s="97"/>
    </row>
    <row r="6" spans="1:66" ht="12.75">
      <c r="A6" s="79" t="s">
        <v>528</v>
      </c>
      <c r="B6" s="79" t="s">
        <v>307</v>
      </c>
      <c r="C6" s="79" t="s">
        <v>73</v>
      </c>
      <c r="D6" s="99">
        <v>5052</v>
      </c>
      <c r="E6" s="99">
        <v>374</v>
      </c>
      <c r="F6" s="99" t="s">
        <v>343</v>
      </c>
      <c r="G6" s="99">
        <v>13</v>
      </c>
      <c r="H6" s="99">
        <v>6</v>
      </c>
      <c r="I6" s="99">
        <v>22</v>
      </c>
      <c r="J6" s="99">
        <v>198</v>
      </c>
      <c r="K6" s="99">
        <v>31</v>
      </c>
      <c r="L6" s="99">
        <v>826</v>
      </c>
      <c r="M6" s="99">
        <v>90</v>
      </c>
      <c r="N6" s="99">
        <v>48</v>
      </c>
      <c r="O6" s="99">
        <v>109</v>
      </c>
      <c r="P6" s="159">
        <v>109</v>
      </c>
      <c r="Q6" s="99">
        <v>6</v>
      </c>
      <c r="R6" s="99">
        <v>14</v>
      </c>
      <c r="S6" s="99">
        <v>15</v>
      </c>
      <c r="T6" s="99">
        <v>12</v>
      </c>
      <c r="U6" s="99" t="s">
        <v>549</v>
      </c>
      <c r="V6" s="99">
        <v>12</v>
      </c>
      <c r="W6" s="99">
        <v>36</v>
      </c>
      <c r="X6" s="99">
        <v>13</v>
      </c>
      <c r="Y6" s="99">
        <v>57</v>
      </c>
      <c r="Z6" s="99">
        <v>16</v>
      </c>
      <c r="AA6" s="99" t="s">
        <v>549</v>
      </c>
      <c r="AB6" s="99" t="s">
        <v>549</v>
      </c>
      <c r="AC6" s="99" t="s">
        <v>549</v>
      </c>
      <c r="AD6" s="98" t="s">
        <v>322</v>
      </c>
      <c r="AE6" s="100">
        <v>0.07403008709422011</v>
      </c>
      <c r="AF6" s="100">
        <v>0.26</v>
      </c>
      <c r="AG6" s="98">
        <v>257.3238321456849</v>
      </c>
      <c r="AH6" s="98">
        <v>118.76484560570071</v>
      </c>
      <c r="AI6" s="100">
        <v>0.004</v>
      </c>
      <c r="AJ6" s="100">
        <v>0.589286</v>
      </c>
      <c r="AK6" s="100">
        <v>0.756098</v>
      </c>
      <c r="AL6" s="100">
        <v>0.718261</v>
      </c>
      <c r="AM6" s="100">
        <v>0.334572</v>
      </c>
      <c r="AN6" s="100">
        <v>0.444444</v>
      </c>
      <c r="AO6" s="98">
        <v>2157.561361836896</v>
      </c>
      <c r="AP6" s="158">
        <v>1.6909910579999998</v>
      </c>
      <c r="AQ6" s="100">
        <v>0.05504587155963303</v>
      </c>
      <c r="AR6" s="100">
        <v>0.42857142857142855</v>
      </c>
      <c r="AS6" s="98">
        <v>296.91211401425176</v>
      </c>
      <c r="AT6" s="98">
        <v>237.52969121140143</v>
      </c>
      <c r="AU6" s="98" t="s">
        <v>549</v>
      </c>
      <c r="AV6" s="98">
        <v>237.52969121140143</v>
      </c>
      <c r="AW6" s="98">
        <v>712.5890736342043</v>
      </c>
      <c r="AX6" s="98">
        <v>257.3238321456849</v>
      </c>
      <c r="AY6" s="98">
        <v>1128.2660332541568</v>
      </c>
      <c r="AZ6" s="98">
        <v>316.7062549485352</v>
      </c>
      <c r="BA6" s="100" t="s">
        <v>549</v>
      </c>
      <c r="BB6" s="100" t="s">
        <v>549</v>
      </c>
      <c r="BC6" s="100" t="s">
        <v>549</v>
      </c>
      <c r="BD6" s="158">
        <v>1.388479614</v>
      </c>
      <c r="BE6" s="158">
        <v>2.039838562</v>
      </c>
      <c r="BF6" s="162">
        <v>336</v>
      </c>
      <c r="BG6" s="162">
        <v>41</v>
      </c>
      <c r="BH6" s="162">
        <v>1150</v>
      </c>
      <c r="BI6" s="162">
        <v>269</v>
      </c>
      <c r="BJ6" s="162">
        <v>108</v>
      </c>
      <c r="BK6" s="97"/>
      <c r="BL6" s="97"/>
      <c r="BM6" s="97"/>
      <c r="BN6" s="97"/>
    </row>
    <row r="7" spans="1:66" ht="12.75">
      <c r="A7" s="79" t="s">
        <v>532</v>
      </c>
      <c r="B7" s="79" t="s">
        <v>311</v>
      </c>
      <c r="C7" s="79" t="s">
        <v>73</v>
      </c>
      <c r="D7" s="99">
        <v>2818</v>
      </c>
      <c r="E7" s="99">
        <v>306</v>
      </c>
      <c r="F7" s="99" t="s">
        <v>343</v>
      </c>
      <c r="G7" s="99">
        <v>11</v>
      </c>
      <c r="H7" s="99" t="s">
        <v>549</v>
      </c>
      <c r="I7" s="99">
        <v>35</v>
      </c>
      <c r="J7" s="99">
        <v>152</v>
      </c>
      <c r="K7" s="99">
        <v>9</v>
      </c>
      <c r="L7" s="99">
        <v>449</v>
      </c>
      <c r="M7" s="99">
        <v>90</v>
      </c>
      <c r="N7" s="99">
        <v>37</v>
      </c>
      <c r="O7" s="99">
        <v>30</v>
      </c>
      <c r="P7" s="159">
        <v>30</v>
      </c>
      <c r="Q7" s="99" t="s">
        <v>549</v>
      </c>
      <c r="R7" s="99">
        <v>8</v>
      </c>
      <c r="S7" s="99" t="s">
        <v>549</v>
      </c>
      <c r="T7" s="99" t="s">
        <v>549</v>
      </c>
      <c r="U7" s="99" t="s">
        <v>549</v>
      </c>
      <c r="V7" s="99">
        <v>7</v>
      </c>
      <c r="W7" s="99">
        <v>19</v>
      </c>
      <c r="X7" s="99" t="s">
        <v>549</v>
      </c>
      <c r="Y7" s="99">
        <v>22</v>
      </c>
      <c r="Z7" s="99">
        <v>12</v>
      </c>
      <c r="AA7" s="99" t="s">
        <v>549</v>
      </c>
      <c r="AB7" s="99" t="s">
        <v>549</v>
      </c>
      <c r="AC7" s="99" t="s">
        <v>549</v>
      </c>
      <c r="AD7" s="98" t="s">
        <v>322</v>
      </c>
      <c r="AE7" s="100">
        <v>0.10858765081618169</v>
      </c>
      <c r="AF7" s="100">
        <v>0.27</v>
      </c>
      <c r="AG7" s="98">
        <v>390.347764371895</v>
      </c>
      <c r="AH7" s="98" t="s">
        <v>549</v>
      </c>
      <c r="AI7" s="100">
        <v>0.012</v>
      </c>
      <c r="AJ7" s="100">
        <v>0.615385</v>
      </c>
      <c r="AK7" s="100">
        <v>0.692308</v>
      </c>
      <c r="AL7" s="100">
        <v>0.672156</v>
      </c>
      <c r="AM7" s="100">
        <v>0.38961</v>
      </c>
      <c r="AN7" s="100">
        <v>0.445783</v>
      </c>
      <c r="AO7" s="98">
        <v>1064.58481192335</v>
      </c>
      <c r="AP7" s="158">
        <v>0.7063703156</v>
      </c>
      <c r="AQ7" s="100" t="s">
        <v>549</v>
      </c>
      <c r="AR7" s="100" t="s">
        <v>549</v>
      </c>
      <c r="AS7" s="98" t="s">
        <v>549</v>
      </c>
      <c r="AT7" s="98" t="s">
        <v>549</v>
      </c>
      <c r="AU7" s="98" t="s">
        <v>549</v>
      </c>
      <c r="AV7" s="98">
        <v>248.40312278211496</v>
      </c>
      <c r="AW7" s="98">
        <v>674.2370475514549</v>
      </c>
      <c r="AX7" s="98" t="s">
        <v>549</v>
      </c>
      <c r="AY7" s="98">
        <v>780.69552874379</v>
      </c>
      <c r="AZ7" s="98">
        <v>425.83392476933994</v>
      </c>
      <c r="BA7" s="100" t="s">
        <v>549</v>
      </c>
      <c r="BB7" s="100" t="s">
        <v>549</v>
      </c>
      <c r="BC7" s="100" t="s">
        <v>549</v>
      </c>
      <c r="BD7" s="158">
        <v>0.47658512119999996</v>
      </c>
      <c r="BE7" s="158">
        <v>1.008387604</v>
      </c>
      <c r="BF7" s="162">
        <v>247</v>
      </c>
      <c r="BG7" s="162">
        <v>13</v>
      </c>
      <c r="BH7" s="162">
        <v>668</v>
      </c>
      <c r="BI7" s="162">
        <v>231</v>
      </c>
      <c r="BJ7" s="162">
        <v>83</v>
      </c>
      <c r="BK7" s="97"/>
      <c r="BL7" s="97"/>
      <c r="BM7" s="97"/>
      <c r="BN7" s="97"/>
    </row>
    <row r="8" spans="1:66" ht="12.75">
      <c r="A8" s="79" t="s">
        <v>510</v>
      </c>
      <c r="B8" s="79" t="s">
        <v>289</v>
      </c>
      <c r="C8" s="79" t="s">
        <v>73</v>
      </c>
      <c r="D8" s="99">
        <v>10919</v>
      </c>
      <c r="E8" s="99">
        <v>1261</v>
      </c>
      <c r="F8" s="99" t="s">
        <v>342</v>
      </c>
      <c r="G8" s="99">
        <v>35</v>
      </c>
      <c r="H8" s="99">
        <v>28</v>
      </c>
      <c r="I8" s="99">
        <v>123</v>
      </c>
      <c r="J8" s="99">
        <v>571</v>
      </c>
      <c r="K8" s="99">
        <v>49</v>
      </c>
      <c r="L8" s="99">
        <v>1981</v>
      </c>
      <c r="M8" s="99">
        <v>317</v>
      </c>
      <c r="N8" s="99">
        <v>137</v>
      </c>
      <c r="O8" s="99">
        <v>153</v>
      </c>
      <c r="P8" s="159">
        <v>153</v>
      </c>
      <c r="Q8" s="99">
        <v>18</v>
      </c>
      <c r="R8" s="99">
        <v>36</v>
      </c>
      <c r="S8" s="99">
        <v>30</v>
      </c>
      <c r="T8" s="99">
        <v>31</v>
      </c>
      <c r="U8" s="99">
        <v>9</v>
      </c>
      <c r="V8" s="99">
        <v>21</v>
      </c>
      <c r="W8" s="99">
        <v>81</v>
      </c>
      <c r="X8" s="99">
        <v>36</v>
      </c>
      <c r="Y8" s="99">
        <v>145</v>
      </c>
      <c r="Z8" s="99">
        <v>70</v>
      </c>
      <c r="AA8" s="99" t="s">
        <v>549</v>
      </c>
      <c r="AB8" s="99" t="s">
        <v>549</v>
      </c>
      <c r="AC8" s="99" t="s">
        <v>549</v>
      </c>
      <c r="AD8" s="98" t="s">
        <v>322</v>
      </c>
      <c r="AE8" s="100">
        <v>0.1154867661873798</v>
      </c>
      <c r="AF8" s="100">
        <v>0.24</v>
      </c>
      <c r="AG8" s="98">
        <v>320.5421741917758</v>
      </c>
      <c r="AH8" s="98">
        <v>256.43373935342066</v>
      </c>
      <c r="AI8" s="100">
        <v>0.011000000000000001</v>
      </c>
      <c r="AJ8" s="100">
        <v>0.623362</v>
      </c>
      <c r="AK8" s="100">
        <v>0.690141</v>
      </c>
      <c r="AL8" s="100">
        <v>0.737528</v>
      </c>
      <c r="AM8" s="100">
        <v>0.44774</v>
      </c>
      <c r="AN8" s="100">
        <v>0.503676</v>
      </c>
      <c r="AO8" s="98">
        <v>1401.2272186097628</v>
      </c>
      <c r="AP8" s="158">
        <v>0.934378891</v>
      </c>
      <c r="AQ8" s="100">
        <v>0.11764705882352941</v>
      </c>
      <c r="AR8" s="100">
        <v>0.5</v>
      </c>
      <c r="AS8" s="98">
        <v>274.7504350215221</v>
      </c>
      <c r="AT8" s="98">
        <v>283.90878285557284</v>
      </c>
      <c r="AU8" s="98">
        <v>82.42513050645664</v>
      </c>
      <c r="AV8" s="98">
        <v>192.32530451506548</v>
      </c>
      <c r="AW8" s="98">
        <v>741.8261745581098</v>
      </c>
      <c r="AX8" s="98">
        <v>329.70052202582656</v>
      </c>
      <c r="AY8" s="98">
        <v>1327.9604359373568</v>
      </c>
      <c r="AZ8" s="98">
        <v>641.0843483835516</v>
      </c>
      <c r="BA8" s="101" t="s">
        <v>549</v>
      </c>
      <c r="BB8" s="101" t="s">
        <v>549</v>
      </c>
      <c r="BC8" s="101" t="s">
        <v>549</v>
      </c>
      <c r="BD8" s="158">
        <v>0.7921894836</v>
      </c>
      <c r="BE8" s="158">
        <v>1.094721909</v>
      </c>
      <c r="BF8" s="162">
        <v>916</v>
      </c>
      <c r="BG8" s="162">
        <v>71</v>
      </c>
      <c r="BH8" s="162">
        <v>2686</v>
      </c>
      <c r="BI8" s="162">
        <v>708</v>
      </c>
      <c r="BJ8" s="162">
        <v>272</v>
      </c>
      <c r="BK8" s="97"/>
      <c r="BL8" s="97"/>
      <c r="BM8" s="97"/>
      <c r="BN8" s="97"/>
    </row>
    <row r="9" spans="1:66" ht="12.75">
      <c r="A9" s="79" t="s">
        <v>505</v>
      </c>
      <c r="B9" s="79" t="s">
        <v>282</v>
      </c>
      <c r="C9" s="79" t="s">
        <v>73</v>
      </c>
      <c r="D9" s="99">
        <v>6140</v>
      </c>
      <c r="E9" s="99">
        <v>635</v>
      </c>
      <c r="F9" s="99" t="s">
        <v>343</v>
      </c>
      <c r="G9" s="99">
        <v>22</v>
      </c>
      <c r="H9" s="99" t="s">
        <v>549</v>
      </c>
      <c r="I9" s="99">
        <v>56</v>
      </c>
      <c r="J9" s="99">
        <v>329</v>
      </c>
      <c r="K9" s="99">
        <v>12</v>
      </c>
      <c r="L9" s="99">
        <v>1192</v>
      </c>
      <c r="M9" s="99">
        <v>139</v>
      </c>
      <c r="N9" s="99">
        <v>56</v>
      </c>
      <c r="O9" s="99">
        <v>45</v>
      </c>
      <c r="P9" s="159">
        <v>45</v>
      </c>
      <c r="Q9" s="99" t="s">
        <v>549</v>
      </c>
      <c r="R9" s="99">
        <v>14</v>
      </c>
      <c r="S9" s="99">
        <v>16</v>
      </c>
      <c r="T9" s="99">
        <v>12</v>
      </c>
      <c r="U9" s="99" t="s">
        <v>549</v>
      </c>
      <c r="V9" s="99" t="s">
        <v>549</v>
      </c>
      <c r="W9" s="99">
        <v>28</v>
      </c>
      <c r="X9" s="99">
        <v>20</v>
      </c>
      <c r="Y9" s="99">
        <v>58</v>
      </c>
      <c r="Z9" s="99">
        <v>28</v>
      </c>
      <c r="AA9" s="99" t="s">
        <v>549</v>
      </c>
      <c r="AB9" s="99" t="s">
        <v>549</v>
      </c>
      <c r="AC9" s="99" t="s">
        <v>549</v>
      </c>
      <c r="AD9" s="98" t="s">
        <v>322</v>
      </c>
      <c r="AE9" s="100">
        <v>0.10342019543973942</v>
      </c>
      <c r="AF9" s="100">
        <v>0.27</v>
      </c>
      <c r="AG9" s="98">
        <v>358.3061889250814</v>
      </c>
      <c r="AH9" s="98" t="s">
        <v>549</v>
      </c>
      <c r="AI9" s="100">
        <v>0.009000000000000001</v>
      </c>
      <c r="AJ9" s="100">
        <v>0.682573</v>
      </c>
      <c r="AK9" s="100">
        <v>0.631579</v>
      </c>
      <c r="AL9" s="100">
        <v>0.75205</v>
      </c>
      <c r="AM9" s="100">
        <v>0.396011</v>
      </c>
      <c r="AN9" s="100">
        <v>0.466667</v>
      </c>
      <c r="AO9" s="98">
        <v>732.899022801303</v>
      </c>
      <c r="AP9" s="158">
        <v>0.5136810303</v>
      </c>
      <c r="AQ9" s="100" t="s">
        <v>549</v>
      </c>
      <c r="AR9" s="100" t="s">
        <v>549</v>
      </c>
      <c r="AS9" s="98">
        <v>260.58631921824104</v>
      </c>
      <c r="AT9" s="98">
        <v>195.43973941368077</v>
      </c>
      <c r="AU9" s="98" t="s">
        <v>549</v>
      </c>
      <c r="AV9" s="98" t="s">
        <v>549</v>
      </c>
      <c r="AW9" s="98">
        <v>456.02605863192184</v>
      </c>
      <c r="AX9" s="98">
        <v>325.7328990228013</v>
      </c>
      <c r="AY9" s="98">
        <v>944.6254071661238</v>
      </c>
      <c r="AZ9" s="98">
        <v>456.02605863192184</v>
      </c>
      <c r="BA9" s="100" t="s">
        <v>549</v>
      </c>
      <c r="BB9" s="100" t="s">
        <v>549</v>
      </c>
      <c r="BC9" s="100" t="s">
        <v>549</v>
      </c>
      <c r="BD9" s="158">
        <v>0.37468246460000004</v>
      </c>
      <c r="BE9" s="158">
        <v>0.6873456573</v>
      </c>
      <c r="BF9" s="162">
        <v>482</v>
      </c>
      <c r="BG9" s="162">
        <v>19</v>
      </c>
      <c r="BH9" s="162">
        <v>1585</v>
      </c>
      <c r="BI9" s="162">
        <v>351</v>
      </c>
      <c r="BJ9" s="162">
        <v>120</v>
      </c>
      <c r="BK9" s="97"/>
      <c r="BL9" s="97"/>
      <c r="BM9" s="97"/>
      <c r="BN9" s="97"/>
    </row>
    <row r="10" spans="1:66" ht="12.75">
      <c r="A10" s="79" t="s">
        <v>512</v>
      </c>
      <c r="B10" s="79" t="s">
        <v>291</v>
      </c>
      <c r="C10" s="79" t="s">
        <v>73</v>
      </c>
      <c r="D10" s="99">
        <v>4542</v>
      </c>
      <c r="E10" s="99">
        <v>488</v>
      </c>
      <c r="F10" s="99" t="s">
        <v>343</v>
      </c>
      <c r="G10" s="99">
        <v>19</v>
      </c>
      <c r="H10" s="99">
        <v>8</v>
      </c>
      <c r="I10" s="99">
        <v>49</v>
      </c>
      <c r="J10" s="99">
        <v>258</v>
      </c>
      <c r="K10" s="99">
        <v>12</v>
      </c>
      <c r="L10" s="99">
        <v>854</v>
      </c>
      <c r="M10" s="99">
        <v>106</v>
      </c>
      <c r="N10" s="99">
        <v>48</v>
      </c>
      <c r="O10" s="99">
        <v>70</v>
      </c>
      <c r="P10" s="159">
        <v>70</v>
      </c>
      <c r="Q10" s="99" t="s">
        <v>549</v>
      </c>
      <c r="R10" s="99">
        <v>10</v>
      </c>
      <c r="S10" s="99">
        <v>28</v>
      </c>
      <c r="T10" s="99" t="s">
        <v>549</v>
      </c>
      <c r="U10" s="99" t="s">
        <v>549</v>
      </c>
      <c r="V10" s="99">
        <v>7</v>
      </c>
      <c r="W10" s="99">
        <v>22</v>
      </c>
      <c r="X10" s="99">
        <v>10</v>
      </c>
      <c r="Y10" s="99">
        <v>39</v>
      </c>
      <c r="Z10" s="99">
        <v>26</v>
      </c>
      <c r="AA10" s="99" t="s">
        <v>549</v>
      </c>
      <c r="AB10" s="99" t="s">
        <v>549</v>
      </c>
      <c r="AC10" s="99" t="s">
        <v>549</v>
      </c>
      <c r="AD10" s="98" t="s">
        <v>322</v>
      </c>
      <c r="AE10" s="100">
        <v>0.10744165565830031</v>
      </c>
      <c r="AF10" s="100">
        <v>0.28</v>
      </c>
      <c r="AG10" s="98">
        <v>418.31792162043155</v>
      </c>
      <c r="AH10" s="98">
        <v>176.13386173491853</v>
      </c>
      <c r="AI10" s="100">
        <v>0.011000000000000001</v>
      </c>
      <c r="AJ10" s="100">
        <v>0.677165</v>
      </c>
      <c r="AK10" s="100">
        <v>0.571429</v>
      </c>
      <c r="AL10" s="100">
        <v>0.720675</v>
      </c>
      <c r="AM10" s="100">
        <v>0.382671</v>
      </c>
      <c r="AN10" s="100">
        <v>0.457143</v>
      </c>
      <c r="AO10" s="98">
        <v>1541.1712901805372</v>
      </c>
      <c r="AP10" s="158">
        <v>1.044821396</v>
      </c>
      <c r="AQ10" s="100" t="s">
        <v>549</v>
      </c>
      <c r="AR10" s="100" t="s">
        <v>549</v>
      </c>
      <c r="AS10" s="98">
        <v>616.4685160722149</v>
      </c>
      <c r="AT10" s="98" t="s">
        <v>549</v>
      </c>
      <c r="AU10" s="98" t="s">
        <v>549</v>
      </c>
      <c r="AV10" s="98">
        <v>154.11712901805373</v>
      </c>
      <c r="AW10" s="98">
        <v>484.368119771026</v>
      </c>
      <c r="AX10" s="98">
        <v>220.16732716864817</v>
      </c>
      <c r="AY10" s="98">
        <v>858.6525759577279</v>
      </c>
      <c r="AZ10" s="98">
        <v>572.4350506384852</v>
      </c>
      <c r="BA10" s="100" t="s">
        <v>549</v>
      </c>
      <c r="BB10" s="100" t="s">
        <v>549</v>
      </c>
      <c r="BC10" s="100" t="s">
        <v>549</v>
      </c>
      <c r="BD10" s="158">
        <v>0.8144895172</v>
      </c>
      <c r="BE10" s="158">
        <v>1.3200689700000001</v>
      </c>
      <c r="BF10" s="162">
        <v>381</v>
      </c>
      <c r="BG10" s="162">
        <v>21</v>
      </c>
      <c r="BH10" s="162">
        <v>1185</v>
      </c>
      <c r="BI10" s="162">
        <v>277</v>
      </c>
      <c r="BJ10" s="162">
        <v>105</v>
      </c>
      <c r="BK10" s="97"/>
      <c r="BL10" s="97"/>
      <c r="BM10" s="97"/>
      <c r="BN10" s="97"/>
    </row>
    <row r="11" spans="1:66" ht="12.75">
      <c r="A11" s="79" t="s">
        <v>521</v>
      </c>
      <c r="B11" s="79" t="s">
        <v>300</v>
      </c>
      <c r="C11" s="79" t="s">
        <v>73</v>
      </c>
      <c r="D11" s="99">
        <v>2956</v>
      </c>
      <c r="E11" s="99">
        <v>319</v>
      </c>
      <c r="F11" s="99" t="s">
        <v>342</v>
      </c>
      <c r="G11" s="99">
        <v>11</v>
      </c>
      <c r="H11" s="99">
        <v>6</v>
      </c>
      <c r="I11" s="99">
        <v>24</v>
      </c>
      <c r="J11" s="99">
        <v>148</v>
      </c>
      <c r="K11" s="99">
        <v>7</v>
      </c>
      <c r="L11" s="99">
        <v>445</v>
      </c>
      <c r="M11" s="99">
        <v>91</v>
      </c>
      <c r="N11" s="99">
        <v>40</v>
      </c>
      <c r="O11" s="99">
        <v>32</v>
      </c>
      <c r="P11" s="159">
        <v>32</v>
      </c>
      <c r="Q11" s="99" t="s">
        <v>549</v>
      </c>
      <c r="R11" s="99">
        <v>6</v>
      </c>
      <c r="S11" s="99">
        <v>6</v>
      </c>
      <c r="T11" s="99">
        <v>6</v>
      </c>
      <c r="U11" s="99" t="s">
        <v>549</v>
      </c>
      <c r="V11" s="99" t="s">
        <v>549</v>
      </c>
      <c r="W11" s="99">
        <v>17</v>
      </c>
      <c r="X11" s="99">
        <v>10</v>
      </c>
      <c r="Y11" s="99">
        <v>24</v>
      </c>
      <c r="Z11" s="99">
        <v>14</v>
      </c>
      <c r="AA11" s="99" t="s">
        <v>549</v>
      </c>
      <c r="AB11" s="99" t="s">
        <v>549</v>
      </c>
      <c r="AC11" s="99" t="s">
        <v>549</v>
      </c>
      <c r="AD11" s="98" t="s">
        <v>322</v>
      </c>
      <c r="AE11" s="100">
        <v>0.10791610284167795</v>
      </c>
      <c r="AF11" s="100">
        <v>0.24</v>
      </c>
      <c r="AG11" s="98">
        <v>372.12449255751017</v>
      </c>
      <c r="AH11" s="98">
        <v>202.97699594046009</v>
      </c>
      <c r="AI11" s="100">
        <v>0.008</v>
      </c>
      <c r="AJ11" s="100">
        <v>0.601626</v>
      </c>
      <c r="AK11" s="100">
        <v>0.4375</v>
      </c>
      <c r="AL11" s="100">
        <v>0.623249</v>
      </c>
      <c r="AM11" s="100">
        <v>0.411765</v>
      </c>
      <c r="AN11" s="100">
        <v>0.434783</v>
      </c>
      <c r="AO11" s="98">
        <v>1082.5439783491204</v>
      </c>
      <c r="AP11" s="158">
        <v>0.7280953217</v>
      </c>
      <c r="AQ11" s="100" t="s">
        <v>549</v>
      </c>
      <c r="AR11" s="100" t="s">
        <v>549</v>
      </c>
      <c r="AS11" s="98">
        <v>202.97699594046009</v>
      </c>
      <c r="AT11" s="98">
        <v>202.97699594046009</v>
      </c>
      <c r="AU11" s="98" t="s">
        <v>549</v>
      </c>
      <c r="AV11" s="98" t="s">
        <v>549</v>
      </c>
      <c r="AW11" s="98">
        <v>575.1014884979702</v>
      </c>
      <c r="AX11" s="98">
        <v>338.29499323410016</v>
      </c>
      <c r="AY11" s="98">
        <v>811.9079837618403</v>
      </c>
      <c r="AZ11" s="98">
        <v>473.6129905277402</v>
      </c>
      <c r="BA11" s="100" t="s">
        <v>549</v>
      </c>
      <c r="BB11" s="100" t="s">
        <v>549</v>
      </c>
      <c r="BC11" s="100" t="s">
        <v>549</v>
      </c>
      <c r="BD11" s="158">
        <v>0.4980166626</v>
      </c>
      <c r="BE11" s="158">
        <v>1.027853394</v>
      </c>
      <c r="BF11" s="162">
        <v>246</v>
      </c>
      <c r="BG11" s="162">
        <v>16</v>
      </c>
      <c r="BH11" s="162">
        <v>714</v>
      </c>
      <c r="BI11" s="162">
        <v>221</v>
      </c>
      <c r="BJ11" s="162">
        <v>92</v>
      </c>
      <c r="BK11" s="97"/>
      <c r="BL11" s="97"/>
      <c r="BM11" s="97"/>
      <c r="BN11" s="97"/>
    </row>
    <row r="12" spans="1:66" ht="12.75">
      <c r="A12" s="79" t="s">
        <v>536</v>
      </c>
      <c r="B12" s="79" t="s">
        <v>315</v>
      </c>
      <c r="C12" s="79" t="s">
        <v>73</v>
      </c>
      <c r="D12" s="99">
        <v>4652</v>
      </c>
      <c r="E12" s="99">
        <v>415</v>
      </c>
      <c r="F12" s="99" t="s">
        <v>343</v>
      </c>
      <c r="G12" s="99">
        <v>6</v>
      </c>
      <c r="H12" s="99" t="s">
        <v>549</v>
      </c>
      <c r="I12" s="99">
        <v>51</v>
      </c>
      <c r="J12" s="99">
        <v>268</v>
      </c>
      <c r="K12" s="99">
        <v>8</v>
      </c>
      <c r="L12" s="99">
        <v>879</v>
      </c>
      <c r="M12" s="99">
        <v>128</v>
      </c>
      <c r="N12" s="99">
        <v>60</v>
      </c>
      <c r="O12" s="99">
        <v>43</v>
      </c>
      <c r="P12" s="159">
        <v>43</v>
      </c>
      <c r="Q12" s="99" t="s">
        <v>549</v>
      </c>
      <c r="R12" s="99">
        <v>11</v>
      </c>
      <c r="S12" s="99">
        <v>10</v>
      </c>
      <c r="T12" s="99">
        <v>7</v>
      </c>
      <c r="U12" s="99" t="s">
        <v>549</v>
      </c>
      <c r="V12" s="99" t="s">
        <v>549</v>
      </c>
      <c r="W12" s="99">
        <v>25</v>
      </c>
      <c r="X12" s="99">
        <v>14</v>
      </c>
      <c r="Y12" s="99">
        <v>49</v>
      </c>
      <c r="Z12" s="99">
        <v>23</v>
      </c>
      <c r="AA12" s="99" t="s">
        <v>549</v>
      </c>
      <c r="AB12" s="99" t="s">
        <v>549</v>
      </c>
      <c r="AC12" s="99" t="s">
        <v>549</v>
      </c>
      <c r="AD12" s="98" t="s">
        <v>322</v>
      </c>
      <c r="AE12" s="100">
        <v>0.08920894239036974</v>
      </c>
      <c r="AF12" s="100">
        <v>0.24</v>
      </c>
      <c r="AG12" s="98">
        <v>128.9767841788478</v>
      </c>
      <c r="AH12" s="98" t="s">
        <v>549</v>
      </c>
      <c r="AI12" s="100">
        <v>0.011000000000000001</v>
      </c>
      <c r="AJ12" s="100">
        <v>0.680203</v>
      </c>
      <c r="AK12" s="100">
        <v>0.615385</v>
      </c>
      <c r="AL12" s="100">
        <v>0.753213</v>
      </c>
      <c r="AM12" s="100">
        <v>0.447552</v>
      </c>
      <c r="AN12" s="100">
        <v>0.571429</v>
      </c>
      <c r="AO12" s="98">
        <v>924.3336199484093</v>
      </c>
      <c r="AP12" s="158">
        <v>0.6586486816</v>
      </c>
      <c r="AQ12" s="100" t="s">
        <v>549</v>
      </c>
      <c r="AR12" s="100" t="s">
        <v>549</v>
      </c>
      <c r="AS12" s="98">
        <v>214.96130696474634</v>
      </c>
      <c r="AT12" s="98">
        <v>150.47291487532243</v>
      </c>
      <c r="AU12" s="98" t="s">
        <v>549</v>
      </c>
      <c r="AV12" s="98" t="s">
        <v>549</v>
      </c>
      <c r="AW12" s="98">
        <v>537.4032674118658</v>
      </c>
      <c r="AX12" s="98">
        <v>300.94582975064486</v>
      </c>
      <c r="AY12" s="98">
        <v>1053.310404127257</v>
      </c>
      <c r="AZ12" s="98">
        <v>494.4110060189166</v>
      </c>
      <c r="BA12" s="100" t="s">
        <v>549</v>
      </c>
      <c r="BB12" s="100" t="s">
        <v>549</v>
      </c>
      <c r="BC12" s="100" t="s">
        <v>549</v>
      </c>
      <c r="BD12" s="158">
        <v>0.4766673279</v>
      </c>
      <c r="BE12" s="158">
        <v>0.8871955108999999</v>
      </c>
      <c r="BF12" s="162">
        <v>394</v>
      </c>
      <c r="BG12" s="162">
        <v>13</v>
      </c>
      <c r="BH12" s="162">
        <v>1167</v>
      </c>
      <c r="BI12" s="162">
        <v>286</v>
      </c>
      <c r="BJ12" s="162">
        <v>105</v>
      </c>
      <c r="BK12" s="97"/>
      <c r="BL12" s="97"/>
      <c r="BM12" s="97"/>
      <c r="BN12" s="97"/>
    </row>
    <row r="13" spans="1:66" ht="12.75">
      <c r="A13" s="79" t="s">
        <v>526</v>
      </c>
      <c r="B13" s="79" t="s">
        <v>305</v>
      </c>
      <c r="C13" s="79" t="s">
        <v>73</v>
      </c>
      <c r="D13" s="99">
        <v>2230</v>
      </c>
      <c r="E13" s="99">
        <v>261</v>
      </c>
      <c r="F13" s="99" t="s">
        <v>343</v>
      </c>
      <c r="G13" s="99">
        <v>13</v>
      </c>
      <c r="H13" s="99">
        <v>6</v>
      </c>
      <c r="I13" s="99">
        <v>27</v>
      </c>
      <c r="J13" s="99">
        <v>105</v>
      </c>
      <c r="K13" s="99">
        <v>6</v>
      </c>
      <c r="L13" s="99">
        <v>343</v>
      </c>
      <c r="M13" s="99">
        <v>39</v>
      </c>
      <c r="N13" s="99">
        <v>26</v>
      </c>
      <c r="O13" s="99">
        <v>25</v>
      </c>
      <c r="P13" s="159">
        <v>25</v>
      </c>
      <c r="Q13" s="99" t="s">
        <v>549</v>
      </c>
      <c r="R13" s="99">
        <v>8</v>
      </c>
      <c r="S13" s="99">
        <v>8</v>
      </c>
      <c r="T13" s="99" t="s">
        <v>549</v>
      </c>
      <c r="U13" s="99" t="s">
        <v>549</v>
      </c>
      <c r="V13" s="99" t="s">
        <v>549</v>
      </c>
      <c r="W13" s="99">
        <v>10</v>
      </c>
      <c r="X13" s="99">
        <v>10</v>
      </c>
      <c r="Y13" s="99">
        <v>13</v>
      </c>
      <c r="Z13" s="99">
        <v>13</v>
      </c>
      <c r="AA13" s="99" t="s">
        <v>549</v>
      </c>
      <c r="AB13" s="99" t="s">
        <v>549</v>
      </c>
      <c r="AC13" s="99" t="s">
        <v>549</v>
      </c>
      <c r="AD13" s="98" t="s">
        <v>322</v>
      </c>
      <c r="AE13" s="100">
        <v>0.11704035874439461</v>
      </c>
      <c r="AF13" s="100">
        <v>0.28</v>
      </c>
      <c r="AG13" s="98">
        <v>582.9596412556053</v>
      </c>
      <c r="AH13" s="98">
        <v>269.05829596412553</v>
      </c>
      <c r="AI13" s="100">
        <v>0.012</v>
      </c>
      <c r="AJ13" s="100">
        <v>0.558511</v>
      </c>
      <c r="AK13" s="100">
        <v>0.5</v>
      </c>
      <c r="AL13" s="100">
        <v>0.672549</v>
      </c>
      <c r="AM13" s="100">
        <v>0.295455</v>
      </c>
      <c r="AN13" s="100">
        <v>0.45614</v>
      </c>
      <c r="AO13" s="98">
        <v>1121.0762331838564</v>
      </c>
      <c r="AP13" s="158">
        <v>0.7507997131</v>
      </c>
      <c r="AQ13" s="100" t="s">
        <v>549</v>
      </c>
      <c r="AR13" s="100" t="s">
        <v>549</v>
      </c>
      <c r="AS13" s="98">
        <v>358.74439461883406</v>
      </c>
      <c r="AT13" s="98" t="s">
        <v>549</v>
      </c>
      <c r="AU13" s="98" t="s">
        <v>549</v>
      </c>
      <c r="AV13" s="98" t="s">
        <v>549</v>
      </c>
      <c r="AW13" s="98">
        <v>448.4304932735426</v>
      </c>
      <c r="AX13" s="98">
        <v>448.4304932735426</v>
      </c>
      <c r="AY13" s="98">
        <v>582.9596412556053</v>
      </c>
      <c r="AZ13" s="98">
        <v>582.9596412556053</v>
      </c>
      <c r="BA13" s="100" t="s">
        <v>549</v>
      </c>
      <c r="BB13" s="100" t="s">
        <v>549</v>
      </c>
      <c r="BC13" s="100" t="s">
        <v>549</v>
      </c>
      <c r="BD13" s="158">
        <v>0.4858779526</v>
      </c>
      <c r="BE13" s="158">
        <v>1.1083284759999998</v>
      </c>
      <c r="BF13" s="162">
        <v>188</v>
      </c>
      <c r="BG13" s="162">
        <v>12</v>
      </c>
      <c r="BH13" s="162">
        <v>510</v>
      </c>
      <c r="BI13" s="162">
        <v>132</v>
      </c>
      <c r="BJ13" s="162">
        <v>57</v>
      </c>
      <c r="BK13" s="97"/>
      <c r="BL13" s="97"/>
      <c r="BM13" s="97"/>
      <c r="BN13" s="97"/>
    </row>
    <row r="14" spans="1:66" ht="12.75">
      <c r="A14" s="79" t="s">
        <v>533</v>
      </c>
      <c r="B14" s="79" t="s">
        <v>312</v>
      </c>
      <c r="C14" s="79" t="s">
        <v>73</v>
      </c>
      <c r="D14" s="99">
        <v>5459</v>
      </c>
      <c r="E14" s="99">
        <v>280</v>
      </c>
      <c r="F14" s="99" t="s">
        <v>343</v>
      </c>
      <c r="G14" s="99">
        <v>9</v>
      </c>
      <c r="H14" s="99" t="s">
        <v>549</v>
      </c>
      <c r="I14" s="99">
        <v>49</v>
      </c>
      <c r="J14" s="99">
        <v>172</v>
      </c>
      <c r="K14" s="99">
        <v>10</v>
      </c>
      <c r="L14" s="99">
        <v>1049</v>
      </c>
      <c r="M14" s="99">
        <v>91</v>
      </c>
      <c r="N14" s="99">
        <v>42</v>
      </c>
      <c r="O14" s="99">
        <v>126</v>
      </c>
      <c r="P14" s="159">
        <v>126</v>
      </c>
      <c r="Q14" s="99">
        <v>9</v>
      </c>
      <c r="R14" s="99">
        <v>13</v>
      </c>
      <c r="S14" s="99">
        <v>16</v>
      </c>
      <c r="T14" s="99">
        <v>26</v>
      </c>
      <c r="U14" s="99">
        <v>8</v>
      </c>
      <c r="V14" s="99">
        <v>12</v>
      </c>
      <c r="W14" s="99">
        <v>29</v>
      </c>
      <c r="X14" s="99">
        <v>22</v>
      </c>
      <c r="Y14" s="99">
        <v>45</v>
      </c>
      <c r="Z14" s="99">
        <v>22</v>
      </c>
      <c r="AA14" s="99" t="s">
        <v>549</v>
      </c>
      <c r="AB14" s="99" t="s">
        <v>549</v>
      </c>
      <c r="AC14" s="99" t="s">
        <v>549</v>
      </c>
      <c r="AD14" s="98" t="s">
        <v>322</v>
      </c>
      <c r="AE14" s="100">
        <v>0.05129144531965561</v>
      </c>
      <c r="AF14" s="100">
        <v>0.3</v>
      </c>
      <c r="AG14" s="98">
        <v>164.86535995603592</v>
      </c>
      <c r="AH14" s="98" t="s">
        <v>549</v>
      </c>
      <c r="AI14" s="100">
        <v>0.009000000000000001</v>
      </c>
      <c r="AJ14" s="100">
        <v>0.575251</v>
      </c>
      <c r="AK14" s="100">
        <v>0.526316</v>
      </c>
      <c r="AL14" s="100">
        <v>0.742918</v>
      </c>
      <c r="AM14" s="100">
        <v>0.404444</v>
      </c>
      <c r="AN14" s="100">
        <v>0.466667</v>
      </c>
      <c r="AO14" s="98">
        <v>2308.115039384503</v>
      </c>
      <c r="AP14" s="158">
        <v>2.082023773</v>
      </c>
      <c r="AQ14" s="100">
        <v>0.07142857142857142</v>
      </c>
      <c r="AR14" s="100">
        <v>0.6923076923076923</v>
      </c>
      <c r="AS14" s="98">
        <v>293.09397325517494</v>
      </c>
      <c r="AT14" s="98">
        <v>476.2777065396593</v>
      </c>
      <c r="AU14" s="98">
        <v>146.54698662758747</v>
      </c>
      <c r="AV14" s="98">
        <v>219.8204799413812</v>
      </c>
      <c r="AW14" s="98">
        <v>531.2328265250046</v>
      </c>
      <c r="AX14" s="98">
        <v>403.00421322586556</v>
      </c>
      <c r="AY14" s="98">
        <v>824.3267997801795</v>
      </c>
      <c r="AZ14" s="98">
        <v>403.00421322586556</v>
      </c>
      <c r="BA14" s="100" t="s">
        <v>549</v>
      </c>
      <c r="BB14" s="100" t="s">
        <v>549</v>
      </c>
      <c r="BC14" s="100" t="s">
        <v>549</v>
      </c>
      <c r="BD14" s="158">
        <v>1.734381409</v>
      </c>
      <c r="BE14" s="158">
        <v>2.478914642</v>
      </c>
      <c r="BF14" s="162">
        <v>299</v>
      </c>
      <c r="BG14" s="162">
        <v>19</v>
      </c>
      <c r="BH14" s="162">
        <v>1412</v>
      </c>
      <c r="BI14" s="162">
        <v>225</v>
      </c>
      <c r="BJ14" s="162">
        <v>90</v>
      </c>
      <c r="BK14" s="97"/>
      <c r="BL14" s="97"/>
      <c r="BM14" s="97"/>
      <c r="BN14" s="97"/>
    </row>
    <row r="15" spans="1:66" ht="12.75">
      <c r="A15" s="79" t="s">
        <v>552</v>
      </c>
      <c r="B15" s="79" t="s">
        <v>284</v>
      </c>
      <c r="C15" s="79" t="s">
        <v>73</v>
      </c>
      <c r="D15" s="99">
        <v>11718</v>
      </c>
      <c r="E15" s="99">
        <v>704</v>
      </c>
      <c r="F15" s="99" t="s">
        <v>343</v>
      </c>
      <c r="G15" s="99">
        <v>27</v>
      </c>
      <c r="H15" s="99">
        <v>18</v>
      </c>
      <c r="I15" s="99">
        <v>100</v>
      </c>
      <c r="J15" s="99">
        <v>485</v>
      </c>
      <c r="K15" s="99">
        <v>27</v>
      </c>
      <c r="L15" s="99">
        <v>1895</v>
      </c>
      <c r="M15" s="99">
        <v>196</v>
      </c>
      <c r="N15" s="99">
        <v>85</v>
      </c>
      <c r="O15" s="99">
        <v>221</v>
      </c>
      <c r="P15" s="159">
        <v>221</v>
      </c>
      <c r="Q15" s="99">
        <v>17</v>
      </c>
      <c r="R15" s="99">
        <v>25</v>
      </c>
      <c r="S15" s="99">
        <v>50</v>
      </c>
      <c r="T15" s="99">
        <v>37</v>
      </c>
      <c r="U15" s="99">
        <v>15</v>
      </c>
      <c r="V15" s="99">
        <v>34</v>
      </c>
      <c r="W15" s="99">
        <v>61</v>
      </c>
      <c r="X15" s="99">
        <v>48</v>
      </c>
      <c r="Y15" s="99">
        <v>121</v>
      </c>
      <c r="Z15" s="99">
        <v>48</v>
      </c>
      <c r="AA15" s="99" t="s">
        <v>549</v>
      </c>
      <c r="AB15" s="99" t="s">
        <v>549</v>
      </c>
      <c r="AC15" s="99" t="s">
        <v>549</v>
      </c>
      <c r="AD15" s="98" t="s">
        <v>322</v>
      </c>
      <c r="AE15" s="100">
        <v>0.06007851169141492</v>
      </c>
      <c r="AF15" s="100">
        <v>0.28</v>
      </c>
      <c r="AG15" s="98">
        <v>230.4147465437788</v>
      </c>
      <c r="AH15" s="98">
        <v>153.60983102918587</v>
      </c>
      <c r="AI15" s="100">
        <v>0.009000000000000001</v>
      </c>
      <c r="AJ15" s="100">
        <v>0.609296</v>
      </c>
      <c r="AK15" s="100">
        <v>0.442623</v>
      </c>
      <c r="AL15" s="100">
        <v>0.665379</v>
      </c>
      <c r="AM15" s="100">
        <v>0.364991</v>
      </c>
      <c r="AN15" s="100">
        <v>0.445026</v>
      </c>
      <c r="AO15" s="98">
        <v>1885.9873698583376</v>
      </c>
      <c r="AP15" s="158">
        <v>1.56183609</v>
      </c>
      <c r="AQ15" s="100">
        <v>0.07692307692307693</v>
      </c>
      <c r="AR15" s="100">
        <v>0.68</v>
      </c>
      <c r="AS15" s="98">
        <v>426.69397508107187</v>
      </c>
      <c r="AT15" s="98">
        <v>315.75354155999315</v>
      </c>
      <c r="AU15" s="98">
        <v>128.00819252432154</v>
      </c>
      <c r="AV15" s="98">
        <v>290.15190305512886</v>
      </c>
      <c r="AW15" s="98">
        <v>520.5666495989077</v>
      </c>
      <c r="AX15" s="98">
        <v>409.626216077829</v>
      </c>
      <c r="AY15" s="98">
        <v>1032.599419696194</v>
      </c>
      <c r="AZ15" s="98">
        <v>409.626216077829</v>
      </c>
      <c r="BA15" s="100" t="s">
        <v>549</v>
      </c>
      <c r="BB15" s="100" t="s">
        <v>549</v>
      </c>
      <c r="BC15" s="100" t="s">
        <v>549</v>
      </c>
      <c r="BD15" s="158">
        <v>1.3626945499999998</v>
      </c>
      <c r="BE15" s="158">
        <v>1.7818933110000001</v>
      </c>
      <c r="BF15" s="162">
        <v>796</v>
      </c>
      <c r="BG15" s="162">
        <v>61</v>
      </c>
      <c r="BH15" s="162">
        <v>2848</v>
      </c>
      <c r="BI15" s="162">
        <v>537</v>
      </c>
      <c r="BJ15" s="162">
        <v>191</v>
      </c>
      <c r="BK15" s="97"/>
      <c r="BL15" s="97"/>
      <c r="BM15" s="97"/>
      <c r="BN15" s="97"/>
    </row>
    <row r="16" spans="1:66" ht="12.75">
      <c r="A16" s="79" t="s">
        <v>537</v>
      </c>
      <c r="B16" s="79" t="s">
        <v>316</v>
      </c>
      <c r="C16" s="79" t="s">
        <v>73</v>
      </c>
      <c r="D16" s="99">
        <v>4615</v>
      </c>
      <c r="E16" s="99">
        <v>513</v>
      </c>
      <c r="F16" s="99" t="s">
        <v>343</v>
      </c>
      <c r="G16" s="99">
        <v>13</v>
      </c>
      <c r="H16" s="99">
        <v>18</v>
      </c>
      <c r="I16" s="99">
        <v>58</v>
      </c>
      <c r="J16" s="99">
        <v>373</v>
      </c>
      <c r="K16" s="99">
        <v>21</v>
      </c>
      <c r="L16" s="99">
        <v>932</v>
      </c>
      <c r="M16" s="99">
        <v>169</v>
      </c>
      <c r="N16" s="99">
        <v>70</v>
      </c>
      <c r="O16" s="99">
        <v>113</v>
      </c>
      <c r="P16" s="159">
        <v>113</v>
      </c>
      <c r="Q16" s="99">
        <v>11</v>
      </c>
      <c r="R16" s="99">
        <v>15</v>
      </c>
      <c r="S16" s="99">
        <v>17</v>
      </c>
      <c r="T16" s="99">
        <v>19</v>
      </c>
      <c r="U16" s="99" t="s">
        <v>549</v>
      </c>
      <c r="V16" s="99">
        <v>19</v>
      </c>
      <c r="W16" s="99">
        <v>39</v>
      </c>
      <c r="X16" s="99">
        <v>23</v>
      </c>
      <c r="Y16" s="99">
        <v>65</v>
      </c>
      <c r="Z16" s="99">
        <v>33</v>
      </c>
      <c r="AA16" s="99" t="s">
        <v>549</v>
      </c>
      <c r="AB16" s="99" t="s">
        <v>549</v>
      </c>
      <c r="AC16" s="99" t="s">
        <v>549</v>
      </c>
      <c r="AD16" s="98" t="s">
        <v>322</v>
      </c>
      <c r="AE16" s="100">
        <v>0.11115926327193933</v>
      </c>
      <c r="AF16" s="100">
        <v>0.25</v>
      </c>
      <c r="AG16" s="98">
        <v>281.6901408450704</v>
      </c>
      <c r="AH16" s="98">
        <v>390.03250270855904</v>
      </c>
      <c r="AI16" s="100">
        <v>0.013000000000000001</v>
      </c>
      <c r="AJ16" s="100">
        <v>0.737154</v>
      </c>
      <c r="AK16" s="100">
        <v>0.7</v>
      </c>
      <c r="AL16" s="100">
        <v>0.749196</v>
      </c>
      <c r="AM16" s="100">
        <v>0.485632</v>
      </c>
      <c r="AN16" s="100">
        <v>0.486111</v>
      </c>
      <c r="AO16" s="98">
        <v>2448.537378114843</v>
      </c>
      <c r="AP16" s="158">
        <v>1.5172286990000001</v>
      </c>
      <c r="AQ16" s="100">
        <v>0.09734513274336283</v>
      </c>
      <c r="AR16" s="100">
        <v>0.7333333333333333</v>
      </c>
      <c r="AS16" s="98">
        <v>368.36403033586134</v>
      </c>
      <c r="AT16" s="98">
        <v>411.7009750812568</v>
      </c>
      <c r="AU16" s="98" t="s">
        <v>549</v>
      </c>
      <c r="AV16" s="98">
        <v>411.7009750812568</v>
      </c>
      <c r="AW16" s="98">
        <v>845.0704225352113</v>
      </c>
      <c r="AX16" s="98">
        <v>498.37486457204767</v>
      </c>
      <c r="AY16" s="98">
        <v>1408.4507042253522</v>
      </c>
      <c r="AZ16" s="98">
        <v>715.0595882990249</v>
      </c>
      <c r="BA16" s="100" t="s">
        <v>549</v>
      </c>
      <c r="BB16" s="100" t="s">
        <v>549</v>
      </c>
      <c r="BC16" s="100" t="s">
        <v>549</v>
      </c>
      <c r="BD16" s="158">
        <v>1.250411148</v>
      </c>
      <c r="BE16" s="158">
        <v>1.82412735</v>
      </c>
      <c r="BF16" s="162">
        <v>506</v>
      </c>
      <c r="BG16" s="162">
        <v>30</v>
      </c>
      <c r="BH16" s="162">
        <v>1244</v>
      </c>
      <c r="BI16" s="162">
        <v>348</v>
      </c>
      <c r="BJ16" s="162">
        <v>144</v>
      </c>
      <c r="BK16" s="97"/>
      <c r="BL16" s="97"/>
      <c r="BM16" s="97"/>
      <c r="BN16" s="97"/>
    </row>
    <row r="17" spans="1:66" ht="12.75">
      <c r="A17" s="79" t="s">
        <v>517</v>
      </c>
      <c r="B17" s="79" t="s">
        <v>296</v>
      </c>
      <c r="C17" s="79" t="s">
        <v>73</v>
      </c>
      <c r="D17" s="99">
        <v>6450</v>
      </c>
      <c r="E17" s="99">
        <v>453</v>
      </c>
      <c r="F17" s="99" t="s">
        <v>343</v>
      </c>
      <c r="G17" s="99">
        <v>20</v>
      </c>
      <c r="H17" s="99">
        <v>10</v>
      </c>
      <c r="I17" s="99">
        <v>43</v>
      </c>
      <c r="J17" s="99">
        <v>257</v>
      </c>
      <c r="K17" s="99">
        <v>27</v>
      </c>
      <c r="L17" s="99">
        <v>1220</v>
      </c>
      <c r="M17" s="99">
        <v>111</v>
      </c>
      <c r="N17" s="99">
        <v>47</v>
      </c>
      <c r="O17" s="99">
        <v>150</v>
      </c>
      <c r="P17" s="159">
        <v>150</v>
      </c>
      <c r="Q17" s="99">
        <v>12</v>
      </c>
      <c r="R17" s="99">
        <v>22</v>
      </c>
      <c r="S17" s="99">
        <v>24</v>
      </c>
      <c r="T17" s="99">
        <v>26</v>
      </c>
      <c r="U17" s="99" t="s">
        <v>549</v>
      </c>
      <c r="V17" s="99">
        <v>21</v>
      </c>
      <c r="W17" s="99">
        <v>39</v>
      </c>
      <c r="X17" s="99">
        <v>27</v>
      </c>
      <c r="Y17" s="99">
        <v>55</v>
      </c>
      <c r="Z17" s="99">
        <v>27</v>
      </c>
      <c r="AA17" s="99" t="s">
        <v>549</v>
      </c>
      <c r="AB17" s="99" t="s">
        <v>549</v>
      </c>
      <c r="AC17" s="99" t="s">
        <v>549</v>
      </c>
      <c r="AD17" s="98" t="s">
        <v>322</v>
      </c>
      <c r="AE17" s="100">
        <v>0.07023255813953488</v>
      </c>
      <c r="AF17" s="100">
        <v>0.31</v>
      </c>
      <c r="AG17" s="98">
        <v>310.07751937984494</v>
      </c>
      <c r="AH17" s="98">
        <v>155.03875968992247</v>
      </c>
      <c r="AI17" s="100">
        <v>0.006999999999999999</v>
      </c>
      <c r="AJ17" s="100">
        <v>0.580135</v>
      </c>
      <c r="AK17" s="100">
        <v>0.710526</v>
      </c>
      <c r="AL17" s="100">
        <v>0.718916</v>
      </c>
      <c r="AM17" s="100">
        <v>0.345794</v>
      </c>
      <c r="AN17" s="100">
        <v>0.391667</v>
      </c>
      <c r="AO17" s="98">
        <v>2325.5813953488373</v>
      </c>
      <c r="AP17" s="158">
        <v>1.804543152</v>
      </c>
      <c r="AQ17" s="100">
        <v>0.08</v>
      </c>
      <c r="AR17" s="100">
        <v>0.5454545454545454</v>
      </c>
      <c r="AS17" s="98">
        <v>372.09302325581393</v>
      </c>
      <c r="AT17" s="98">
        <v>403.1007751937984</v>
      </c>
      <c r="AU17" s="98" t="s">
        <v>549</v>
      </c>
      <c r="AV17" s="98">
        <v>325.5813953488372</v>
      </c>
      <c r="AW17" s="98">
        <v>604.6511627906976</v>
      </c>
      <c r="AX17" s="98">
        <v>418.6046511627907</v>
      </c>
      <c r="AY17" s="98">
        <v>852.7131782945736</v>
      </c>
      <c r="AZ17" s="98">
        <v>418.6046511627907</v>
      </c>
      <c r="BA17" s="100" t="s">
        <v>549</v>
      </c>
      <c r="BB17" s="100" t="s">
        <v>549</v>
      </c>
      <c r="BC17" s="100" t="s">
        <v>549</v>
      </c>
      <c r="BD17" s="158">
        <v>1.5273190310000002</v>
      </c>
      <c r="BE17" s="158">
        <v>2.117537079</v>
      </c>
      <c r="BF17" s="162">
        <v>443</v>
      </c>
      <c r="BG17" s="162">
        <v>38</v>
      </c>
      <c r="BH17" s="162">
        <v>1697</v>
      </c>
      <c r="BI17" s="162">
        <v>321</v>
      </c>
      <c r="BJ17" s="162">
        <v>120</v>
      </c>
      <c r="BK17" s="97"/>
      <c r="BL17" s="97"/>
      <c r="BM17" s="97"/>
      <c r="BN17" s="97"/>
    </row>
    <row r="18" spans="1:66" ht="12.75">
      <c r="A18" s="79" t="s">
        <v>535</v>
      </c>
      <c r="B18" s="79" t="s">
        <v>314</v>
      </c>
      <c r="C18" s="79" t="s">
        <v>73</v>
      </c>
      <c r="D18" s="99">
        <v>2507</v>
      </c>
      <c r="E18" s="99">
        <v>226</v>
      </c>
      <c r="F18" s="99" t="s">
        <v>343</v>
      </c>
      <c r="G18" s="99" t="s">
        <v>549</v>
      </c>
      <c r="H18" s="99">
        <v>7</v>
      </c>
      <c r="I18" s="99">
        <v>40</v>
      </c>
      <c r="J18" s="99">
        <v>146</v>
      </c>
      <c r="K18" s="99">
        <v>7</v>
      </c>
      <c r="L18" s="99">
        <v>557</v>
      </c>
      <c r="M18" s="99">
        <v>69</v>
      </c>
      <c r="N18" s="99">
        <v>25</v>
      </c>
      <c r="O18" s="99">
        <v>29</v>
      </c>
      <c r="P18" s="159">
        <v>29</v>
      </c>
      <c r="Q18" s="99" t="s">
        <v>549</v>
      </c>
      <c r="R18" s="99">
        <v>6</v>
      </c>
      <c r="S18" s="99">
        <v>6</v>
      </c>
      <c r="T18" s="99">
        <v>7</v>
      </c>
      <c r="U18" s="99" t="s">
        <v>549</v>
      </c>
      <c r="V18" s="99" t="s">
        <v>549</v>
      </c>
      <c r="W18" s="99">
        <v>15</v>
      </c>
      <c r="X18" s="99">
        <v>7</v>
      </c>
      <c r="Y18" s="99">
        <v>25</v>
      </c>
      <c r="Z18" s="99">
        <v>13</v>
      </c>
      <c r="AA18" s="99" t="s">
        <v>549</v>
      </c>
      <c r="AB18" s="99" t="s">
        <v>549</v>
      </c>
      <c r="AC18" s="99" t="s">
        <v>549</v>
      </c>
      <c r="AD18" s="98" t="s">
        <v>322</v>
      </c>
      <c r="AE18" s="100">
        <v>0.09014758675708018</v>
      </c>
      <c r="AF18" s="100">
        <v>0.27</v>
      </c>
      <c r="AG18" s="98" t="s">
        <v>549</v>
      </c>
      <c r="AH18" s="98">
        <v>279.2181890706023</v>
      </c>
      <c r="AI18" s="100">
        <v>0.016</v>
      </c>
      <c r="AJ18" s="100">
        <v>0.691943</v>
      </c>
      <c r="AK18" s="100">
        <v>0.777778</v>
      </c>
      <c r="AL18" s="100">
        <v>0.860896</v>
      </c>
      <c r="AM18" s="100">
        <v>0.410714</v>
      </c>
      <c r="AN18" s="100">
        <v>0.446429</v>
      </c>
      <c r="AO18" s="98">
        <v>1156.761069006781</v>
      </c>
      <c r="AP18" s="158">
        <v>0.8279060364</v>
      </c>
      <c r="AQ18" s="100" t="s">
        <v>549</v>
      </c>
      <c r="AR18" s="100" t="s">
        <v>549</v>
      </c>
      <c r="AS18" s="98">
        <v>239.32987634623055</v>
      </c>
      <c r="AT18" s="98">
        <v>279.2181890706023</v>
      </c>
      <c r="AU18" s="98" t="s">
        <v>549</v>
      </c>
      <c r="AV18" s="98" t="s">
        <v>549</v>
      </c>
      <c r="AW18" s="98">
        <v>598.3246908655764</v>
      </c>
      <c r="AX18" s="98">
        <v>279.2181890706023</v>
      </c>
      <c r="AY18" s="98">
        <v>997.207818109294</v>
      </c>
      <c r="AZ18" s="98">
        <v>518.5480654168329</v>
      </c>
      <c r="BA18" s="100" t="s">
        <v>549</v>
      </c>
      <c r="BB18" s="100" t="s">
        <v>549</v>
      </c>
      <c r="BC18" s="100" t="s">
        <v>549</v>
      </c>
      <c r="BD18" s="158">
        <v>0.5544616318</v>
      </c>
      <c r="BE18" s="158">
        <v>1.189011154</v>
      </c>
      <c r="BF18" s="162">
        <v>211</v>
      </c>
      <c r="BG18" s="162">
        <v>9</v>
      </c>
      <c r="BH18" s="162">
        <v>647</v>
      </c>
      <c r="BI18" s="162">
        <v>168</v>
      </c>
      <c r="BJ18" s="162">
        <v>56</v>
      </c>
      <c r="BK18" s="97"/>
      <c r="BL18" s="97"/>
      <c r="BM18" s="97"/>
      <c r="BN18" s="97"/>
    </row>
    <row r="19" spans="1:66" ht="12.75">
      <c r="A19" s="79" t="s">
        <v>519</v>
      </c>
      <c r="B19" s="79" t="s">
        <v>298</v>
      </c>
      <c r="C19" s="79" t="s">
        <v>73</v>
      </c>
      <c r="D19" s="99">
        <v>3619</v>
      </c>
      <c r="E19" s="99">
        <v>431</v>
      </c>
      <c r="F19" s="99" t="s">
        <v>343</v>
      </c>
      <c r="G19" s="99">
        <v>14</v>
      </c>
      <c r="H19" s="99">
        <v>12</v>
      </c>
      <c r="I19" s="99">
        <v>38</v>
      </c>
      <c r="J19" s="99">
        <v>184</v>
      </c>
      <c r="K19" s="99">
        <v>67</v>
      </c>
      <c r="L19" s="99">
        <v>607</v>
      </c>
      <c r="M19" s="99">
        <v>92</v>
      </c>
      <c r="N19" s="99">
        <v>37</v>
      </c>
      <c r="O19" s="99">
        <v>52</v>
      </c>
      <c r="P19" s="159">
        <v>52</v>
      </c>
      <c r="Q19" s="99" t="s">
        <v>549</v>
      </c>
      <c r="R19" s="99">
        <v>10</v>
      </c>
      <c r="S19" s="99">
        <v>7</v>
      </c>
      <c r="T19" s="99">
        <v>10</v>
      </c>
      <c r="U19" s="99" t="s">
        <v>549</v>
      </c>
      <c r="V19" s="99" t="s">
        <v>549</v>
      </c>
      <c r="W19" s="99">
        <v>18</v>
      </c>
      <c r="X19" s="99">
        <v>10</v>
      </c>
      <c r="Y19" s="99">
        <v>33</v>
      </c>
      <c r="Z19" s="99">
        <v>29</v>
      </c>
      <c r="AA19" s="99" t="s">
        <v>549</v>
      </c>
      <c r="AB19" s="99" t="s">
        <v>549</v>
      </c>
      <c r="AC19" s="99" t="s">
        <v>549</v>
      </c>
      <c r="AD19" s="98" t="s">
        <v>322</v>
      </c>
      <c r="AE19" s="100">
        <v>0.11909367228516164</v>
      </c>
      <c r="AF19" s="100">
        <v>0.32</v>
      </c>
      <c r="AG19" s="98">
        <v>386.84719535783364</v>
      </c>
      <c r="AH19" s="98">
        <v>331.58331030671457</v>
      </c>
      <c r="AI19" s="100">
        <v>0.011000000000000001</v>
      </c>
      <c r="AJ19" s="100">
        <v>0.611296</v>
      </c>
      <c r="AK19" s="100">
        <v>0.705263</v>
      </c>
      <c r="AL19" s="100">
        <v>0.709112</v>
      </c>
      <c r="AM19" s="100">
        <v>0.389831</v>
      </c>
      <c r="AN19" s="100">
        <v>0.389474</v>
      </c>
      <c r="AO19" s="98">
        <v>1436.8610113290965</v>
      </c>
      <c r="AP19" s="158">
        <v>0.9538146209999999</v>
      </c>
      <c r="AQ19" s="100" t="s">
        <v>549</v>
      </c>
      <c r="AR19" s="100" t="s">
        <v>549</v>
      </c>
      <c r="AS19" s="98">
        <v>193.42359767891682</v>
      </c>
      <c r="AT19" s="98">
        <v>276.3194252555955</v>
      </c>
      <c r="AU19" s="98" t="s">
        <v>549</v>
      </c>
      <c r="AV19" s="98" t="s">
        <v>549</v>
      </c>
      <c r="AW19" s="98">
        <v>497.37496546007185</v>
      </c>
      <c r="AX19" s="98">
        <v>276.3194252555955</v>
      </c>
      <c r="AY19" s="98">
        <v>911.854103343465</v>
      </c>
      <c r="AZ19" s="98">
        <v>801.3263332412268</v>
      </c>
      <c r="BA19" s="100" t="s">
        <v>549</v>
      </c>
      <c r="BB19" s="100" t="s">
        <v>549</v>
      </c>
      <c r="BC19" s="100" t="s">
        <v>549</v>
      </c>
      <c r="BD19" s="158">
        <v>0.7123543549</v>
      </c>
      <c r="BE19" s="158">
        <v>1.250800934</v>
      </c>
      <c r="BF19" s="162">
        <v>301</v>
      </c>
      <c r="BG19" s="162">
        <v>95</v>
      </c>
      <c r="BH19" s="162">
        <v>856</v>
      </c>
      <c r="BI19" s="162">
        <v>236</v>
      </c>
      <c r="BJ19" s="162">
        <v>95</v>
      </c>
      <c r="BK19" s="97"/>
      <c r="BL19" s="97"/>
      <c r="BM19" s="97"/>
      <c r="BN19" s="97"/>
    </row>
    <row r="20" spans="1:66" ht="12.75">
      <c r="A20" s="79" t="s">
        <v>541</v>
      </c>
      <c r="B20" s="79" t="s">
        <v>321</v>
      </c>
      <c r="C20" s="79" t="s">
        <v>73</v>
      </c>
      <c r="D20" s="99">
        <v>2012</v>
      </c>
      <c r="E20" s="99">
        <v>247</v>
      </c>
      <c r="F20" s="99" t="s">
        <v>343</v>
      </c>
      <c r="G20" s="99" t="s">
        <v>549</v>
      </c>
      <c r="H20" s="99" t="s">
        <v>549</v>
      </c>
      <c r="I20" s="99">
        <v>13</v>
      </c>
      <c r="J20" s="99">
        <v>136</v>
      </c>
      <c r="K20" s="99">
        <v>6</v>
      </c>
      <c r="L20" s="99">
        <v>366</v>
      </c>
      <c r="M20" s="99">
        <v>57</v>
      </c>
      <c r="N20" s="99">
        <v>23</v>
      </c>
      <c r="O20" s="99">
        <v>15</v>
      </c>
      <c r="P20" s="159">
        <v>15</v>
      </c>
      <c r="Q20" s="99" t="s">
        <v>549</v>
      </c>
      <c r="R20" s="99" t="s">
        <v>549</v>
      </c>
      <c r="S20" s="99" t="s">
        <v>549</v>
      </c>
      <c r="T20" s="99" t="s">
        <v>549</v>
      </c>
      <c r="U20" s="99" t="s">
        <v>549</v>
      </c>
      <c r="V20" s="99">
        <v>8</v>
      </c>
      <c r="W20" s="99" t="s">
        <v>549</v>
      </c>
      <c r="X20" s="99">
        <v>10</v>
      </c>
      <c r="Y20" s="99">
        <v>13</v>
      </c>
      <c r="Z20" s="99">
        <v>13</v>
      </c>
      <c r="AA20" s="99" t="s">
        <v>549</v>
      </c>
      <c r="AB20" s="99" t="s">
        <v>549</v>
      </c>
      <c r="AC20" s="99" t="s">
        <v>549</v>
      </c>
      <c r="AD20" s="98" t="s">
        <v>322</v>
      </c>
      <c r="AE20" s="100">
        <v>0.12276341948310139</v>
      </c>
      <c r="AF20" s="100">
        <v>0.24</v>
      </c>
      <c r="AG20" s="98" t="s">
        <v>549</v>
      </c>
      <c r="AH20" s="98" t="s">
        <v>549</v>
      </c>
      <c r="AI20" s="100">
        <v>0.006</v>
      </c>
      <c r="AJ20" s="100">
        <v>0.647619</v>
      </c>
      <c r="AK20" s="100">
        <v>0.75</v>
      </c>
      <c r="AL20" s="100">
        <v>0.754639</v>
      </c>
      <c r="AM20" s="100">
        <v>0.37013</v>
      </c>
      <c r="AN20" s="100">
        <v>0.396552</v>
      </c>
      <c r="AO20" s="98">
        <v>745.5268389662028</v>
      </c>
      <c r="AP20" s="158">
        <v>0.4475385284</v>
      </c>
      <c r="AQ20" s="100" t="s">
        <v>549</v>
      </c>
      <c r="AR20" s="100" t="s">
        <v>549</v>
      </c>
      <c r="AS20" s="98" t="s">
        <v>549</v>
      </c>
      <c r="AT20" s="98" t="s">
        <v>549</v>
      </c>
      <c r="AU20" s="98" t="s">
        <v>549</v>
      </c>
      <c r="AV20" s="98">
        <v>397.61431411530816</v>
      </c>
      <c r="AW20" s="98" t="s">
        <v>549</v>
      </c>
      <c r="AX20" s="98">
        <v>497.0178926441352</v>
      </c>
      <c r="AY20" s="98">
        <v>646.1232604373757</v>
      </c>
      <c r="AZ20" s="98">
        <v>646.1232604373757</v>
      </c>
      <c r="BA20" s="100" t="s">
        <v>549</v>
      </c>
      <c r="BB20" s="100" t="s">
        <v>549</v>
      </c>
      <c r="BC20" s="100" t="s">
        <v>549</v>
      </c>
      <c r="BD20" s="158">
        <v>0.2504839134</v>
      </c>
      <c r="BE20" s="158">
        <v>0.7381467438</v>
      </c>
      <c r="BF20" s="162">
        <v>210</v>
      </c>
      <c r="BG20" s="162">
        <v>8</v>
      </c>
      <c r="BH20" s="162">
        <v>485</v>
      </c>
      <c r="BI20" s="162">
        <v>154</v>
      </c>
      <c r="BJ20" s="162">
        <v>58</v>
      </c>
      <c r="BK20" s="97"/>
      <c r="BL20" s="97"/>
      <c r="BM20" s="97"/>
      <c r="BN20" s="97"/>
    </row>
    <row r="21" spans="1:66" ht="12.75">
      <c r="A21" s="79" t="s">
        <v>506</v>
      </c>
      <c r="B21" s="79" t="s">
        <v>283</v>
      </c>
      <c r="C21" s="79" t="s">
        <v>73</v>
      </c>
      <c r="D21" s="99">
        <v>3554</v>
      </c>
      <c r="E21" s="99">
        <v>390</v>
      </c>
      <c r="F21" s="99" t="s">
        <v>342</v>
      </c>
      <c r="G21" s="99">
        <v>18</v>
      </c>
      <c r="H21" s="99">
        <v>6</v>
      </c>
      <c r="I21" s="99">
        <v>51</v>
      </c>
      <c r="J21" s="99">
        <v>265</v>
      </c>
      <c r="K21" s="99">
        <v>84</v>
      </c>
      <c r="L21" s="99">
        <v>644</v>
      </c>
      <c r="M21" s="99">
        <v>120</v>
      </c>
      <c r="N21" s="99">
        <v>56</v>
      </c>
      <c r="O21" s="99">
        <v>41</v>
      </c>
      <c r="P21" s="159">
        <v>41</v>
      </c>
      <c r="Q21" s="99" t="s">
        <v>549</v>
      </c>
      <c r="R21" s="99">
        <v>8</v>
      </c>
      <c r="S21" s="99">
        <v>9</v>
      </c>
      <c r="T21" s="99">
        <v>7</v>
      </c>
      <c r="U21" s="99" t="s">
        <v>549</v>
      </c>
      <c r="V21" s="99">
        <v>7</v>
      </c>
      <c r="W21" s="99">
        <v>19</v>
      </c>
      <c r="X21" s="99">
        <v>9</v>
      </c>
      <c r="Y21" s="99">
        <v>27</v>
      </c>
      <c r="Z21" s="99">
        <v>23</v>
      </c>
      <c r="AA21" s="99" t="s">
        <v>549</v>
      </c>
      <c r="AB21" s="99" t="s">
        <v>549</v>
      </c>
      <c r="AC21" s="99" t="s">
        <v>549</v>
      </c>
      <c r="AD21" s="98" t="s">
        <v>322</v>
      </c>
      <c r="AE21" s="100">
        <v>0.10973550928531232</v>
      </c>
      <c r="AF21" s="100">
        <v>0.23</v>
      </c>
      <c r="AG21" s="98">
        <v>506.47158131682613</v>
      </c>
      <c r="AH21" s="98">
        <v>168.82386043894203</v>
      </c>
      <c r="AI21" s="100">
        <v>0.013999999999999999</v>
      </c>
      <c r="AJ21" s="100">
        <v>0.732044</v>
      </c>
      <c r="AK21" s="100">
        <v>0.717949</v>
      </c>
      <c r="AL21" s="100">
        <v>0.753216</v>
      </c>
      <c r="AM21" s="100">
        <v>0.380952</v>
      </c>
      <c r="AN21" s="100">
        <v>0.470588</v>
      </c>
      <c r="AO21" s="98">
        <v>1153.6297129994373</v>
      </c>
      <c r="AP21" s="158">
        <v>0.7528109741</v>
      </c>
      <c r="AQ21" s="100" t="s">
        <v>549</v>
      </c>
      <c r="AR21" s="100" t="s">
        <v>549</v>
      </c>
      <c r="AS21" s="98">
        <v>253.23579065841307</v>
      </c>
      <c r="AT21" s="98">
        <v>196.96117051209905</v>
      </c>
      <c r="AU21" s="98" t="s">
        <v>549</v>
      </c>
      <c r="AV21" s="98">
        <v>196.96117051209905</v>
      </c>
      <c r="AW21" s="98">
        <v>534.6088913899831</v>
      </c>
      <c r="AX21" s="98">
        <v>253.23579065841307</v>
      </c>
      <c r="AY21" s="98">
        <v>759.7073719752392</v>
      </c>
      <c r="AZ21" s="98">
        <v>647.1581316826112</v>
      </c>
      <c r="BA21" s="100" t="s">
        <v>549</v>
      </c>
      <c r="BB21" s="100" t="s">
        <v>549</v>
      </c>
      <c r="BC21" s="100" t="s">
        <v>549</v>
      </c>
      <c r="BD21" s="158">
        <v>0.5402301407</v>
      </c>
      <c r="BE21" s="158">
        <v>1.021273041</v>
      </c>
      <c r="BF21" s="162">
        <v>362</v>
      </c>
      <c r="BG21" s="162">
        <v>117</v>
      </c>
      <c r="BH21" s="162">
        <v>855</v>
      </c>
      <c r="BI21" s="162">
        <v>315</v>
      </c>
      <c r="BJ21" s="162">
        <v>119</v>
      </c>
      <c r="BK21" s="97"/>
      <c r="BL21" s="97"/>
      <c r="BM21" s="97"/>
      <c r="BN21" s="97"/>
    </row>
    <row r="22" spans="1:66" ht="12.75">
      <c r="A22" s="79" t="s">
        <v>507</v>
      </c>
      <c r="B22" s="79" t="s">
        <v>285</v>
      </c>
      <c r="C22" s="79" t="s">
        <v>73</v>
      </c>
      <c r="D22" s="99">
        <v>5141</v>
      </c>
      <c r="E22" s="99">
        <v>622</v>
      </c>
      <c r="F22" s="99" t="s">
        <v>343</v>
      </c>
      <c r="G22" s="99">
        <v>18</v>
      </c>
      <c r="H22" s="99">
        <v>29</v>
      </c>
      <c r="I22" s="99">
        <v>66</v>
      </c>
      <c r="J22" s="99">
        <v>286</v>
      </c>
      <c r="K22" s="99">
        <v>17</v>
      </c>
      <c r="L22" s="99">
        <v>956</v>
      </c>
      <c r="M22" s="99">
        <v>154</v>
      </c>
      <c r="N22" s="99">
        <v>62</v>
      </c>
      <c r="O22" s="99">
        <v>60</v>
      </c>
      <c r="P22" s="159">
        <v>60</v>
      </c>
      <c r="Q22" s="99">
        <v>12</v>
      </c>
      <c r="R22" s="99">
        <v>28</v>
      </c>
      <c r="S22" s="99">
        <v>17</v>
      </c>
      <c r="T22" s="99">
        <v>7</v>
      </c>
      <c r="U22" s="99" t="s">
        <v>549</v>
      </c>
      <c r="V22" s="99">
        <v>8</v>
      </c>
      <c r="W22" s="99">
        <v>17</v>
      </c>
      <c r="X22" s="99">
        <v>14</v>
      </c>
      <c r="Y22" s="99">
        <v>51</v>
      </c>
      <c r="Z22" s="99">
        <v>40</v>
      </c>
      <c r="AA22" s="99" t="s">
        <v>549</v>
      </c>
      <c r="AB22" s="99" t="s">
        <v>549</v>
      </c>
      <c r="AC22" s="99" t="s">
        <v>549</v>
      </c>
      <c r="AD22" s="98" t="s">
        <v>322</v>
      </c>
      <c r="AE22" s="100">
        <v>0.12098813460416262</v>
      </c>
      <c r="AF22" s="100">
        <v>0.28</v>
      </c>
      <c r="AG22" s="98">
        <v>350.1264345458082</v>
      </c>
      <c r="AH22" s="98">
        <v>564.0925889904688</v>
      </c>
      <c r="AI22" s="100">
        <v>0.013000000000000001</v>
      </c>
      <c r="AJ22" s="100">
        <v>0.669789</v>
      </c>
      <c r="AK22" s="100">
        <v>0.653846</v>
      </c>
      <c r="AL22" s="100">
        <v>0.707624</v>
      </c>
      <c r="AM22" s="100">
        <v>0.420765</v>
      </c>
      <c r="AN22" s="100">
        <v>0.462687</v>
      </c>
      <c r="AO22" s="98">
        <v>1167.088115152694</v>
      </c>
      <c r="AP22" s="158">
        <v>0.7565627289</v>
      </c>
      <c r="AQ22" s="100">
        <v>0.2</v>
      </c>
      <c r="AR22" s="100">
        <v>0.42857142857142855</v>
      </c>
      <c r="AS22" s="98">
        <v>330.67496595993</v>
      </c>
      <c r="AT22" s="98">
        <v>136.16028010114763</v>
      </c>
      <c r="AU22" s="98" t="s">
        <v>549</v>
      </c>
      <c r="AV22" s="98">
        <v>155.61174868702588</v>
      </c>
      <c r="AW22" s="98">
        <v>330.67496595993</v>
      </c>
      <c r="AX22" s="98">
        <v>272.32056020229527</v>
      </c>
      <c r="AY22" s="98">
        <v>992.0248978797899</v>
      </c>
      <c r="AZ22" s="98">
        <v>778.0587434351294</v>
      </c>
      <c r="BA22" s="100" t="s">
        <v>549</v>
      </c>
      <c r="BB22" s="100" t="s">
        <v>549</v>
      </c>
      <c r="BC22" s="100" t="s">
        <v>549</v>
      </c>
      <c r="BD22" s="158">
        <v>0.5773370743</v>
      </c>
      <c r="BE22" s="158">
        <v>0.9738462067</v>
      </c>
      <c r="BF22" s="162">
        <v>427</v>
      </c>
      <c r="BG22" s="162">
        <v>26</v>
      </c>
      <c r="BH22" s="162">
        <v>1351</v>
      </c>
      <c r="BI22" s="162">
        <v>366</v>
      </c>
      <c r="BJ22" s="162">
        <v>134</v>
      </c>
      <c r="BK22" s="97"/>
      <c r="BL22" s="97"/>
      <c r="BM22" s="97"/>
      <c r="BN22" s="97"/>
    </row>
    <row r="23" spans="1:66" ht="12.75">
      <c r="A23" s="79" t="s">
        <v>522</v>
      </c>
      <c r="B23" s="79" t="s">
        <v>301</v>
      </c>
      <c r="C23" s="79" t="s">
        <v>73</v>
      </c>
      <c r="D23" s="99">
        <v>7124</v>
      </c>
      <c r="E23" s="99">
        <v>370</v>
      </c>
      <c r="F23" s="99" t="s">
        <v>343</v>
      </c>
      <c r="G23" s="99">
        <v>13</v>
      </c>
      <c r="H23" s="99" t="s">
        <v>549</v>
      </c>
      <c r="I23" s="99">
        <v>41</v>
      </c>
      <c r="J23" s="99">
        <v>195</v>
      </c>
      <c r="K23" s="99">
        <v>43</v>
      </c>
      <c r="L23" s="99">
        <v>1068</v>
      </c>
      <c r="M23" s="99">
        <v>101</v>
      </c>
      <c r="N23" s="99">
        <v>31</v>
      </c>
      <c r="O23" s="99">
        <v>54</v>
      </c>
      <c r="P23" s="159">
        <v>54</v>
      </c>
      <c r="Q23" s="99" t="s">
        <v>549</v>
      </c>
      <c r="R23" s="99">
        <v>7</v>
      </c>
      <c r="S23" s="99">
        <v>20</v>
      </c>
      <c r="T23" s="99">
        <v>6</v>
      </c>
      <c r="U23" s="99" t="s">
        <v>549</v>
      </c>
      <c r="V23" s="99">
        <v>7</v>
      </c>
      <c r="W23" s="99">
        <v>37</v>
      </c>
      <c r="X23" s="99">
        <v>14</v>
      </c>
      <c r="Y23" s="99">
        <v>75</v>
      </c>
      <c r="Z23" s="99">
        <v>16</v>
      </c>
      <c r="AA23" s="99" t="s">
        <v>549</v>
      </c>
      <c r="AB23" s="99" t="s">
        <v>549</v>
      </c>
      <c r="AC23" s="99" t="s">
        <v>549</v>
      </c>
      <c r="AD23" s="98" t="s">
        <v>322</v>
      </c>
      <c r="AE23" s="100">
        <v>0.051937113980909604</v>
      </c>
      <c r="AF23" s="100">
        <v>0.28</v>
      </c>
      <c r="AG23" s="98">
        <v>182.4817518248175</v>
      </c>
      <c r="AH23" s="98" t="s">
        <v>549</v>
      </c>
      <c r="AI23" s="100">
        <v>0.006</v>
      </c>
      <c r="AJ23" s="100">
        <v>0.552408</v>
      </c>
      <c r="AK23" s="100">
        <v>0.597222</v>
      </c>
      <c r="AL23" s="100">
        <v>0.675095</v>
      </c>
      <c r="AM23" s="100">
        <v>0.31962</v>
      </c>
      <c r="AN23" s="100">
        <v>0.295238</v>
      </c>
      <c r="AO23" s="98">
        <v>758.0011229646266</v>
      </c>
      <c r="AP23" s="158">
        <v>0.7038072205</v>
      </c>
      <c r="AQ23" s="100" t="s">
        <v>549</v>
      </c>
      <c r="AR23" s="100" t="s">
        <v>549</v>
      </c>
      <c r="AS23" s="98">
        <v>280.74115665356544</v>
      </c>
      <c r="AT23" s="98">
        <v>84.22234699606962</v>
      </c>
      <c r="AU23" s="98" t="s">
        <v>549</v>
      </c>
      <c r="AV23" s="98">
        <v>98.25940482874789</v>
      </c>
      <c r="AW23" s="98">
        <v>519.371139809096</v>
      </c>
      <c r="AX23" s="98">
        <v>196.51880965749578</v>
      </c>
      <c r="AY23" s="98">
        <v>1052.7793374508703</v>
      </c>
      <c r="AZ23" s="98">
        <v>224.59292532285232</v>
      </c>
      <c r="BA23" s="100" t="s">
        <v>549</v>
      </c>
      <c r="BB23" s="100" t="s">
        <v>549</v>
      </c>
      <c r="BC23" s="100" t="s">
        <v>549</v>
      </c>
      <c r="BD23" s="158">
        <v>0.5287216187</v>
      </c>
      <c r="BE23" s="158">
        <v>0.9183157349</v>
      </c>
      <c r="BF23" s="162">
        <v>353</v>
      </c>
      <c r="BG23" s="162">
        <v>72</v>
      </c>
      <c r="BH23" s="162">
        <v>1582</v>
      </c>
      <c r="BI23" s="162">
        <v>316</v>
      </c>
      <c r="BJ23" s="162">
        <v>105</v>
      </c>
      <c r="BK23" s="97"/>
      <c r="BL23" s="97"/>
      <c r="BM23" s="97"/>
      <c r="BN23" s="97"/>
    </row>
    <row r="24" spans="1:66" ht="12.75">
      <c r="A24" s="79" t="s">
        <v>553</v>
      </c>
      <c r="B24" s="79" t="s">
        <v>288</v>
      </c>
      <c r="C24" s="79" t="s">
        <v>73</v>
      </c>
      <c r="D24" s="99">
        <v>8586</v>
      </c>
      <c r="E24" s="99">
        <v>880</v>
      </c>
      <c r="F24" s="99" t="s">
        <v>343</v>
      </c>
      <c r="G24" s="99">
        <v>21</v>
      </c>
      <c r="H24" s="99">
        <v>13</v>
      </c>
      <c r="I24" s="99">
        <v>102</v>
      </c>
      <c r="J24" s="99">
        <v>546</v>
      </c>
      <c r="K24" s="99">
        <v>15</v>
      </c>
      <c r="L24" s="99">
        <v>1515</v>
      </c>
      <c r="M24" s="99">
        <v>283</v>
      </c>
      <c r="N24" s="99">
        <v>134</v>
      </c>
      <c r="O24" s="99">
        <v>179</v>
      </c>
      <c r="P24" s="159">
        <v>179</v>
      </c>
      <c r="Q24" s="99">
        <v>16</v>
      </c>
      <c r="R24" s="99">
        <v>40</v>
      </c>
      <c r="S24" s="99">
        <v>32</v>
      </c>
      <c r="T24" s="99">
        <v>31</v>
      </c>
      <c r="U24" s="99" t="s">
        <v>549</v>
      </c>
      <c r="V24" s="99">
        <v>36</v>
      </c>
      <c r="W24" s="99">
        <v>47</v>
      </c>
      <c r="X24" s="99">
        <v>19</v>
      </c>
      <c r="Y24" s="99">
        <v>65</v>
      </c>
      <c r="Z24" s="99">
        <v>22</v>
      </c>
      <c r="AA24" s="99" t="s">
        <v>549</v>
      </c>
      <c r="AB24" s="99" t="s">
        <v>549</v>
      </c>
      <c r="AC24" s="99" t="s">
        <v>549</v>
      </c>
      <c r="AD24" s="98" t="s">
        <v>322</v>
      </c>
      <c r="AE24" s="100">
        <v>0.1024924295364547</v>
      </c>
      <c r="AF24" s="100">
        <v>0.27</v>
      </c>
      <c r="AG24" s="98">
        <v>244.58420684835778</v>
      </c>
      <c r="AH24" s="98">
        <v>151.40927090612624</v>
      </c>
      <c r="AI24" s="100">
        <v>0.012</v>
      </c>
      <c r="AJ24" s="100">
        <v>0.670762</v>
      </c>
      <c r="AK24" s="100">
        <v>0.517241</v>
      </c>
      <c r="AL24" s="100">
        <v>0.725575</v>
      </c>
      <c r="AM24" s="100">
        <v>0.429439</v>
      </c>
      <c r="AN24" s="100">
        <v>0.517375</v>
      </c>
      <c r="AO24" s="98">
        <v>2084.7891917074307</v>
      </c>
      <c r="AP24" s="158">
        <v>1.3993200680000002</v>
      </c>
      <c r="AQ24" s="100">
        <v>0.0893854748603352</v>
      </c>
      <c r="AR24" s="100">
        <v>0.4</v>
      </c>
      <c r="AS24" s="98">
        <v>372.69974376892617</v>
      </c>
      <c r="AT24" s="98">
        <v>361.05287677614723</v>
      </c>
      <c r="AU24" s="98" t="s">
        <v>549</v>
      </c>
      <c r="AV24" s="98">
        <v>419.2872117400419</v>
      </c>
      <c r="AW24" s="98">
        <v>547.4027486606103</v>
      </c>
      <c r="AX24" s="98">
        <v>221.2904728627999</v>
      </c>
      <c r="AY24" s="98">
        <v>757.0463545306312</v>
      </c>
      <c r="AZ24" s="98">
        <v>256.2310738411367</v>
      </c>
      <c r="BA24" s="100" t="s">
        <v>549</v>
      </c>
      <c r="BB24" s="100" t="s">
        <v>549</v>
      </c>
      <c r="BC24" s="100" t="s">
        <v>549</v>
      </c>
      <c r="BD24" s="158">
        <v>1.201828995</v>
      </c>
      <c r="BE24" s="158">
        <v>1.6200033569999999</v>
      </c>
      <c r="BF24" s="162">
        <v>814</v>
      </c>
      <c r="BG24" s="162">
        <v>29</v>
      </c>
      <c r="BH24" s="162">
        <v>2088</v>
      </c>
      <c r="BI24" s="162">
        <v>659</v>
      </c>
      <c r="BJ24" s="162">
        <v>259</v>
      </c>
      <c r="BK24" s="97"/>
      <c r="BL24" s="97"/>
      <c r="BM24" s="97"/>
      <c r="BN24" s="97"/>
    </row>
    <row r="25" spans="1:66" ht="12.75">
      <c r="A25" s="79" t="s">
        <v>514</v>
      </c>
      <c r="B25" s="79" t="s">
        <v>293</v>
      </c>
      <c r="C25" s="79" t="s">
        <v>73</v>
      </c>
      <c r="D25" s="99">
        <v>4439</v>
      </c>
      <c r="E25" s="99">
        <v>232</v>
      </c>
      <c r="F25" s="99" t="s">
        <v>343</v>
      </c>
      <c r="G25" s="99">
        <v>11</v>
      </c>
      <c r="H25" s="99">
        <v>6</v>
      </c>
      <c r="I25" s="99">
        <v>16</v>
      </c>
      <c r="J25" s="99">
        <v>115</v>
      </c>
      <c r="K25" s="99">
        <v>16</v>
      </c>
      <c r="L25" s="99">
        <v>721</v>
      </c>
      <c r="M25" s="99">
        <v>56</v>
      </c>
      <c r="N25" s="99">
        <v>19</v>
      </c>
      <c r="O25" s="99">
        <v>13</v>
      </c>
      <c r="P25" s="159">
        <v>13</v>
      </c>
      <c r="Q25" s="99" t="s">
        <v>549</v>
      </c>
      <c r="R25" s="99" t="s">
        <v>549</v>
      </c>
      <c r="S25" s="99" t="s">
        <v>549</v>
      </c>
      <c r="T25" s="99" t="s">
        <v>549</v>
      </c>
      <c r="U25" s="99" t="s">
        <v>549</v>
      </c>
      <c r="V25" s="99" t="s">
        <v>549</v>
      </c>
      <c r="W25" s="99">
        <v>20</v>
      </c>
      <c r="X25" s="99">
        <v>12</v>
      </c>
      <c r="Y25" s="99">
        <v>28</v>
      </c>
      <c r="Z25" s="99">
        <v>13</v>
      </c>
      <c r="AA25" s="99" t="s">
        <v>549</v>
      </c>
      <c r="AB25" s="99" t="s">
        <v>549</v>
      </c>
      <c r="AC25" s="99" t="s">
        <v>549</v>
      </c>
      <c r="AD25" s="98" t="s">
        <v>322</v>
      </c>
      <c r="AE25" s="100">
        <v>0.05226402342870016</v>
      </c>
      <c r="AF25" s="100">
        <v>0.3</v>
      </c>
      <c r="AG25" s="98">
        <v>247.80355936021627</v>
      </c>
      <c r="AH25" s="98">
        <v>135.16557783284523</v>
      </c>
      <c r="AI25" s="100">
        <v>0.004</v>
      </c>
      <c r="AJ25" s="100">
        <v>0.539906</v>
      </c>
      <c r="AK25" s="100">
        <v>0.516129</v>
      </c>
      <c r="AL25" s="100">
        <v>0.651899</v>
      </c>
      <c r="AM25" s="100">
        <v>0.368421</v>
      </c>
      <c r="AN25" s="100">
        <v>0.333333</v>
      </c>
      <c r="AO25" s="98">
        <v>292.8587519711647</v>
      </c>
      <c r="AP25" s="158">
        <v>0.2666872025</v>
      </c>
      <c r="AQ25" s="100" t="s">
        <v>549</v>
      </c>
      <c r="AR25" s="100" t="s">
        <v>549</v>
      </c>
      <c r="AS25" s="98" t="s">
        <v>549</v>
      </c>
      <c r="AT25" s="98" t="s">
        <v>549</v>
      </c>
      <c r="AU25" s="98" t="s">
        <v>549</v>
      </c>
      <c r="AV25" s="98" t="s">
        <v>549</v>
      </c>
      <c r="AW25" s="98">
        <v>450.5519261094841</v>
      </c>
      <c r="AX25" s="98">
        <v>270.33115566569046</v>
      </c>
      <c r="AY25" s="98">
        <v>630.7726965532778</v>
      </c>
      <c r="AZ25" s="98">
        <v>292.8587519711647</v>
      </c>
      <c r="BA25" s="100" t="s">
        <v>549</v>
      </c>
      <c r="BB25" s="100" t="s">
        <v>549</v>
      </c>
      <c r="BC25" s="100" t="s">
        <v>549</v>
      </c>
      <c r="BD25" s="158">
        <v>0.1419997025</v>
      </c>
      <c r="BE25" s="158">
        <v>0.45604324339999996</v>
      </c>
      <c r="BF25" s="162">
        <v>213</v>
      </c>
      <c r="BG25" s="162">
        <v>31</v>
      </c>
      <c r="BH25" s="162">
        <v>1106</v>
      </c>
      <c r="BI25" s="162">
        <v>152</v>
      </c>
      <c r="BJ25" s="162">
        <v>57</v>
      </c>
      <c r="BK25" s="97"/>
      <c r="BL25" s="97"/>
      <c r="BM25" s="97"/>
      <c r="BN25" s="97"/>
    </row>
    <row r="26" spans="1:66" ht="12.75">
      <c r="A26" s="79" t="s">
        <v>530</v>
      </c>
      <c r="B26" s="79" t="s">
        <v>309</v>
      </c>
      <c r="C26" s="79" t="s">
        <v>73</v>
      </c>
      <c r="D26" s="99">
        <v>3607</v>
      </c>
      <c r="E26" s="99">
        <v>289</v>
      </c>
      <c r="F26" s="99" t="s">
        <v>343</v>
      </c>
      <c r="G26" s="99" t="s">
        <v>549</v>
      </c>
      <c r="H26" s="99">
        <v>6</v>
      </c>
      <c r="I26" s="99">
        <v>30</v>
      </c>
      <c r="J26" s="99">
        <v>149</v>
      </c>
      <c r="K26" s="99">
        <v>28</v>
      </c>
      <c r="L26" s="99">
        <v>682</v>
      </c>
      <c r="M26" s="99">
        <v>72</v>
      </c>
      <c r="N26" s="99">
        <v>39</v>
      </c>
      <c r="O26" s="99">
        <v>32</v>
      </c>
      <c r="P26" s="159">
        <v>32</v>
      </c>
      <c r="Q26" s="99" t="s">
        <v>549</v>
      </c>
      <c r="R26" s="99">
        <v>11</v>
      </c>
      <c r="S26" s="99">
        <v>8</v>
      </c>
      <c r="T26" s="99" t="s">
        <v>549</v>
      </c>
      <c r="U26" s="99" t="s">
        <v>549</v>
      </c>
      <c r="V26" s="99">
        <v>6</v>
      </c>
      <c r="W26" s="99">
        <v>10</v>
      </c>
      <c r="X26" s="99">
        <v>8</v>
      </c>
      <c r="Y26" s="99">
        <v>27</v>
      </c>
      <c r="Z26" s="99">
        <v>29</v>
      </c>
      <c r="AA26" s="99" t="s">
        <v>549</v>
      </c>
      <c r="AB26" s="99" t="s">
        <v>549</v>
      </c>
      <c r="AC26" s="99" t="s">
        <v>549</v>
      </c>
      <c r="AD26" s="98" t="s">
        <v>322</v>
      </c>
      <c r="AE26" s="100">
        <v>0.08012198502911007</v>
      </c>
      <c r="AF26" s="100">
        <v>0.24</v>
      </c>
      <c r="AG26" s="98" t="s">
        <v>549</v>
      </c>
      <c r="AH26" s="98">
        <v>166.3432215137233</v>
      </c>
      <c r="AI26" s="100">
        <v>0.008</v>
      </c>
      <c r="AJ26" s="100">
        <v>0.535971</v>
      </c>
      <c r="AK26" s="100">
        <v>0.636364</v>
      </c>
      <c r="AL26" s="100">
        <v>0.738895</v>
      </c>
      <c r="AM26" s="100">
        <v>0.393443</v>
      </c>
      <c r="AN26" s="100">
        <v>0.493671</v>
      </c>
      <c r="AO26" s="98">
        <v>887.163848073191</v>
      </c>
      <c r="AP26" s="158">
        <v>0.643583374</v>
      </c>
      <c r="AQ26" s="100" t="s">
        <v>549</v>
      </c>
      <c r="AR26" s="100" t="s">
        <v>549</v>
      </c>
      <c r="AS26" s="98">
        <v>221.79096201829776</v>
      </c>
      <c r="AT26" s="98" t="s">
        <v>549</v>
      </c>
      <c r="AU26" s="98" t="s">
        <v>549</v>
      </c>
      <c r="AV26" s="98">
        <v>166.3432215137233</v>
      </c>
      <c r="AW26" s="98">
        <v>277.2387025228722</v>
      </c>
      <c r="AX26" s="98">
        <v>221.79096201829776</v>
      </c>
      <c r="AY26" s="98">
        <v>748.5444968117549</v>
      </c>
      <c r="AZ26" s="98">
        <v>803.9922373163294</v>
      </c>
      <c r="BA26" s="100" t="s">
        <v>549</v>
      </c>
      <c r="BB26" s="100" t="s">
        <v>549</v>
      </c>
      <c r="BC26" s="100" t="s">
        <v>549</v>
      </c>
      <c r="BD26" s="158">
        <v>0.44021053309999997</v>
      </c>
      <c r="BE26" s="158">
        <v>0.9085476685</v>
      </c>
      <c r="BF26" s="162">
        <v>278</v>
      </c>
      <c r="BG26" s="162">
        <v>44</v>
      </c>
      <c r="BH26" s="162">
        <v>923</v>
      </c>
      <c r="BI26" s="162">
        <v>183</v>
      </c>
      <c r="BJ26" s="162">
        <v>79</v>
      </c>
      <c r="BK26" s="97"/>
      <c r="BL26" s="97"/>
      <c r="BM26" s="97"/>
      <c r="BN26" s="97"/>
    </row>
    <row r="27" spans="1:66" ht="12.75">
      <c r="A27" s="79" t="s">
        <v>513</v>
      </c>
      <c r="B27" s="79" t="s">
        <v>292</v>
      </c>
      <c r="C27" s="79" t="s">
        <v>73</v>
      </c>
      <c r="D27" s="99">
        <v>3088</v>
      </c>
      <c r="E27" s="99">
        <v>445</v>
      </c>
      <c r="F27" s="99" t="s">
        <v>342</v>
      </c>
      <c r="G27" s="99">
        <v>11</v>
      </c>
      <c r="H27" s="99">
        <v>6</v>
      </c>
      <c r="I27" s="99">
        <v>37</v>
      </c>
      <c r="J27" s="99">
        <v>234</v>
      </c>
      <c r="K27" s="99">
        <v>62</v>
      </c>
      <c r="L27" s="99">
        <v>520</v>
      </c>
      <c r="M27" s="99">
        <v>132</v>
      </c>
      <c r="N27" s="99">
        <v>60</v>
      </c>
      <c r="O27" s="99">
        <v>37</v>
      </c>
      <c r="P27" s="159">
        <v>37</v>
      </c>
      <c r="Q27" s="99" t="s">
        <v>549</v>
      </c>
      <c r="R27" s="99">
        <v>11</v>
      </c>
      <c r="S27" s="99">
        <v>8</v>
      </c>
      <c r="T27" s="99" t="s">
        <v>549</v>
      </c>
      <c r="U27" s="99" t="s">
        <v>549</v>
      </c>
      <c r="V27" s="99" t="s">
        <v>549</v>
      </c>
      <c r="W27" s="99">
        <v>23</v>
      </c>
      <c r="X27" s="99">
        <v>9</v>
      </c>
      <c r="Y27" s="99">
        <v>36</v>
      </c>
      <c r="Z27" s="99">
        <v>28</v>
      </c>
      <c r="AA27" s="99" t="s">
        <v>549</v>
      </c>
      <c r="AB27" s="99" t="s">
        <v>549</v>
      </c>
      <c r="AC27" s="99" t="s">
        <v>549</v>
      </c>
      <c r="AD27" s="98" t="s">
        <v>322</v>
      </c>
      <c r="AE27" s="100">
        <v>0.14410621761658032</v>
      </c>
      <c r="AF27" s="100">
        <v>0.18</v>
      </c>
      <c r="AG27" s="98">
        <v>356.2176165803109</v>
      </c>
      <c r="AH27" s="98">
        <v>194.30051813471502</v>
      </c>
      <c r="AI27" s="100">
        <v>0.012</v>
      </c>
      <c r="AJ27" s="100">
        <v>0.66289</v>
      </c>
      <c r="AK27" s="100">
        <v>0.746988</v>
      </c>
      <c r="AL27" s="100">
        <v>0.648379</v>
      </c>
      <c r="AM27" s="100">
        <v>0.456747</v>
      </c>
      <c r="AN27" s="100">
        <v>0.540541</v>
      </c>
      <c r="AO27" s="98">
        <v>1198.1865284974094</v>
      </c>
      <c r="AP27" s="158">
        <v>0.6789179230000001</v>
      </c>
      <c r="AQ27" s="100" t="s">
        <v>549</v>
      </c>
      <c r="AR27" s="100" t="s">
        <v>549</v>
      </c>
      <c r="AS27" s="98">
        <v>259.0673575129534</v>
      </c>
      <c r="AT27" s="98" t="s">
        <v>549</v>
      </c>
      <c r="AU27" s="98" t="s">
        <v>549</v>
      </c>
      <c r="AV27" s="98" t="s">
        <v>549</v>
      </c>
      <c r="AW27" s="98">
        <v>744.8186528497409</v>
      </c>
      <c r="AX27" s="98">
        <v>291.4507772020725</v>
      </c>
      <c r="AY27" s="98">
        <v>1165.80310880829</v>
      </c>
      <c r="AZ27" s="98">
        <v>906.7357512953367</v>
      </c>
      <c r="BA27" s="100" t="s">
        <v>549</v>
      </c>
      <c r="BB27" s="100" t="s">
        <v>549</v>
      </c>
      <c r="BC27" s="100" t="s">
        <v>549</v>
      </c>
      <c r="BD27" s="158">
        <v>0.47802089690000005</v>
      </c>
      <c r="BE27" s="158">
        <v>0.9357989501999999</v>
      </c>
      <c r="BF27" s="162">
        <v>353</v>
      </c>
      <c r="BG27" s="162">
        <v>83</v>
      </c>
      <c r="BH27" s="162">
        <v>802</v>
      </c>
      <c r="BI27" s="162">
        <v>289</v>
      </c>
      <c r="BJ27" s="162">
        <v>111</v>
      </c>
      <c r="BK27" s="97"/>
      <c r="BL27" s="97"/>
      <c r="BM27" s="97"/>
      <c r="BN27" s="97"/>
    </row>
    <row r="28" spans="1:66" ht="12.75">
      <c r="A28" s="79" t="s">
        <v>508</v>
      </c>
      <c r="B28" s="79" t="s">
        <v>286</v>
      </c>
      <c r="C28" s="79" t="s">
        <v>73</v>
      </c>
      <c r="D28" s="99">
        <v>6705</v>
      </c>
      <c r="E28" s="99">
        <v>1149</v>
      </c>
      <c r="F28" s="99" t="s">
        <v>343</v>
      </c>
      <c r="G28" s="99">
        <v>38</v>
      </c>
      <c r="H28" s="99">
        <v>23</v>
      </c>
      <c r="I28" s="99">
        <v>134</v>
      </c>
      <c r="J28" s="99">
        <v>525</v>
      </c>
      <c r="K28" s="99">
        <v>25</v>
      </c>
      <c r="L28" s="99">
        <v>1214</v>
      </c>
      <c r="M28" s="99">
        <v>240</v>
      </c>
      <c r="N28" s="99">
        <v>107</v>
      </c>
      <c r="O28" s="99">
        <v>122</v>
      </c>
      <c r="P28" s="159">
        <v>122</v>
      </c>
      <c r="Q28" s="99">
        <v>21</v>
      </c>
      <c r="R28" s="99">
        <v>35</v>
      </c>
      <c r="S28" s="99">
        <v>36</v>
      </c>
      <c r="T28" s="99">
        <v>27</v>
      </c>
      <c r="U28" s="99" t="s">
        <v>549</v>
      </c>
      <c r="V28" s="99">
        <v>13</v>
      </c>
      <c r="W28" s="99">
        <v>62</v>
      </c>
      <c r="X28" s="99">
        <v>36</v>
      </c>
      <c r="Y28" s="99">
        <v>100</v>
      </c>
      <c r="Z28" s="99">
        <v>79</v>
      </c>
      <c r="AA28" s="99" t="s">
        <v>549</v>
      </c>
      <c r="AB28" s="99" t="s">
        <v>549</v>
      </c>
      <c r="AC28" s="99" t="s">
        <v>549</v>
      </c>
      <c r="AD28" s="98" t="s">
        <v>322</v>
      </c>
      <c r="AE28" s="100">
        <v>0.17136465324384786</v>
      </c>
      <c r="AF28" s="100">
        <v>0.26</v>
      </c>
      <c r="AG28" s="98">
        <v>566.7412378821775</v>
      </c>
      <c r="AH28" s="98">
        <v>343.027591349739</v>
      </c>
      <c r="AI28" s="100">
        <v>0.02</v>
      </c>
      <c r="AJ28" s="100">
        <v>0.695364</v>
      </c>
      <c r="AK28" s="100">
        <v>0.625</v>
      </c>
      <c r="AL28" s="100">
        <v>0.746617</v>
      </c>
      <c r="AM28" s="100">
        <v>0.408163</v>
      </c>
      <c r="AN28" s="100">
        <v>0.445833</v>
      </c>
      <c r="AO28" s="98">
        <v>1819.537658463833</v>
      </c>
      <c r="AP28" s="158">
        <v>0.9798823547000001</v>
      </c>
      <c r="AQ28" s="100">
        <v>0.1721311475409836</v>
      </c>
      <c r="AR28" s="100">
        <v>0.6</v>
      </c>
      <c r="AS28" s="98">
        <v>536.9127516778524</v>
      </c>
      <c r="AT28" s="98">
        <v>402.6845637583893</v>
      </c>
      <c r="AU28" s="98" t="s">
        <v>549</v>
      </c>
      <c r="AV28" s="98">
        <v>193.88516032811336</v>
      </c>
      <c r="AW28" s="98">
        <v>924.683072334079</v>
      </c>
      <c r="AX28" s="98">
        <v>536.9127516778524</v>
      </c>
      <c r="AY28" s="98">
        <v>1491.4243102162566</v>
      </c>
      <c r="AZ28" s="98">
        <v>1178.2252050708425</v>
      </c>
      <c r="BA28" s="100" t="s">
        <v>549</v>
      </c>
      <c r="BB28" s="100" t="s">
        <v>549</v>
      </c>
      <c r="BC28" s="100" t="s">
        <v>549</v>
      </c>
      <c r="BD28" s="158">
        <v>0.8137330627</v>
      </c>
      <c r="BE28" s="158">
        <v>1.1699809270000001</v>
      </c>
      <c r="BF28" s="162">
        <v>755</v>
      </c>
      <c r="BG28" s="162">
        <v>40</v>
      </c>
      <c r="BH28" s="162">
        <v>1626</v>
      </c>
      <c r="BI28" s="162">
        <v>588</v>
      </c>
      <c r="BJ28" s="162">
        <v>240</v>
      </c>
      <c r="BK28" s="97"/>
      <c r="BL28" s="97"/>
      <c r="BM28" s="97"/>
      <c r="BN28" s="97"/>
    </row>
    <row r="29" spans="1:66" ht="12.75">
      <c r="A29" s="79" t="s">
        <v>527</v>
      </c>
      <c r="B29" s="79" t="s">
        <v>306</v>
      </c>
      <c r="C29" s="79" t="s">
        <v>73</v>
      </c>
      <c r="D29" s="99">
        <v>4812</v>
      </c>
      <c r="E29" s="99">
        <v>280</v>
      </c>
      <c r="F29" s="99" t="s">
        <v>342</v>
      </c>
      <c r="G29" s="99" t="s">
        <v>549</v>
      </c>
      <c r="H29" s="99" t="s">
        <v>549</v>
      </c>
      <c r="I29" s="99">
        <v>28</v>
      </c>
      <c r="J29" s="99">
        <v>153</v>
      </c>
      <c r="K29" s="99">
        <v>39</v>
      </c>
      <c r="L29" s="99">
        <v>584</v>
      </c>
      <c r="M29" s="99">
        <v>55</v>
      </c>
      <c r="N29" s="99">
        <v>25</v>
      </c>
      <c r="O29" s="99">
        <v>18</v>
      </c>
      <c r="P29" s="159">
        <v>18</v>
      </c>
      <c r="Q29" s="99" t="s">
        <v>549</v>
      </c>
      <c r="R29" s="99">
        <v>6</v>
      </c>
      <c r="S29" s="99">
        <v>7</v>
      </c>
      <c r="T29" s="99" t="s">
        <v>549</v>
      </c>
      <c r="U29" s="99" t="s">
        <v>549</v>
      </c>
      <c r="V29" s="99" t="s">
        <v>549</v>
      </c>
      <c r="W29" s="99">
        <v>14</v>
      </c>
      <c r="X29" s="99" t="s">
        <v>549</v>
      </c>
      <c r="Y29" s="99">
        <v>31</v>
      </c>
      <c r="Z29" s="99" t="s">
        <v>549</v>
      </c>
      <c r="AA29" s="99" t="s">
        <v>549</v>
      </c>
      <c r="AB29" s="99" t="s">
        <v>549</v>
      </c>
      <c r="AC29" s="99" t="s">
        <v>549</v>
      </c>
      <c r="AD29" s="98" t="s">
        <v>322</v>
      </c>
      <c r="AE29" s="100">
        <v>0.058187863674147966</v>
      </c>
      <c r="AF29" s="100">
        <v>0.23</v>
      </c>
      <c r="AG29" s="98" t="s">
        <v>549</v>
      </c>
      <c r="AH29" s="98" t="s">
        <v>549</v>
      </c>
      <c r="AI29" s="100">
        <v>0.006</v>
      </c>
      <c r="AJ29" s="100">
        <v>0.496753</v>
      </c>
      <c r="AK29" s="100">
        <v>0.619048</v>
      </c>
      <c r="AL29" s="100">
        <v>0.554606</v>
      </c>
      <c r="AM29" s="100">
        <v>0.248869</v>
      </c>
      <c r="AN29" s="100">
        <v>0.263158</v>
      </c>
      <c r="AO29" s="98">
        <v>374.0648379052369</v>
      </c>
      <c r="AP29" s="158">
        <v>0.3186679268</v>
      </c>
      <c r="AQ29" s="100" t="s">
        <v>549</v>
      </c>
      <c r="AR29" s="100" t="s">
        <v>549</v>
      </c>
      <c r="AS29" s="98">
        <v>145.46965918536992</v>
      </c>
      <c r="AT29" s="98" t="s">
        <v>549</v>
      </c>
      <c r="AU29" s="98" t="s">
        <v>549</v>
      </c>
      <c r="AV29" s="98" t="s">
        <v>549</v>
      </c>
      <c r="AW29" s="98">
        <v>290.93931837073984</v>
      </c>
      <c r="AX29" s="98" t="s">
        <v>549</v>
      </c>
      <c r="AY29" s="98">
        <v>644.2227763923524</v>
      </c>
      <c r="AZ29" s="98" t="s">
        <v>549</v>
      </c>
      <c r="BA29" s="100" t="s">
        <v>549</v>
      </c>
      <c r="BB29" s="100" t="s">
        <v>549</v>
      </c>
      <c r="BC29" s="100" t="s">
        <v>549</v>
      </c>
      <c r="BD29" s="158">
        <v>0.18886280060000002</v>
      </c>
      <c r="BE29" s="158">
        <v>0.5036326981</v>
      </c>
      <c r="BF29" s="162">
        <v>308</v>
      </c>
      <c r="BG29" s="162">
        <v>63</v>
      </c>
      <c r="BH29" s="162">
        <v>1053</v>
      </c>
      <c r="BI29" s="162">
        <v>221</v>
      </c>
      <c r="BJ29" s="162">
        <v>95</v>
      </c>
      <c r="BK29" s="97"/>
      <c r="BL29" s="97"/>
      <c r="BM29" s="97"/>
      <c r="BN29" s="97"/>
    </row>
    <row r="30" spans="1:66" ht="12.75">
      <c r="A30" s="79" t="s">
        <v>509</v>
      </c>
      <c r="B30" s="79" t="s">
        <v>287</v>
      </c>
      <c r="C30" s="79" t="s">
        <v>73</v>
      </c>
      <c r="D30" s="99">
        <v>5135</v>
      </c>
      <c r="E30" s="99">
        <v>488</v>
      </c>
      <c r="F30" s="99" t="s">
        <v>343</v>
      </c>
      <c r="G30" s="99">
        <v>18</v>
      </c>
      <c r="H30" s="99">
        <v>9</v>
      </c>
      <c r="I30" s="99">
        <v>53</v>
      </c>
      <c r="J30" s="99">
        <v>312</v>
      </c>
      <c r="K30" s="99">
        <v>6</v>
      </c>
      <c r="L30" s="99">
        <v>962</v>
      </c>
      <c r="M30" s="99">
        <v>149</v>
      </c>
      <c r="N30" s="99">
        <v>60</v>
      </c>
      <c r="O30" s="99">
        <v>108</v>
      </c>
      <c r="P30" s="159">
        <v>108</v>
      </c>
      <c r="Q30" s="99">
        <v>11</v>
      </c>
      <c r="R30" s="99">
        <v>20</v>
      </c>
      <c r="S30" s="99">
        <v>42</v>
      </c>
      <c r="T30" s="99">
        <v>7</v>
      </c>
      <c r="U30" s="99" t="s">
        <v>549</v>
      </c>
      <c r="V30" s="99">
        <v>16</v>
      </c>
      <c r="W30" s="99">
        <v>32</v>
      </c>
      <c r="X30" s="99">
        <v>20</v>
      </c>
      <c r="Y30" s="99">
        <v>52</v>
      </c>
      <c r="Z30" s="99">
        <v>19</v>
      </c>
      <c r="AA30" s="99" t="s">
        <v>549</v>
      </c>
      <c r="AB30" s="99" t="s">
        <v>549</v>
      </c>
      <c r="AC30" s="99" t="s">
        <v>549</v>
      </c>
      <c r="AD30" s="98" t="s">
        <v>322</v>
      </c>
      <c r="AE30" s="100">
        <v>0.09503407984420642</v>
      </c>
      <c r="AF30" s="100">
        <v>0.27</v>
      </c>
      <c r="AG30" s="98">
        <v>350.5355404089581</v>
      </c>
      <c r="AH30" s="98">
        <v>175.26777020447906</v>
      </c>
      <c r="AI30" s="100">
        <v>0.01</v>
      </c>
      <c r="AJ30" s="100">
        <v>0.687225</v>
      </c>
      <c r="AK30" s="100">
        <v>0.428571</v>
      </c>
      <c r="AL30" s="100">
        <v>0.743431</v>
      </c>
      <c r="AM30" s="100">
        <v>0.396277</v>
      </c>
      <c r="AN30" s="100">
        <v>0.413793</v>
      </c>
      <c r="AO30" s="98">
        <v>2103.213242453749</v>
      </c>
      <c r="AP30" s="158">
        <v>1.435558929</v>
      </c>
      <c r="AQ30" s="100">
        <v>0.10185185185185185</v>
      </c>
      <c r="AR30" s="100">
        <v>0.55</v>
      </c>
      <c r="AS30" s="98">
        <v>817.9162609542357</v>
      </c>
      <c r="AT30" s="98">
        <v>136.31937682570594</v>
      </c>
      <c r="AU30" s="98" t="s">
        <v>549</v>
      </c>
      <c r="AV30" s="98">
        <v>311.587147030185</v>
      </c>
      <c r="AW30" s="98">
        <v>623.17429406037</v>
      </c>
      <c r="AX30" s="98">
        <v>389.48393378773125</v>
      </c>
      <c r="AY30" s="98">
        <v>1012.6582278481013</v>
      </c>
      <c r="AZ30" s="98">
        <v>370.0097370983447</v>
      </c>
      <c r="BA30" s="100" t="s">
        <v>549</v>
      </c>
      <c r="BB30" s="100" t="s">
        <v>549</v>
      </c>
      <c r="BC30" s="100" t="s">
        <v>549</v>
      </c>
      <c r="BD30" s="158">
        <v>1.17761673</v>
      </c>
      <c r="BE30" s="158">
        <v>1.73320755</v>
      </c>
      <c r="BF30" s="162">
        <v>454</v>
      </c>
      <c r="BG30" s="162">
        <v>14</v>
      </c>
      <c r="BH30" s="162">
        <v>1294</v>
      </c>
      <c r="BI30" s="162">
        <v>376</v>
      </c>
      <c r="BJ30" s="162">
        <v>145</v>
      </c>
      <c r="BK30" s="97"/>
      <c r="BL30" s="97"/>
      <c r="BM30" s="97"/>
      <c r="BN30" s="97"/>
    </row>
    <row r="31" spans="1:66" ht="12.75">
      <c r="A31" s="79" t="s">
        <v>515</v>
      </c>
      <c r="B31" s="79" t="s">
        <v>294</v>
      </c>
      <c r="C31" s="79" t="s">
        <v>73</v>
      </c>
      <c r="D31" s="99">
        <v>5124</v>
      </c>
      <c r="E31" s="99">
        <v>653</v>
      </c>
      <c r="F31" s="99" t="s">
        <v>343</v>
      </c>
      <c r="G31" s="99">
        <v>18</v>
      </c>
      <c r="H31" s="99">
        <v>8</v>
      </c>
      <c r="I31" s="99">
        <v>32</v>
      </c>
      <c r="J31" s="99">
        <v>331</v>
      </c>
      <c r="K31" s="99">
        <v>12</v>
      </c>
      <c r="L31" s="99">
        <v>1027</v>
      </c>
      <c r="M31" s="99">
        <v>138</v>
      </c>
      <c r="N31" s="99">
        <v>63</v>
      </c>
      <c r="O31" s="99">
        <v>56</v>
      </c>
      <c r="P31" s="159">
        <v>56</v>
      </c>
      <c r="Q31" s="99">
        <v>9</v>
      </c>
      <c r="R31" s="99">
        <v>14</v>
      </c>
      <c r="S31" s="99">
        <v>23</v>
      </c>
      <c r="T31" s="99" t="s">
        <v>549</v>
      </c>
      <c r="U31" s="99" t="s">
        <v>549</v>
      </c>
      <c r="V31" s="99">
        <v>9</v>
      </c>
      <c r="W31" s="99">
        <v>23</v>
      </c>
      <c r="X31" s="99">
        <v>12</v>
      </c>
      <c r="Y31" s="99">
        <v>38</v>
      </c>
      <c r="Z31" s="99">
        <v>41</v>
      </c>
      <c r="AA31" s="99" t="s">
        <v>549</v>
      </c>
      <c r="AB31" s="99" t="s">
        <v>549</v>
      </c>
      <c r="AC31" s="99" t="s">
        <v>549</v>
      </c>
      <c r="AD31" s="98" t="s">
        <v>322</v>
      </c>
      <c r="AE31" s="100">
        <v>0.12743950039032007</v>
      </c>
      <c r="AF31" s="100">
        <v>0.25</v>
      </c>
      <c r="AG31" s="98">
        <v>351.288056206089</v>
      </c>
      <c r="AH31" s="98">
        <v>156.12802498048399</v>
      </c>
      <c r="AI31" s="100">
        <v>0.006</v>
      </c>
      <c r="AJ31" s="100">
        <v>0.659363</v>
      </c>
      <c r="AK31" s="100">
        <v>0.5</v>
      </c>
      <c r="AL31" s="100">
        <v>0.765846</v>
      </c>
      <c r="AM31" s="100">
        <v>0.339066</v>
      </c>
      <c r="AN31" s="100">
        <v>0.42</v>
      </c>
      <c r="AO31" s="98">
        <v>1092.896174863388</v>
      </c>
      <c r="AP31" s="158">
        <v>0.6713368988</v>
      </c>
      <c r="AQ31" s="100">
        <v>0.16071428571428573</v>
      </c>
      <c r="AR31" s="100">
        <v>0.6428571428571429</v>
      </c>
      <c r="AS31" s="98">
        <v>448.8680718188915</v>
      </c>
      <c r="AT31" s="98" t="s">
        <v>549</v>
      </c>
      <c r="AU31" s="98" t="s">
        <v>549</v>
      </c>
      <c r="AV31" s="98">
        <v>175.6440281030445</v>
      </c>
      <c r="AW31" s="98">
        <v>448.8680718188915</v>
      </c>
      <c r="AX31" s="98">
        <v>234.192037470726</v>
      </c>
      <c r="AY31" s="98">
        <v>741.608118657299</v>
      </c>
      <c r="AZ31" s="98">
        <v>800.1561280249805</v>
      </c>
      <c r="BA31" s="100" t="s">
        <v>549</v>
      </c>
      <c r="BB31" s="100" t="s">
        <v>549</v>
      </c>
      <c r="BC31" s="100" t="s">
        <v>549</v>
      </c>
      <c r="BD31" s="158">
        <v>0.5071206665</v>
      </c>
      <c r="BE31" s="158">
        <v>0.8717867278999999</v>
      </c>
      <c r="BF31" s="162">
        <v>502</v>
      </c>
      <c r="BG31" s="162">
        <v>24</v>
      </c>
      <c r="BH31" s="162">
        <v>1341</v>
      </c>
      <c r="BI31" s="162">
        <v>407</v>
      </c>
      <c r="BJ31" s="162">
        <v>150</v>
      </c>
      <c r="BK31" s="97"/>
      <c r="BL31" s="97"/>
      <c r="BM31" s="97"/>
      <c r="BN31" s="97"/>
    </row>
    <row r="32" spans="1:66" ht="12.75">
      <c r="A32" s="79" t="s">
        <v>538</v>
      </c>
      <c r="B32" s="79" t="s">
        <v>317</v>
      </c>
      <c r="C32" s="79" t="s">
        <v>73</v>
      </c>
      <c r="D32" s="99">
        <v>3239</v>
      </c>
      <c r="E32" s="99">
        <v>370</v>
      </c>
      <c r="F32" s="99" t="s">
        <v>343</v>
      </c>
      <c r="G32" s="99">
        <v>6</v>
      </c>
      <c r="H32" s="99">
        <v>6</v>
      </c>
      <c r="I32" s="99">
        <v>26</v>
      </c>
      <c r="J32" s="99">
        <v>148</v>
      </c>
      <c r="K32" s="99">
        <v>16</v>
      </c>
      <c r="L32" s="99">
        <v>451</v>
      </c>
      <c r="M32" s="99">
        <v>78</v>
      </c>
      <c r="N32" s="99">
        <v>39</v>
      </c>
      <c r="O32" s="99">
        <v>21</v>
      </c>
      <c r="P32" s="159">
        <v>21</v>
      </c>
      <c r="Q32" s="99" t="s">
        <v>549</v>
      </c>
      <c r="R32" s="99">
        <v>8</v>
      </c>
      <c r="S32" s="99">
        <v>11</v>
      </c>
      <c r="T32" s="99" t="s">
        <v>549</v>
      </c>
      <c r="U32" s="99" t="s">
        <v>549</v>
      </c>
      <c r="V32" s="99" t="s">
        <v>549</v>
      </c>
      <c r="W32" s="99">
        <v>13</v>
      </c>
      <c r="X32" s="99">
        <v>10</v>
      </c>
      <c r="Y32" s="99">
        <v>14</v>
      </c>
      <c r="Z32" s="99">
        <v>15</v>
      </c>
      <c r="AA32" s="99" t="s">
        <v>549</v>
      </c>
      <c r="AB32" s="99" t="s">
        <v>549</v>
      </c>
      <c r="AC32" s="99" t="s">
        <v>549</v>
      </c>
      <c r="AD32" s="98" t="s">
        <v>322</v>
      </c>
      <c r="AE32" s="100">
        <v>0.11423278789749923</v>
      </c>
      <c r="AF32" s="100">
        <v>0.24</v>
      </c>
      <c r="AG32" s="98">
        <v>185.24235875270145</v>
      </c>
      <c r="AH32" s="98">
        <v>185.24235875270145</v>
      </c>
      <c r="AI32" s="100">
        <v>0.008</v>
      </c>
      <c r="AJ32" s="100">
        <v>0.554307</v>
      </c>
      <c r="AK32" s="100">
        <v>0.666667</v>
      </c>
      <c r="AL32" s="100">
        <v>0.583441</v>
      </c>
      <c r="AM32" s="100">
        <v>0.376812</v>
      </c>
      <c r="AN32" s="100">
        <v>0.448276</v>
      </c>
      <c r="AO32" s="98">
        <v>648.3482556344551</v>
      </c>
      <c r="AP32" s="158">
        <v>0.433169899</v>
      </c>
      <c r="AQ32" s="100" t="s">
        <v>549</v>
      </c>
      <c r="AR32" s="100" t="s">
        <v>549</v>
      </c>
      <c r="AS32" s="98">
        <v>339.61099104661935</v>
      </c>
      <c r="AT32" s="98" t="s">
        <v>549</v>
      </c>
      <c r="AU32" s="98" t="s">
        <v>549</v>
      </c>
      <c r="AV32" s="98" t="s">
        <v>549</v>
      </c>
      <c r="AW32" s="98">
        <v>401.35844396418645</v>
      </c>
      <c r="AX32" s="98">
        <v>308.73726458783574</v>
      </c>
      <c r="AY32" s="98">
        <v>432.23217042297006</v>
      </c>
      <c r="AZ32" s="98">
        <v>463.1058968817536</v>
      </c>
      <c r="BA32" s="100" t="s">
        <v>549</v>
      </c>
      <c r="BB32" s="100" t="s">
        <v>549</v>
      </c>
      <c r="BC32" s="100" t="s">
        <v>549</v>
      </c>
      <c r="BD32" s="158">
        <v>0.2681389999</v>
      </c>
      <c r="BE32" s="158">
        <v>0.6621462250000001</v>
      </c>
      <c r="BF32" s="162">
        <v>267</v>
      </c>
      <c r="BG32" s="162">
        <v>24</v>
      </c>
      <c r="BH32" s="162">
        <v>773</v>
      </c>
      <c r="BI32" s="162">
        <v>207</v>
      </c>
      <c r="BJ32" s="162">
        <v>87</v>
      </c>
      <c r="BK32" s="97"/>
      <c r="BL32" s="97"/>
      <c r="BM32" s="97"/>
      <c r="BN32" s="97"/>
    </row>
    <row r="33" spans="1:66" ht="12.75">
      <c r="A33" s="79" t="s">
        <v>529</v>
      </c>
      <c r="B33" s="79" t="s">
        <v>308</v>
      </c>
      <c r="C33" s="79" t="s">
        <v>73</v>
      </c>
      <c r="D33" s="99">
        <v>7359</v>
      </c>
      <c r="E33" s="99">
        <v>796</v>
      </c>
      <c r="F33" s="99" t="s">
        <v>343</v>
      </c>
      <c r="G33" s="99">
        <v>15</v>
      </c>
      <c r="H33" s="99">
        <v>9</v>
      </c>
      <c r="I33" s="99">
        <v>75</v>
      </c>
      <c r="J33" s="99">
        <v>379</v>
      </c>
      <c r="K33" s="99">
        <v>37</v>
      </c>
      <c r="L33" s="99">
        <v>1422</v>
      </c>
      <c r="M33" s="99">
        <v>165</v>
      </c>
      <c r="N33" s="99">
        <v>74</v>
      </c>
      <c r="O33" s="99">
        <v>83</v>
      </c>
      <c r="P33" s="159">
        <v>83</v>
      </c>
      <c r="Q33" s="99">
        <v>10</v>
      </c>
      <c r="R33" s="99">
        <v>25</v>
      </c>
      <c r="S33" s="99">
        <v>24</v>
      </c>
      <c r="T33" s="99">
        <v>7</v>
      </c>
      <c r="U33" s="99" t="s">
        <v>549</v>
      </c>
      <c r="V33" s="99">
        <v>9</v>
      </c>
      <c r="W33" s="99">
        <v>39</v>
      </c>
      <c r="X33" s="99">
        <v>11</v>
      </c>
      <c r="Y33" s="99">
        <v>62</v>
      </c>
      <c r="Z33" s="99">
        <v>31</v>
      </c>
      <c r="AA33" s="99" t="s">
        <v>549</v>
      </c>
      <c r="AB33" s="99" t="s">
        <v>549</v>
      </c>
      <c r="AC33" s="99" t="s">
        <v>549</v>
      </c>
      <c r="AD33" s="98" t="s">
        <v>322</v>
      </c>
      <c r="AE33" s="100">
        <v>0.10816687049870906</v>
      </c>
      <c r="AF33" s="100">
        <v>0.27</v>
      </c>
      <c r="AG33" s="98">
        <v>203.8320423970648</v>
      </c>
      <c r="AH33" s="98">
        <v>122.29922543823889</v>
      </c>
      <c r="AI33" s="100">
        <v>0.01</v>
      </c>
      <c r="AJ33" s="100">
        <v>0.645656</v>
      </c>
      <c r="AK33" s="100">
        <v>0.840909</v>
      </c>
      <c r="AL33" s="100">
        <v>0.769064</v>
      </c>
      <c r="AM33" s="100">
        <v>0.393795</v>
      </c>
      <c r="AN33" s="100">
        <v>0.440476</v>
      </c>
      <c r="AO33" s="98">
        <v>1127.870634597092</v>
      </c>
      <c r="AP33" s="158">
        <v>0.759358139</v>
      </c>
      <c r="AQ33" s="100">
        <v>0.12048192771084337</v>
      </c>
      <c r="AR33" s="100">
        <v>0.4</v>
      </c>
      <c r="AS33" s="98">
        <v>326.13126783530373</v>
      </c>
      <c r="AT33" s="98">
        <v>95.12161978529691</v>
      </c>
      <c r="AU33" s="98" t="s">
        <v>549</v>
      </c>
      <c r="AV33" s="98">
        <v>122.29922543823889</v>
      </c>
      <c r="AW33" s="98">
        <v>529.9633102323685</v>
      </c>
      <c r="AX33" s="98">
        <v>149.47683109118086</v>
      </c>
      <c r="AY33" s="98">
        <v>842.5057752412013</v>
      </c>
      <c r="AZ33" s="98">
        <v>421.25288762060063</v>
      </c>
      <c r="BA33" s="100" t="s">
        <v>549</v>
      </c>
      <c r="BB33" s="100" t="s">
        <v>549</v>
      </c>
      <c r="BC33" s="100" t="s">
        <v>549</v>
      </c>
      <c r="BD33" s="158">
        <v>0.6048245239</v>
      </c>
      <c r="BE33" s="158">
        <v>0.9413386536</v>
      </c>
      <c r="BF33" s="162">
        <v>587</v>
      </c>
      <c r="BG33" s="162">
        <v>44</v>
      </c>
      <c r="BH33" s="162">
        <v>1849</v>
      </c>
      <c r="BI33" s="162">
        <v>419</v>
      </c>
      <c r="BJ33" s="162">
        <v>168</v>
      </c>
      <c r="BK33" s="97"/>
      <c r="BL33" s="97"/>
      <c r="BM33" s="97"/>
      <c r="BN33" s="97"/>
    </row>
    <row r="34" spans="1:66" ht="12.75">
      <c r="A34" s="79" t="s">
        <v>531</v>
      </c>
      <c r="B34" s="79" t="s">
        <v>310</v>
      </c>
      <c r="C34" s="79" t="s">
        <v>73</v>
      </c>
      <c r="D34" s="99">
        <v>3082</v>
      </c>
      <c r="E34" s="99">
        <v>169</v>
      </c>
      <c r="F34" s="99" t="s">
        <v>343</v>
      </c>
      <c r="G34" s="99">
        <v>6</v>
      </c>
      <c r="H34" s="99" t="s">
        <v>549</v>
      </c>
      <c r="I34" s="99">
        <v>24</v>
      </c>
      <c r="J34" s="99">
        <v>131</v>
      </c>
      <c r="K34" s="99">
        <v>56</v>
      </c>
      <c r="L34" s="99">
        <v>530</v>
      </c>
      <c r="M34" s="99">
        <v>49</v>
      </c>
      <c r="N34" s="99">
        <v>13</v>
      </c>
      <c r="O34" s="99">
        <v>19</v>
      </c>
      <c r="P34" s="159">
        <v>19</v>
      </c>
      <c r="Q34" s="99" t="s">
        <v>549</v>
      </c>
      <c r="R34" s="99" t="s">
        <v>549</v>
      </c>
      <c r="S34" s="99" t="s">
        <v>549</v>
      </c>
      <c r="T34" s="99" t="s">
        <v>549</v>
      </c>
      <c r="U34" s="99" t="s">
        <v>549</v>
      </c>
      <c r="V34" s="99" t="s">
        <v>549</v>
      </c>
      <c r="W34" s="99">
        <v>19</v>
      </c>
      <c r="X34" s="99">
        <v>7</v>
      </c>
      <c r="Y34" s="99">
        <v>33</v>
      </c>
      <c r="Z34" s="99" t="s">
        <v>549</v>
      </c>
      <c r="AA34" s="99" t="s">
        <v>549</v>
      </c>
      <c r="AB34" s="99" t="s">
        <v>549</v>
      </c>
      <c r="AC34" s="99" t="s">
        <v>549</v>
      </c>
      <c r="AD34" s="98" t="s">
        <v>322</v>
      </c>
      <c r="AE34" s="100">
        <v>0.05483452303698897</v>
      </c>
      <c r="AF34" s="100">
        <v>0.27</v>
      </c>
      <c r="AG34" s="98">
        <v>194.6787800129786</v>
      </c>
      <c r="AH34" s="98" t="s">
        <v>549</v>
      </c>
      <c r="AI34" s="100">
        <v>0.008</v>
      </c>
      <c r="AJ34" s="100">
        <v>0.64532</v>
      </c>
      <c r="AK34" s="100">
        <v>0.717949</v>
      </c>
      <c r="AL34" s="100">
        <v>0.748588</v>
      </c>
      <c r="AM34" s="100">
        <v>0.365672</v>
      </c>
      <c r="AN34" s="100">
        <v>0.309524</v>
      </c>
      <c r="AO34" s="98">
        <v>616.4828033744321</v>
      </c>
      <c r="AP34" s="158">
        <v>0.5263066864</v>
      </c>
      <c r="AQ34" s="100" t="s">
        <v>549</v>
      </c>
      <c r="AR34" s="100" t="s">
        <v>549</v>
      </c>
      <c r="AS34" s="98" t="s">
        <v>549</v>
      </c>
      <c r="AT34" s="98" t="s">
        <v>549</v>
      </c>
      <c r="AU34" s="98" t="s">
        <v>549</v>
      </c>
      <c r="AV34" s="98" t="s">
        <v>549</v>
      </c>
      <c r="AW34" s="98">
        <v>616.4828033744321</v>
      </c>
      <c r="AX34" s="98">
        <v>227.125243348475</v>
      </c>
      <c r="AY34" s="98">
        <v>1070.7332900713823</v>
      </c>
      <c r="AZ34" s="98" t="s">
        <v>549</v>
      </c>
      <c r="BA34" s="100" t="s">
        <v>549</v>
      </c>
      <c r="BB34" s="100" t="s">
        <v>549</v>
      </c>
      <c r="BC34" s="100" t="s">
        <v>549</v>
      </c>
      <c r="BD34" s="158">
        <v>0.3168710136</v>
      </c>
      <c r="BE34" s="158">
        <v>0.8218930817000001</v>
      </c>
      <c r="BF34" s="162">
        <v>203</v>
      </c>
      <c r="BG34" s="162">
        <v>78</v>
      </c>
      <c r="BH34" s="162">
        <v>708</v>
      </c>
      <c r="BI34" s="162">
        <v>134</v>
      </c>
      <c r="BJ34" s="162">
        <v>42</v>
      </c>
      <c r="BK34" s="97"/>
      <c r="BL34" s="97"/>
      <c r="BM34" s="97"/>
      <c r="BN34" s="97"/>
    </row>
    <row r="35" spans="1:66" ht="12.75">
      <c r="A35" s="79" t="s">
        <v>525</v>
      </c>
      <c r="B35" s="79" t="s">
        <v>304</v>
      </c>
      <c r="C35" s="79" t="s">
        <v>73</v>
      </c>
      <c r="D35" s="99">
        <v>3604</v>
      </c>
      <c r="E35" s="99">
        <v>469</v>
      </c>
      <c r="F35" s="99" t="s">
        <v>343</v>
      </c>
      <c r="G35" s="99">
        <v>16</v>
      </c>
      <c r="H35" s="99">
        <v>7</v>
      </c>
      <c r="I35" s="99">
        <v>35</v>
      </c>
      <c r="J35" s="99">
        <v>237</v>
      </c>
      <c r="K35" s="99">
        <v>17</v>
      </c>
      <c r="L35" s="99">
        <v>657</v>
      </c>
      <c r="M35" s="99">
        <v>92</v>
      </c>
      <c r="N35" s="99">
        <v>36</v>
      </c>
      <c r="O35" s="99">
        <v>124</v>
      </c>
      <c r="P35" s="159">
        <v>124</v>
      </c>
      <c r="Q35" s="99" t="s">
        <v>549</v>
      </c>
      <c r="R35" s="99">
        <v>10</v>
      </c>
      <c r="S35" s="99">
        <v>16</v>
      </c>
      <c r="T35" s="99">
        <v>18</v>
      </c>
      <c r="U35" s="99" t="s">
        <v>549</v>
      </c>
      <c r="V35" s="99">
        <v>23</v>
      </c>
      <c r="W35" s="99">
        <v>34</v>
      </c>
      <c r="X35" s="99">
        <v>21</v>
      </c>
      <c r="Y35" s="99">
        <v>60</v>
      </c>
      <c r="Z35" s="99">
        <v>9</v>
      </c>
      <c r="AA35" s="99" t="s">
        <v>549</v>
      </c>
      <c r="AB35" s="99" t="s">
        <v>549</v>
      </c>
      <c r="AC35" s="99" t="s">
        <v>549</v>
      </c>
      <c r="AD35" s="98" t="s">
        <v>322</v>
      </c>
      <c r="AE35" s="100">
        <v>0.13013318534961155</v>
      </c>
      <c r="AF35" s="100">
        <v>0.26</v>
      </c>
      <c r="AG35" s="98">
        <v>443.9511653718091</v>
      </c>
      <c r="AH35" s="98">
        <v>194.2286348501665</v>
      </c>
      <c r="AI35" s="100">
        <v>0.01</v>
      </c>
      <c r="AJ35" s="100">
        <v>0.658333</v>
      </c>
      <c r="AK35" s="100">
        <v>0.73913</v>
      </c>
      <c r="AL35" s="100">
        <v>0.750857</v>
      </c>
      <c r="AM35" s="100">
        <v>0.334545</v>
      </c>
      <c r="AN35" s="100">
        <v>0.333333</v>
      </c>
      <c r="AO35" s="98">
        <v>3440.6215316315206</v>
      </c>
      <c r="AP35" s="158">
        <v>2.079604034</v>
      </c>
      <c r="AQ35" s="100" t="s">
        <v>549</v>
      </c>
      <c r="AR35" s="100" t="s">
        <v>549</v>
      </c>
      <c r="AS35" s="98">
        <v>443.9511653718091</v>
      </c>
      <c r="AT35" s="98">
        <v>499.44506104328525</v>
      </c>
      <c r="AU35" s="98" t="s">
        <v>549</v>
      </c>
      <c r="AV35" s="98">
        <v>638.1798002219756</v>
      </c>
      <c r="AW35" s="98">
        <v>943.3962264150944</v>
      </c>
      <c r="AX35" s="98">
        <v>582.6859045504995</v>
      </c>
      <c r="AY35" s="98">
        <v>1664.8168701442842</v>
      </c>
      <c r="AZ35" s="98">
        <v>249.72253052164262</v>
      </c>
      <c r="BA35" s="101" t="s">
        <v>549</v>
      </c>
      <c r="BB35" s="101" t="s">
        <v>549</v>
      </c>
      <c r="BC35" s="101" t="s">
        <v>549</v>
      </c>
      <c r="BD35" s="158">
        <v>1.729707031</v>
      </c>
      <c r="BE35" s="158">
        <v>2.47949707</v>
      </c>
      <c r="BF35" s="162">
        <v>360</v>
      </c>
      <c r="BG35" s="162">
        <v>23</v>
      </c>
      <c r="BH35" s="162">
        <v>875</v>
      </c>
      <c r="BI35" s="162">
        <v>275</v>
      </c>
      <c r="BJ35" s="162">
        <v>108</v>
      </c>
      <c r="BK35" s="97"/>
      <c r="BL35" s="97"/>
      <c r="BM35" s="97"/>
      <c r="BN35" s="97"/>
    </row>
    <row r="36" spans="1:66" ht="12.75">
      <c r="A36" s="79" t="s">
        <v>524</v>
      </c>
      <c r="B36" s="79" t="s">
        <v>303</v>
      </c>
      <c r="C36" s="79" t="s">
        <v>73</v>
      </c>
      <c r="D36" s="99">
        <v>3358</v>
      </c>
      <c r="E36" s="99">
        <v>338</v>
      </c>
      <c r="F36" s="99" t="s">
        <v>343</v>
      </c>
      <c r="G36" s="99">
        <v>6</v>
      </c>
      <c r="H36" s="99" t="s">
        <v>549</v>
      </c>
      <c r="I36" s="99">
        <v>32</v>
      </c>
      <c r="J36" s="99">
        <v>151</v>
      </c>
      <c r="K36" s="99">
        <v>10</v>
      </c>
      <c r="L36" s="99">
        <v>597</v>
      </c>
      <c r="M36" s="99">
        <v>68</v>
      </c>
      <c r="N36" s="99">
        <v>31</v>
      </c>
      <c r="O36" s="99">
        <v>15</v>
      </c>
      <c r="P36" s="159">
        <v>15</v>
      </c>
      <c r="Q36" s="99" t="s">
        <v>549</v>
      </c>
      <c r="R36" s="99">
        <v>11</v>
      </c>
      <c r="S36" s="99">
        <v>8</v>
      </c>
      <c r="T36" s="99" t="s">
        <v>549</v>
      </c>
      <c r="U36" s="99" t="s">
        <v>549</v>
      </c>
      <c r="V36" s="99" t="s">
        <v>549</v>
      </c>
      <c r="W36" s="99">
        <v>11</v>
      </c>
      <c r="X36" s="99">
        <v>8</v>
      </c>
      <c r="Y36" s="99">
        <v>21</v>
      </c>
      <c r="Z36" s="99">
        <v>11</v>
      </c>
      <c r="AA36" s="99" t="s">
        <v>549</v>
      </c>
      <c r="AB36" s="99" t="s">
        <v>549</v>
      </c>
      <c r="AC36" s="99" t="s">
        <v>549</v>
      </c>
      <c r="AD36" s="98" t="s">
        <v>322</v>
      </c>
      <c r="AE36" s="100">
        <v>0.10065515187611673</v>
      </c>
      <c r="AF36" s="100">
        <v>0.26</v>
      </c>
      <c r="AG36" s="98">
        <v>178.6777843954735</v>
      </c>
      <c r="AH36" s="98" t="s">
        <v>549</v>
      </c>
      <c r="AI36" s="100">
        <v>0.01</v>
      </c>
      <c r="AJ36" s="100">
        <v>0.606426</v>
      </c>
      <c r="AK36" s="100">
        <v>0.454545</v>
      </c>
      <c r="AL36" s="100">
        <v>0.719277</v>
      </c>
      <c r="AM36" s="100">
        <v>0.346939</v>
      </c>
      <c r="AN36" s="100">
        <v>0.430556</v>
      </c>
      <c r="AO36" s="98">
        <v>446.6944609886837</v>
      </c>
      <c r="AP36" s="158">
        <v>0.31450737</v>
      </c>
      <c r="AQ36" s="100" t="s">
        <v>549</v>
      </c>
      <c r="AR36" s="100" t="s">
        <v>549</v>
      </c>
      <c r="AS36" s="98">
        <v>238.23704586063133</v>
      </c>
      <c r="AT36" s="98" t="s">
        <v>549</v>
      </c>
      <c r="AU36" s="98" t="s">
        <v>549</v>
      </c>
      <c r="AV36" s="98" t="s">
        <v>549</v>
      </c>
      <c r="AW36" s="98">
        <v>327.5759380583681</v>
      </c>
      <c r="AX36" s="98">
        <v>238.23704586063133</v>
      </c>
      <c r="AY36" s="98">
        <v>625.3722453841573</v>
      </c>
      <c r="AZ36" s="98">
        <v>327.5759380583681</v>
      </c>
      <c r="BA36" s="100" t="s">
        <v>549</v>
      </c>
      <c r="BB36" s="100" t="s">
        <v>549</v>
      </c>
      <c r="BC36" s="100" t="s">
        <v>549</v>
      </c>
      <c r="BD36" s="158">
        <v>0.17602739329999997</v>
      </c>
      <c r="BE36" s="158">
        <v>0.5187320709000001</v>
      </c>
      <c r="BF36" s="162">
        <v>249</v>
      </c>
      <c r="BG36" s="162">
        <v>22</v>
      </c>
      <c r="BH36" s="162">
        <v>830</v>
      </c>
      <c r="BI36" s="162">
        <v>196</v>
      </c>
      <c r="BJ36" s="162">
        <v>72</v>
      </c>
      <c r="BK36" s="97"/>
      <c r="BL36" s="97"/>
      <c r="BM36" s="97"/>
      <c r="BN36" s="97"/>
    </row>
    <row r="37" spans="1:66" ht="12.75">
      <c r="A37" s="79" t="s">
        <v>516</v>
      </c>
      <c r="B37" s="79" t="s">
        <v>295</v>
      </c>
      <c r="C37" s="79" t="s">
        <v>73</v>
      </c>
      <c r="D37" s="99">
        <v>2794</v>
      </c>
      <c r="E37" s="99">
        <v>258</v>
      </c>
      <c r="F37" s="99" t="s">
        <v>343</v>
      </c>
      <c r="G37" s="99">
        <v>7</v>
      </c>
      <c r="H37" s="99" t="s">
        <v>549</v>
      </c>
      <c r="I37" s="99">
        <v>21</v>
      </c>
      <c r="J37" s="99">
        <v>93</v>
      </c>
      <c r="K37" s="99" t="s">
        <v>549</v>
      </c>
      <c r="L37" s="99">
        <v>445</v>
      </c>
      <c r="M37" s="99">
        <v>45</v>
      </c>
      <c r="N37" s="99">
        <v>14</v>
      </c>
      <c r="O37" s="99">
        <v>51</v>
      </c>
      <c r="P37" s="159">
        <v>51</v>
      </c>
      <c r="Q37" s="99" t="s">
        <v>549</v>
      </c>
      <c r="R37" s="99" t="s">
        <v>549</v>
      </c>
      <c r="S37" s="99">
        <v>10</v>
      </c>
      <c r="T37" s="99">
        <v>7</v>
      </c>
      <c r="U37" s="99" t="s">
        <v>549</v>
      </c>
      <c r="V37" s="99">
        <v>9</v>
      </c>
      <c r="W37" s="99">
        <v>17</v>
      </c>
      <c r="X37" s="99">
        <v>8</v>
      </c>
      <c r="Y37" s="99">
        <v>30</v>
      </c>
      <c r="Z37" s="99">
        <v>8</v>
      </c>
      <c r="AA37" s="99" t="s">
        <v>549</v>
      </c>
      <c r="AB37" s="99" t="s">
        <v>549</v>
      </c>
      <c r="AC37" s="99" t="s">
        <v>549</v>
      </c>
      <c r="AD37" s="98" t="s">
        <v>322</v>
      </c>
      <c r="AE37" s="100">
        <v>0.09234073013600573</v>
      </c>
      <c r="AF37" s="100">
        <v>0.28</v>
      </c>
      <c r="AG37" s="98">
        <v>250.53686471009306</v>
      </c>
      <c r="AH37" s="98" t="s">
        <v>549</v>
      </c>
      <c r="AI37" s="100">
        <v>0.008</v>
      </c>
      <c r="AJ37" s="100">
        <v>0.528409</v>
      </c>
      <c r="AK37" s="100" t="s">
        <v>549</v>
      </c>
      <c r="AL37" s="100">
        <v>0.689922</v>
      </c>
      <c r="AM37" s="100">
        <v>0.306122</v>
      </c>
      <c r="AN37" s="100">
        <v>0.27451</v>
      </c>
      <c r="AO37" s="98">
        <v>1825.3400143163922</v>
      </c>
      <c r="AP37" s="158">
        <v>1.413039703</v>
      </c>
      <c r="AQ37" s="100" t="s">
        <v>549</v>
      </c>
      <c r="AR37" s="100" t="s">
        <v>549</v>
      </c>
      <c r="AS37" s="98">
        <v>357.9098067287044</v>
      </c>
      <c r="AT37" s="98">
        <v>250.53686471009306</v>
      </c>
      <c r="AU37" s="98" t="s">
        <v>549</v>
      </c>
      <c r="AV37" s="98">
        <v>322.11882605583395</v>
      </c>
      <c r="AW37" s="98">
        <v>608.4466714387975</v>
      </c>
      <c r="AX37" s="98">
        <v>286.3278453829635</v>
      </c>
      <c r="AY37" s="98">
        <v>1073.7294201861132</v>
      </c>
      <c r="AZ37" s="98">
        <v>286.3278453829635</v>
      </c>
      <c r="BA37" s="100" t="s">
        <v>549</v>
      </c>
      <c r="BB37" s="100" t="s">
        <v>549</v>
      </c>
      <c r="BC37" s="100" t="s">
        <v>549</v>
      </c>
      <c r="BD37" s="158">
        <v>1.0521008299999999</v>
      </c>
      <c r="BE37" s="158">
        <v>1.8578862</v>
      </c>
      <c r="BF37" s="162">
        <v>176</v>
      </c>
      <c r="BG37" s="162" t="s">
        <v>549</v>
      </c>
      <c r="BH37" s="162">
        <v>645</v>
      </c>
      <c r="BI37" s="162">
        <v>147</v>
      </c>
      <c r="BJ37" s="162">
        <v>51</v>
      </c>
      <c r="BK37" s="97"/>
      <c r="BL37" s="97"/>
      <c r="BM37" s="97"/>
      <c r="BN37" s="97"/>
    </row>
    <row r="38" spans="1:66" ht="12.75">
      <c r="A38" s="79" t="s">
        <v>518</v>
      </c>
      <c r="B38" s="79" t="s">
        <v>297</v>
      </c>
      <c r="C38" s="79" t="s">
        <v>73</v>
      </c>
      <c r="D38" s="99">
        <v>8400</v>
      </c>
      <c r="E38" s="99">
        <v>1056</v>
      </c>
      <c r="F38" s="99" t="s">
        <v>343</v>
      </c>
      <c r="G38" s="99">
        <v>34</v>
      </c>
      <c r="H38" s="99">
        <v>27</v>
      </c>
      <c r="I38" s="99">
        <v>82</v>
      </c>
      <c r="J38" s="99">
        <v>512</v>
      </c>
      <c r="K38" s="99">
        <v>20</v>
      </c>
      <c r="L38" s="99">
        <v>1365</v>
      </c>
      <c r="M38" s="99">
        <v>286</v>
      </c>
      <c r="N38" s="99">
        <v>129</v>
      </c>
      <c r="O38" s="99">
        <v>230</v>
      </c>
      <c r="P38" s="159">
        <v>230</v>
      </c>
      <c r="Q38" s="99">
        <v>22</v>
      </c>
      <c r="R38" s="99">
        <v>49</v>
      </c>
      <c r="S38" s="99">
        <v>52</v>
      </c>
      <c r="T38" s="99">
        <v>28</v>
      </c>
      <c r="U38" s="99">
        <v>6</v>
      </c>
      <c r="V38" s="99">
        <v>59</v>
      </c>
      <c r="W38" s="99">
        <v>41</v>
      </c>
      <c r="X38" s="99">
        <v>36</v>
      </c>
      <c r="Y38" s="99">
        <v>89</v>
      </c>
      <c r="Z38" s="99">
        <v>37</v>
      </c>
      <c r="AA38" s="99" t="s">
        <v>549</v>
      </c>
      <c r="AB38" s="99" t="s">
        <v>549</v>
      </c>
      <c r="AC38" s="99" t="s">
        <v>549</v>
      </c>
      <c r="AD38" s="98" t="s">
        <v>322</v>
      </c>
      <c r="AE38" s="100">
        <v>0.12571428571428572</v>
      </c>
      <c r="AF38" s="100">
        <v>0.29</v>
      </c>
      <c r="AG38" s="98">
        <v>404.76190476190476</v>
      </c>
      <c r="AH38" s="98">
        <v>321.42857142857144</v>
      </c>
      <c r="AI38" s="100">
        <v>0.01</v>
      </c>
      <c r="AJ38" s="100">
        <v>0.663212</v>
      </c>
      <c r="AK38" s="100">
        <v>0.5</v>
      </c>
      <c r="AL38" s="100">
        <v>0.676412</v>
      </c>
      <c r="AM38" s="100">
        <v>0.425595</v>
      </c>
      <c r="AN38" s="100">
        <v>0.507874</v>
      </c>
      <c r="AO38" s="98">
        <v>2738.095238095238</v>
      </c>
      <c r="AP38" s="158">
        <v>1.7245835880000002</v>
      </c>
      <c r="AQ38" s="100">
        <v>0.09565217391304348</v>
      </c>
      <c r="AR38" s="100">
        <v>0.4489795918367347</v>
      </c>
      <c r="AS38" s="98">
        <v>619.047619047619</v>
      </c>
      <c r="AT38" s="98">
        <v>333.3333333333333</v>
      </c>
      <c r="AU38" s="98">
        <v>71.42857142857143</v>
      </c>
      <c r="AV38" s="98">
        <v>702.3809523809524</v>
      </c>
      <c r="AW38" s="98">
        <v>488.0952380952381</v>
      </c>
      <c r="AX38" s="98">
        <v>428.57142857142856</v>
      </c>
      <c r="AY38" s="98">
        <v>1059.5238095238096</v>
      </c>
      <c r="AZ38" s="98">
        <v>440.4761904761905</v>
      </c>
      <c r="BA38" s="100" t="s">
        <v>549</v>
      </c>
      <c r="BB38" s="100" t="s">
        <v>549</v>
      </c>
      <c r="BC38" s="100" t="s">
        <v>549</v>
      </c>
      <c r="BD38" s="158">
        <v>1.508889618</v>
      </c>
      <c r="BE38" s="158">
        <v>1.962459259</v>
      </c>
      <c r="BF38" s="162">
        <v>772</v>
      </c>
      <c r="BG38" s="162">
        <v>40</v>
      </c>
      <c r="BH38" s="162">
        <v>2018</v>
      </c>
      <c r="BI38" s="162">
        <v>672</v>
      </c>
      <c r="BJ38" s="162">
        <v>254</v>
      </c>
      <c r="BK38" s="97"/>
      <c r="BL38" s="97"/>
      <c r="BM38" s="97"/>
      <c r="BN38" s="97"/>
    </row>
    <row r="39" spans="1:66" ht="12.75">
      <c r="A39" s="79" t="s">
        <v>539</v>
      </c>
      <c r="B39" s="79" t="s">
        <v>319</v>
      </c>
      <c r="C39" s="79" t="s">
        <v>73</v>
      </c>
      <c r="D39" s="99">
        <v>2586</v>
      </c>
      <c r="E39" s="99">
        <v>103</v>
      </c>
      <c r="F39" s="99" t="s">
        <v>343</v>
      </c>
      <c r="G39" s="99" t="s">
        <v>549</v>
      </c>
      <c r="H39" s="99" t="s">
        <v>549</v>
      </c>
      <c r="I39" s="99">
        <v>5</v>
      </c>
      <c r="J39" s="99">
        <v>52</v>
      </c>
      <c r="K39" s="99" t="s">
        <v>549</v>
      </c>
      <c r="L39" s="99">
        <v>418</v>
      </c>
      <c r="M39" s="99">
        <v>25</v>
      </c>
      <c r="N39" s="99">
        <v>13</v>
      </c>
      <c r="O39" s="99">
        <v>8</v>
      </c>
      <c r="P39" s="159">
        <v>8</v>
      </c>
      <c r="Q39" s="99" t="s">
        <v>549</v>
      </c>
      <c r="R39" s="99" t="s">
        <v>549</v>
      </c>
      <c r="S39" s="99" t="s">
        <v>549</v>
      </c>
      <c r="T39" s="99" t="s">
        <v>549</v>
      </c>
      <c r="U39" s="99" t="s">
        <v>549</v>
      </c>
      <c r="V39" s="99" t="s">
        <v>549</v>
      </c>
      <c r="W39" s="99" t="s">
        <v>549</v>
      </c>
      <c r="X39" s="99" t="s">
        <v>549</v>
      </c>
      <c r="Y39" s="99">
        <v>7</v>
      </c>
      <c r="Z39" s="99" t="s">
        <v>549</v>
      </c>
      <c r="AA39" s="99" t="s">
        <v>549</v>
      </c>
      <c r="AB39" s="99" t="s">
        <v>549</v>
      </c>
      <c r="AC39" s="99" t="s">
        <v>549</v>
      </c>
      <c r="AD39" s="98" t="s">
        <v>322</v>
      </c>
      <c r="AE39" s="100">
        <v>0.03982985305491106</v>
      </c>
      <c r="AF39" s="100">
        <v>0.34</v>
      </c>
      <c r="AG39" s="98" t="s">
        <v>549</v>
      </c>
      <c r="AH39" s="98" t="s">
        <v>549</v>
      </c>
      <c r="AI39" s="100">
        <v>0.002</v>
      </c>
      <c r="AJ39" s="100">
        <v>0.525253</v>
      </c>
      <c r="AK39" s="100" t="s">
        <v>549</v>
      </c>
      <c r="AL39" s="100">
        <v>0.712095</v>
      </c>
      <c r="AM39" s="100">
        <v>0.324675</v>
      </c>
      <c r="AN39" s="100">
        <v>0.433333</v>
      </c>
      <c r="AO39" s="98">
        <v>309.3580819798917</v>
      </c>
      <c r="AP39" s="158">
        <v>0.31867750170000003</v>
      </c>
      <c r="AQ39" s="100" t="s">
        <v>549</v>
      </c>
      <c r="AR39" s="100" t="s">
        <v>549</v>
      </c>
      <c r="AS39" s="98" t="s">
        <v>549</v>
      </c>
      <c r="AT39" s="98" t="s">
        <v>549</v>
      </c>
      <c r="AU39" s="98" t="s">
        <v>549</v>
      </c>
      <c r="AV39" s="98" t="s">
        <v>549</v>
      </c>
      <c r="AW39" s="98" t="s">
        <v>549</v>
      </c>
      <c r="AX39" s="98" t="s">
        <v>549</v>
      </c>
      <c r="AY39" s="98">
        <v>270.68832173240526</v>
      </c>
      <c r="AZ39" s="98" t="s">
        <v>549</v>
      </c>
      <c r="BA39" s="100" t="s">
        <v>549</v>
      </c>
      <c r="BB39" s="100" t="s">
        <v>549</v>
      </c>
      <c r="BC39" s="100" t="s">
        <v>549</v>
      </c>
      <c r="BD39" s="158">
        <v>0.1375823307</v>
      </c>
      <c r="BE39" s="158">
        <v>0.6279217148</v>
      </c>
      <c r="BF39" s="162">
        <v>99</v>
      </c>
      <c r="BG39" s="162" t="s">
        <v>549</v>
      </c>
      <c r="BH39" s="162">
        <v>587</v>
      </c>
      <c r="BI39" s="162">
        <v>77</v>
      </c>
      <c r="BJ39" s="162">
        <v>30</v>
      </c>
      <c r="BK39" s="97"/>
      <c r="BL39" s="97"/>
      <c r="BM39" s="97"/>
      <c r="BN39" s="97"/>
    </row>
    <row r="40" spans="1:66" ht="12.75">
      <c r="A40" s="79" t="s">
        <v>523</v>
      </c>
      <c r="B40" s="79" t="s">
        <v>302</v>
      </c>
      <c r="C40" s="79" t="s">
        <v>73</v>
      </c>
      <c r="D40" s="99">
        <v>1796</v>
      </c>
      <c r="E40" s="99">
        <v>230</v>
      </c>
      <c r="F40" s="99" t="s">
        <v>343</v>
      </c>
      <c r="G40" s="99" t="s">
        <v>549</v>
      </c>
      <c r="H40" s="99" t="s">
        <v>549</v>
      </c>
      <c r="I40" s="99">
        <v>14</v>
      </c>
      <c r="J40" s="99">
        <v>63</v>
      </c>
      <c r="K40" s="99">
        <v>20</v>
      </c>
      <c r="L40" s="99">
        <v>279</v>
      </c>
      <c r="M40" s="99">
        <v>31</v>
      </c>
      <c r="N40" s="99">
        <v>16</v>
      </c>
      <c r="O40" s="99">
        <v>39</v>
      </c>
      <c r="P40" s="159">
        <v>39</v>
      </c>
      <c r="Q40" s="99">
        <v>6</v>
      </c>
      <c r="R40" s="99">
        <v>13</v>
      </c>
      <c r="S40" s="99" t="s">
        <v>549</v>
      </c>
      <c r="T40" s="99">
        <v>6</v>
      </c>
      <c r="U40" s="99" t="s">
        <v>549</v>
      </c>
      <c r="V40" s="99" t="s">
        <v>549</v>
      </c>
      <c r="W40" s="99">
        <v>15</v>
      </c>
      <c r="X40" s="99">
        <v>9</v>
      </c>
      <c r="Y40" s="99">
        <v>24</v>
      </c>
      <c r="Z40" s="99">
        <v>11</v>
      </c>
      <c r="AA40" s="99" t="s">
        <v>549</v>
      </c>
      <c r="AB40" s="99" t="s">
        <v>549</v>
      </c>
      <c r="AC40" s="99" t="s">
        <v>549</v>
      </c>
      <c r="AD40" s="98" t="s">
        <v>322</v>
      </c>
      <c r="AE40" s="100">
        <v>0.12806236080178174</v>
      </c>
      <c r="AF40" s="100">
        <v>0.33</v>
      </c>
      <c r="AG40" s="98" t="s">
        <v>549</v>
      </c>
      <c r="AH40" s="98" t="s">
        <v>549</v>
      </c>
      <c r="AI40" s="100">
        <v>0.008</v>
      </c>
      <c r="AJ40" s="100">
        <v>0.508065</v>
      </c>
      <c r="AK40" s="100">
        <v>0.606061</v>
      </c>
      <c r="AL40" s="100">
        <v>0.683824</v>
      </c>
      <c r="AM40" s="100">
        <v>0.274336</v>
      </c>
      <c r="AN40" s="100">
        <v>0.326531</v>
      </c>
      <c r="AO40" s="98">
        <v>2171.4922048997773</v>
      </c>
      <c r="AP40" s="158">
        <v>1.462784729</v>
      </c>
      <c r="AQ40" s="100">
        <v>0.15384615384615385</v>
      </c>
      <c r="AR40" s="100">
        <v>0.46153846153846156</v>
      </c>
      <c r="AS40" s="98" t="s">
        <v>549</v>
      </c>
      <c r="AT40" s="98">
        <v>334.07572383073494</v>
      </c>
      <c r="AU40" s="98" t="s">
        <v>549</v>
      </c>
      <c r="AV40" s="98" t="s">
        <v>549</v>
      </c>
      <c r="AW40" s="98">
        <v>835.1893095768374</v>
      </c>
      <c r="AX40" s="98">
        <v>501.11358574610244</v>
      </c>
      <c r="AY40" s="98">
        <v>1336.3028953229398</v>
      </c>
      <c r="AZ40" s="98">
        <v>612.4721603563474</v>
      </c>
      <c r="BA40" s="100" t="s">
        <v>549</v>
      </c>
      <c r="BB40" s="100" t="s">
        <v>549</v>
      </c>
      <c r="BC40" s="100" t="s">
        <v>549</v>
      </c>
      <c r="BD40" s="158">
        <v>1.040182953</v>
      </c>
      <c r="BE40" s="158">
        <v>1.9996749879999998</v>
      </c>
      <c r="BF40" s="162">
        <v>124</v>
      </c>
      <c r="BG40" s="162">
        <v>33</v>
      </c>
      <c r="BH40" s="162">
        <v>408</v>
      </c>
      <c r="BI40" s="162">
        <v>113</v>
      </c>
      <c r="BJ40" s="162">
        <v>49</v>
      </c>
      <c r="BK40" s="97"/>
      <c r="BL40" s="97"/>
      <c r="BM40" s="97"/>
      <c r="BN40" s="97"/>
    </row>
    <row r="41" spans="1:66" ht="12.75">
      <c r="A41" s="79" t="s">
        <v>520</v>
      </c>
      <c r="B41" s="79" t="s">
        <v>299</v>
      </c>
      <c r="C41" s="79" t="s">
        <v>73</v>
      </c>
      <c r="D41" s="99">
        <v>4450</v>
      </c>
      <c r="E41" s="99">
        <v>641</v>
      </c>
      <c r="F41" s="99" t="s">
        <v>342</v>
      </c>
      <c r="G41" s="99">
        <v>9</v>
      </c>
      <c r="H41" s="99">
        <v>10</v>
      </c>
      <c r="I41" s="99">
        <v>56</v>
      </c>
      <c r="J41" s="99">
        <v>267</v>
      </c>
      <c r="K41" s="99">
        <v>27</v>
      </c>
      <c r="L41" s="99">
        <v>626</v>
      </c>
      <c r="M41" s="99">
        <v>154</v>
      </c>
      <c r="N41" s="99">
        <v>70</v>
      </c>
      <c r="O41" s="99">
        <v>50</v>
      </c>
      <c r="P41" s="159">
        <v>50</v>
      </c>
      <c r="Q41" s="99">
        <v>10</v>
      </c>
      <c r="R41" s="99">
        <v>15</v>
      </c>
      <c r="S41" s="99">
        <v>6</v>
      </c>
      <c r="T41" s="99">
        <v>15</v>
      </c>
      <c r="U41" s="99" t="s">
        <v>549</v>
      </c>
      <c r="V41" s="99">
        <v>7</v>
      </c>
      <c r="W41" s="99">
        <v>25</v>
      </c>
      <c r="X41" s="99">
        <v>18</v>
      </c>
      <c r="Y41" s="99">
        <v>42</v>
      </c>
      <c r="Z41" s="99">
        <v>29</v>
      </c>
      <c r="AA41" s="99" t="s">
        <v>549</v>
      </c>
      <c r="AB41" s="99" t="s">
        <v>549</v>
      </c>
      <c r="AC41" s="99" t="s">
        <v>549</v>
      </c>
      <c r="AD41" s="98" t="s">
        <v>322</v>
      </c>
      <c r="AE41" s="100">
        <v>0.14404494382022473</v>
      </c>
      <c r="AF41" s="100">
        <v>0.23</v>
      </c>
      <c r="AG41" s="98">
        <v>202.24719101123594</v>
      </c>
      <c r="AH41" s="98">
        <v>224.7191011235955</v>
      </c>
      <c r="AI41" s="100">
        <v>0.013000000000000001</v>
      </c>
      <c r="AJ41" s="100">
        <v>0.637232</v>
      </c>
      <c r="AK41" s="100">
        <v>0.658537</v>
      </c>
      <c r="AL41" s="100">
        <v>0.597328</v>
      </c>
      <c r="AM41" s="100">
        <v>0.425414</v>
      </c>
      <c r="AN41" s="100">
        <v>0.507246</v>
      </c>
      <c r="AO41" s="98">
        <v>1123.5955056179776</v>
      </c>
      <c r="AP41" s="158">
        <v>0.6704364777</v>
      </c>
      <c r="AQ41" s="100">
        <v>0.2</v>
      </c>
      <c r="AR41" s="100">
        <v>0.6666666666666666</v>
      </c>
      <c r="AS41" s="98">
        <v>134.8314606741573</v>
      </c>
      <c r="AT41" s="98">
        <v>337.07865168539325</v>
      </c>
      <c r="AU41" s="98" t="s">
        <v>549</v>
      </c>
      <c r="AV41" s="98">
        <v>157.30337078651687</v>
      </c>
      <c r="AW41" s="98">
        <v>561.7977528089888</v>
      </c>
      <c r="AX41" s="98">
        <v>404.4943820224719</v>
      </c>
      <c r="AY41" s="98">
        <v>943.8202247191011</v>
      </c>
      <c r="AZ41" s="98">
        <v>651.685393258427</v>
      </c>
      <c r="BA41" s="100" t="s">
        <v>549</v>
      </c>
      <c r="BB41" s="100" t="s">
        <v>549</v>
      </c>
      <c r="BC41" s="100" t="s">
        <v>549</v>
      </c>
      <c r="BD41" s="158">
        <v>0.4976108932</v>
      </c>
      <c r="BE41" s="158">
        <v>0.8838869476000001</v>
      </c>
      <c r="BF41" s="162">
        <v>419</v>
      </c>
      <c r="BG41" s="162">
        <v>41</v>
      </c>
      <c r="BH41" s="162">
        <v>1048</v>
      </c>
      <c r="BI41" s="162">
        <v>362</v>
      </c>
      <c r="BJ41" s="162">
        <v>138</v>
      </c>
      <c r="BK41" s="97"/>
      <c r="BL41" s="97"/>
      <c r="BM41" s="97"/>
      <c r="BN41" s="97"/>
    </row>
    <row r="42" spans="1:66" ht="12.75">
      <c r="A42" s="79" t="s">
        <v>511</v>
      </c>
      <c r="B42" s="79" t="s">
        <v>290</v>
      </c>
      <c r="C42" s="79" t="s">
        <v>73</v>
      </c>
      <c r="D42" s="99">
        <v>4390</v>
      </c>
      <c r="E42" s="99">
        <v>733</v>
      </c>
      <c r="F42" s="99" t="s">
        <v>344</v>
      </c>
      <c r="G42" s="99">
        <v>33</v>
      </c>
      <c r="H42" s="99">
        <v>14</v>
      </c>
      <c r="I42" s="99">
        <v>56</v>
      </c>
      <c r="J42" s="99">
        <v>365</v>
      </c>
      <c r="K42" s="99">
        <v>216</v>
      </c>
      <c r="L42" s="99">
        <v>769</v>
      </c>
      <c r="M42" s="99">
        <v>223</v>
      </c>
      <c r="N42" s="99">
        <v>96</v>
      </c>
      <c r="O42" s="99">
        <v>67</v>
      </c>
      <c r="P42" s="159">
        <v>67</v>
      </c>
      <c r="Q42" s="99">
        <v>12</v>
      </c>
      <c r="R42" s="99">
        <v>24</v>
      </c>
      <c r="S42" s="99">
        <v>18</v>
      </c>
      <c r="T42" s="99">
        <v>8</v>
      </c>
      <c r="U42" s="99" t="s">
        <v>549</v>
      </c>
      <c r="V42" s="99">
        <v>6</v>
      </c>
      <c r="W42" s="99">
        <v>28</v>
      </c>
      <c r="X42" s="99">
        <v>15</v>
      </c>
      <c r="Y42" s="99">
        <v>52</v>
      </c>
      <c r="Z42" s="99">
        <v>46</v>
      </c>
      <c r="AA42" s="99" t="s">
        <v>549</v>
      </c>
      <c r="AB42" s="99" t="s">
        <v>549</v>
      </c>
      <c r="AC42" s="99" t="s">
        <v>549</v>
      </c>
      <c r="AD42" s="98" t="s">
        <v>322</v>
      </c>
      <c r="AE42" s="100">
        <v>0.16697038724373575</v>
      </c>
      <c r="AF42" s="100">
        <v>0.17</v>
      </c>
      <c r="AG42" s="98">
        <v>751.7084282460137</v>
      </c>
      <c r="AH42" s="98">
        <v>318.90660592255125</v>
      </c>
      <c r="AI42" s="100">
        <v>0.013000000000000001</v>
      </c>
      <c r="AJ42" s="100">
        <v>0.710117</v>
      </c>
      <c r="AK42" s="100">
        <v>0.808989</v>
      </c>
      <c r="AL42" s="100">
        <v>0.745878</v>
      </c>
      <c r="AM42" s="100">
        <v>0.511468</v>
      </c>
      <c r="AN42" s="100">
        <v>0.57485</v>
      </c>
      <c r="AO42" s="98">
        <v>1526.1958997722095</v>
      </c>
      <c r="AP42" s="158">
        <v>0.8143188477</v>
      </c>
      <c r="AQ42" s="100">
        <v>0.1791044776119403</v>
      </c>
      <c r="AR42" s="100">
        <v>0.5</v>
      </c>
      <c r="AS42" s="98">
        <v>410.0227790432802</v>
      </c>
      <c r="AT42" s="98">
        <v>182.23234624145786</v>
      </c>
      <c r="AU42" s="98" t="s">
        <v>549</v>
      </c>
      <c r="AV42" s="98">
        <v>136.6742596810934</v>
      </c>
      <c r="AW42" s="98">
        <v>637.8132118451025</v>
      </c>
      <c r="AX42" s="98">
        <v>341.6856492027335</v>
      </c>
      <c r="AY42" s="98">
        <v>1184.510250569476</v>
      </c>
      <c r="AZ42" s="98">
        <v>1047.8359908883826</v>
      </c>
      <c r="BA42" s="100" t="s">
        <v>549</v>
      </c>
      <c r="BB42" s="100" t="s">
        <v>549</v>
      </c>
      <c r="BC42" s="100" t="s">
        <v>549</v>
      </c>
      <c r="BD42" s="158">
        <v>0.6310858917000001</v>
      </c>
      <c r="BE42" s="158">
        <v>1.0341561129999999</v>
      </c>
      <c r="BF42" s="162">
        <v>514</v>
      </c>
      <c r="BG42" s="162">
        <v>267</v>
      </c>
      <c r="BH42" s="162">
        <v>1031</v>
      </c>
      <c r="BI42" s="162">
        <v>436</v>
      </c>
      <c r="BJ42" s="162">
        <v>167</v>
      </c>
      <c r="BK42" s="97"/>
      <c r="BL42" s="97"/>
      <c r="BM42" s="97"/>
      <c r="BN42" s="97"/>
    </row>
    <row r="43" spans="1:66" ht="12.75">
      <c r="A43" s="79" t="s">
        <v>375</v>
      </c>
      <c r="B43" s="94" t="s">
        <v>73</v>
      </c>
      <c r="C43" s="94" t="s">
        <v>7</v>
      </c>
      <c r="D43" s="99">
        <v>186689</v>
      </c>
      <c r="E43" s="99">
        <v>18626</v>
      </c>
      <c r="F43" s="99">
        <v>49414.84</v>
      </c>
      <c r="G43" s="99">
        <v>550</v>
      </c>
      <c r="H43" s="99">
        <v>357</v>
      </c>
      <c r="I43" s="99">
        <v>1819</v>
      </c>
      <c r="J43" s="99">
        <v>9694</v>
      </c>
      <c r="K43" s="99">
        <v>1087</v>
      </c>
      <c r="L43" s="99">
        <v>32785</v>
      </c>
      <c r="M43" s="99">
        <v>4685</v>
      </c>
      <c r="N43" s="99">
        <v>2053</v>
      </c>
      <c r="O43" s="99">
        <v>2755</v>
      </c>
      <c r="P43" s="99">
        <v>2755</v>
      </c>
      <c r="Q43" s="99">
        <v>274</v>
      </c>
      <c r="R43" s="99">
        <v>576</v>
      </c>
      <c r="S43" s="99">
        <v>620</v>
      </c>
      <c r="T43" s="99">
        <v>404</v>
      </c>
      <c r="U43" s="99">
        <v>88</v>
      </c>
      <c r="V43" s="99">
        <v>428</v>
      </c>
      <c r="W43" s="99">
        <v>1025</v>
      </c>
      <c r="X43" s="99">
        <v>594</v>
      </c>
      <c r="Y43" s="99">
        <v>1795</v>
      </c>
      <c r="Z43" s="99">
        <v>931</v>
      </c>
      <c r="AA43" s="99">
        <v>0</v>
      </c>
      <c r="AB43" s="99">
        <v>0</v>
      </c>
      <c r="AC43" s="99">
        <v>0</v>
      </c>
      <c r="AD43" s="98">
        <v>0</v>
      </c>
      <c r="AE43" s="101">
        <v>0.09977020606463155</v>
      </c>
      <c r="AF43" s="101">
        <v>0.2646906887925909</v>
      </c>
      <c r="AG43" s="98">
        <v>294.6076094467269</v>
      </c>
      <c r="AH43" s="98">
        <v>191.22712104087546</v>
      </c>
      <c r="AI43" s="101">
        <v>0.00974347711970175</v>
      </c>
      <c r="AJ43" s="101">
        <v>0.6388138385502471</v>
      </c>
      <c r="AK43" s="101">
        <v>0.6676904176904177</v>
      </c>
      <c r="AL43" s="101">
        <v>0.71310494834149</v>
      </c>
      <c r="AM43" s="101">
        <v>0.3954253882511816</v>
      </c>
      <c r="AN43" s="101">
        <v>0.4514072119613017</v>
      </c>
      <c r="AO43" s="98">
        <v>1475.7162982286047</v>
      </c>
      <c r="AP43" s="98">
        <v>0</v>
      </c>
      <c r="AQ43" s="101">
        <v>0.09945553539019963</v>
      </c>
      <c r="AR43" s="101">
        <v>0.4756944444444444</v>
      </c>
      <c r="AS43" s="98">
        <v>332.10312337631035</v>
      </c>
      <c r="AT43" s="98">
        <v>216.40268039359577</v>
      </c>
      <c r="AU43" s="98">
        <v>47.13721751147631</v>
      </c>
      <c r="AV43" s="98">
        <v>229.25828516945293</v>
      </c>
      <c r="AW43" s="98">
        <v>549.0414539689001</v>
      </c>
      <c r="AX43" s="98">
        <v>318.17621820246507</v>
      </c>
      <c r="AY43" s="98">
        <v>961.4921071943178</v>
      </c>
      <c r="AZ43" s="98">
        <v>498.69033526345953</v>
      </c>
      <c r="BA43" s="101">
        <v>0</v>
      </c>
      <c r="BB43" s="101">
        <v>0</v>
      </c>
      <c r="BC43" s="101">
        <v>0</v>
      </c>
      <c r="BD43" s="98">
        <v>0</v>
      </c>
      <c r="BE43" s="98">
        <v>0</v>
      </c>
      <c r="BF43" s="99">
        <v>15175</v>
      </c>
      <c r="BG43" s="99">
        <v>1628</v>
      </c>
      <c r="BH43" s="99">
        <v>45975</v>
      </c>
      <c r="BI43" s="99">
        <v>11848</v>
      </c>
      <c r="BJ43" s="99">
        <v>4548</v>
      </c>
      <c r="BK43" s="97"/>
      <c r="BL43" s="97"/>
      <c r="BM43" s="97"/>
      <c r="BN43" s="97"/>
    </row>
    <row r="44" spans="1:66" ht="12.75">
      <c r="A44" s="79" t="s">
        <v>24</v>
      </c>
      <c r="B44" s="94" t="s">
        <v>7</v>
      </c>
      <c r="C44" s="94" t="s">
        <v>7</v>
      </c>
      <c r="D44" s="99">
        <v>54615830</v>
      </c>
      <c r="E44" s="99">
        <v>8737890</v>
      </c>
      <c r="F44" s="99">
        <v>8198344.169999988</v>
      </c>
      <c r="G44" s="99">
        <v>243379</v>
      </c>
      <c r="H44" s="99">
        <v>127868</v>
      </c>
      <c r="I44" s="99">
        <v>870616</v>
      </c>
      <c r="J44" s="99">
        <v>4592627</v>
      </c>
      <c r="K44" s="99">
        <v>1679592</v>
      </c>
      <c r="L44" s="99">
        <v>10150944</v>
      </c>
      <c r="M44" s="99">
        <v>2959539</v>
      </c>
      <c r="N44" s="99">
        <v>1629320</v>
      </c>
      <c r="O44" s="99">
        <v>989730</v>
      </c>
      <c r="P44" s="99">
        <v>989730</v>
      </c>
      <c r="Q44" s="99">
        <v>108072</v>
      </c>
      <c r="R44" s="99">
        <v>238330</v>
      </c>
      <c r="S44" s="99">
        <v>206300</v>
      </c>
      <c r="T44" s="99">
        <v>154264</v>
      </c>
      <c r="U44" s="99">
        <v>38486</v>
      </c>
      <c r="V44" s="99">
        <v>176535</v>
      </c>
      <c r="W44" s="99">
        <v>307276</v>
      </c>
      <c r="X44" s="99">
        <v>221506</v>
      </c>
      <c r="Y44" s="99">
        <v>578574</v>
      </c>
      <c r="Z44" s="99">
        <v>318377</v>
      </c>
      <c r="AA44" s="99">
        <v>0</v>
      </c>
      <c r="AB44" s="99">
        <v>0</v>
      </c>
      <c r="AC44" s="99">
        <v>0</v>
      </c>
      <c r="AD44" s="98">
        <v>0</v>
      </c>
      <c r="AE44" s="101">
        <v>0.1599882305185145</v>
      </c>
      <c r="AF44" s="101">
        <v>0.15010930292554353</v>
      </c>
      <c r="AG44" s="98">
        <v>445.6198871279627</v>
      </c>
      <c r="AH44" s="98">
        <v>234.12259778895606</v>
      </c>
      <c r="AI44" s="101">
        <v>0.015940726342527432</v>
      </c>
      <c r="AJ44" s="101">
        <v>0.7248631360507991</v>
      </c>
      <c r="AK44" s="101">
        <v>0.7467412166569077</v>
      </c>
      <c r="AL44" s="101">
        <v>0.7559681673907895</v>
      </c>
      <c r="AM44" s="101">
        <v>0.5147293797466616</v>
      </c>
      <c r="AN44" s="101">
        <v>0.5752927626212945</v>
      </c>
      <c r="AO44" s="98">
        <v>1812.1669120472948</v>
      </c>
      <c r="AP44" s="98">
        <v>1</v>
      </c>
      <c r="AQ44" s="101">
        <v>0.10919341638628717</v>
      </c>
      <c r="AR44" s="101">
        <v>0.4534552930810221</v>
      </c>
      <c r="AS44" s="98">
        <v>377.7293140102421</v>
      </c>
      <c r="AT44" s="98">
        <v>282.45290788403287</v>
      </c>
      <c r="AU44" s="98">
        <v>70.46674929228394</v>
      </c>
      <c r="AV44" s="98">
        <v>323.23046266988894</v>
      </c>
      <c r="AW44" s="98">
        <v>562.6134400960308</v>
      </c>
      <c r="AX44" s="98">
        <v>405.57105879375996</v>
      </c>
      <c r="AY44" s="98">
        <v>1059.3522061277838</v>
      </c>
      <c r="AZ44" s="98">
        <v>582.9390489900089</v>
      </c>
      <c r="BA44" s="101">
        <v>0</v>
      </c>
      <c r="BB44" s="101">
        <v>0</v>
      </c>
      <c r="BC44" s="101">
        <v>0</v>
      </c>
      <c r="BD44" s="98">
        <v>0</v>
      </c>
      <c r="BE44" s="98">
        <v>0</v>
      </c>
      <c r="BF44" s="99">
        <v>6335854</v>
      </c>
      <c r="BG44" s="99">
        <v>2249229</v>
      </c>
      <c r="BH44" s="99">
        <v>13427740</v>
      </c>
      <c r="BI44" s="99">
        <v>5749699</v>
      </c>
      <c r="BJ44" s="99">
        <v>2832158</v>
      </c>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327</v>
      </c>
      <c r="O4" s="75" t="s">
        <v>326</v>
      </c>
      <c r="P4" s="75" t="s">
        <v>452</v>
      </c>
      <c r="Q4" s="75" t="s">
        <v>453</v>
      </c>
      <c r="R4" s="75" t="s">
        <v>454</v>
      </c>
      <c r="S4" s="75" t="s">
        <v>455</v>
      </c>
      <c r="T4" s="39" t="s">
        <v>278</v>
      </c>
      <c r="U4" s="40" t="s">
        <v>279</v>
      </c>
      <c r="V4" s="41" t="s">
        <v>7</v>
      </c>
      <c r="W4" s="24" t="s">
        <v>2</v>
      </c>
      <c r="X4" s="24" t="s">
        <v>3</v>
      </c>
      <c r="Y4" s="75" t="s">
        <v>555</v>
      </c>
      <c r="Z4" s="75" t="s">
        <v>554</v>
      </c>
      <c r="AA4" s="26" t="s">
        <v>280</v>
      </c>
      <c r="AB4" s="24" t="s">
        <v>5</v>
      </c>
      <c r="AC4" s="75" t="s">
        <v>35</v>
      </c>
      <c r="AD4" s="24" t="s">
        <v>6</v>
      </c>
      <c r="AE4" s="24" t="s">
        <v>281</v>
      </c>
      <c r="AF4" s="24" t="s">
        <v>16</v>
      </c>
      <c r="AG4" s="24" t="s">
        <v>15</v>
      </c>
      <c r="AH4" s="24" t="s">
        <v>14</v>
      </c>
      <c r="AI4" s="25" t="s">
        <v>30</v>
      </c>
      <c r="AJ4" s="47" t="s">
        <v>10</v>
      </c>
      <c r="AK4" s="26" t="s">
        <v>21</v>
      </c>
      <c r="AL4" s="25" t="s">
        <v>22</v>
      </c>
      <c r="AQ4" s="102" t="s">
        <v>367</v>
      </c>
      <c r="AR4" s="102" t="s">
        <v>369</v>
      </c>
      <c r="AS4" s="102" t="s">
        <v>368</v>
      </c>
      <c r="AY4" s="102" t="s">
        <v>449</v>
      </c>
      <c r="AZ4" s="102" t="s">
        <v>450</v>
      </c>
      <c r="BA4" s="102" t="s">
        <v>451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390</v>
      </c>
      <c r="BA5" s="103" t="s">
        <v>322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375</v>
      </c>
      <c r="BA6" s="103" t="s">
        <v>322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299</v>
      </c>
      <c r="E7" s="38">
        <f>IF(LEFT(VLOOKUP($B7,'Indicator chart'!$D$1:$J$36,5,FALSE),1)=" "," ",VLOOKUP($B7,'Indicator chart'!$D$1:$J$36,5,FALSE))</f>
        <v>0.08587018954623779</v>
      </c>
      <c r="F7" s="38">
        <f>IF(LEFT(VLOOKUP($B7,'Indicator chart'!$D$1:$J$36,6,FALSE),1)=" "," ",VLOOKUP($B7,'Indicator chart'!$D$1:$J$36,6,FALSE))</f>
        <v>0.07701444200216055</v>
      </c>
      <c r="G7" s="38">
        <f>IF(LEFT(VLOOKUP($B7,'Indicator chart'!$D$1:$J$36,7,FALSE),1)=" "," ",VLOOKUP($B7,'Indicator chart'!$D$1:$J$36,7,FALSE))</f>
        <v>0.09563872732142545</v>
      </c>
      <c r="H7" s="50">
        <f aca="true" t="shared" si="0" ref="H7:H31">IF(LEFT(F7,1)=" ",4,IF(AND(ABS(N7-E7)&gt;SQRT((E7-G7)^2+(N7-R7)^2),E7&lt;N7),1,IF(AND(ABS(N7-E7)&gt;SQRT((E7-F7)^2+(N7-S7)^2),E7&gt;N7),3,2)))</f>
        <v>1</v>
      </c>
      <c r="I7" s="38">
        <v>0.03982985392212868</v>
      </c>
      <c r="J7" s="38">
        <v>0.08299608528614044</v>
      </c>
      <c r="K7" s="38">
        <v>0.10744165629148483</v>
      </c>
      <c r="L7" s="38">
        <v>0.1200409010052681</v>
      </c>
      <c r="M7" s="38">
        <v>0.1713646501302719</v>
      </c>
      <c r="N7" s="80">
        <f>VLOOKUP('Hide - Control'!B$3,'All practice data'!A:CA,A7+29,FALSE)</f>
        <v>0.09977020606463155</v>
      </c>
      <c r="O7" s="80">
        <f>VLOOKUP('Hide - Control'!C$3,'All practice data'!A:CA,A7+29,FALSE)</f>
        <v>0.1599882305185145</v>
      </c>
      <c r="P7" s="38">
        <f>VLOOKUP('Hide - Control'!$B$4,'All practice data'!B:BC,A7+2,FALSE)</f>
        <v>18626</v>
      </c>
      <c r="Q7" s="38">
        <f>VLOOKUP('Hide - Control'!$B$4,'All practice data'!B:BC,3,FALSE)</f>
        <v>186689</v>
      </c>
      <c r="R7" s="38">
        <f>+((2*P7+1.96^2-1.96*SQRT(1.96^2+4*P7*(1-P7/Q7)))/(2*(Q7+1.96^2)))</f>
        <v>0.0984189475209938</v>
      </c>
      <c r="S7" s="38">
        <f>+((2*P7+1.96^2+1.96*SQRT(1.96^2+4*P7*(1-P7/Q7)))/(2*(Q7+1.96^2)))</f>
        <v>0.10113793575695615</v>
      </c>
      <c r="T7" s="53">
        <f>IF($C7=1,M7,I7)</f>
        <v>0.1713646501302719</v>
      </c>
      <c r="U7" s="51">
        <f aca="true" t="shared" si="1" ref="U7:U15">IF($C7=1,I7,M7)</f>
        <v>0.03982985392212868</v>
      </c>
      <c r="V7" s="7">
        <v>1</v>
      </c>
      <c r="W7" s="27">
        <f aca="true" t="shared" si="2" ref="W7:W31">IF((K7-I7)&gt;(M7-K7),I7,(K7-(M7-K7)))</f>
        <v>0.03982985392212868</v>
      </c>
      <c r="X7" s="27">
        <f aca="true" t="shared" si="3" ref="X7:X31">IF(W7=I7,K7+(K7-I7),M7)</f>
        <v>0.175053458660841</v>
      </c>
      <c r="Y7" s="27">
        <f aca="true" t="shared" si="4" ref="Y7:Y31">IF(C7=1,W7,X7)</f>
        <v>0.03982985392212868</v>
      </c>
      <c r="Z7" s="27">
        <f aca="true" t="shared" si="5" ref="Z7:Z31">IF(C7=1,X7,W7)</f>
        <v>0.175053458660841</v>
      </c>
      <c r="AA7" s="32">
        <f aca="true" t="shared" si="6" ref="AA7:AA31">IF(ISERROR(IF(C7=1,(I7-$Y7)/($Z7-$Y7),(U7-$Y7)/($Z7-$Y7))),"",IF(C7=1,(I7-$Y7)/($Z7-$Y7),(U7-$Y7)/($Z7-$Y7)))</f>
        <v>0</v>
      </c>
      <c r="AB7" s="33">
        <f aca="true" t="shared" si="7" ref="AB7:AB31">IF(ISERROR(IF(C7=1,(J7-$Y7)/($Z7-$Y7),(L7-$Y7)/($Z7-$Y7))),"",IF(C7=1,(J7-$Y7)/($Z7-$Y7),(L7-$Y7)/($Z7-$Y7)))</f>
        <v>0.31922112598181596</v>
      </c>
      <c r="AC7" s="33">
        <v>0.5</v>
      </c>
      <c r="AD7" s="33">
        <f aca="true" t="shared" si="8" ref="AD7:AD31">IF(ISERROR(IF(C7=1,(L7-$Y7)/($Z7-$Y7),(J7-$Y7)/($Z7-$Y7))),"",IF(C7=1,(L7-$Y7)/($Z7-$Y7),(J7-$Y7)/($Z7-$Y7)))</f>
        <v>0.5931734125719272</v>
      </c>
      <c r="AE7" s="33">
        <f aca="true" t="shared" si="9" ref="AE7:AE31">IF(ISERROR(IF(C7=1,(M7-$Y7)/($Z7-$Y7),(I7-$Y7)/($Z7-$Y7))),"",IF(C7=1,(M7-$Y7)/($Z7-$Y7),(I7-$Y7)/($Z7-$Y7)))</f>
        <v>0.9727206759670634</v>
      </c>
      <c r="AF7" s="33">
        <f aca="true" t="shared" si="10" ref="AF7:AF30">IF(E7=" ",-999,IF(H7=4,(E7-$Y7)/($Z7-$Y7),-999))</f>
        <v>-999</v>
      </c>
      <c r="AG7" s="33">
        <f aca="true" t="shared" si="11" ref="AG7:AG31">IF(E7=" ",-999,IF(H7=2,(E7-$Y7)/($Z7-$Y7),-999))</f>
        <v>-999</v>
      </c>
      <c r="AH7" s="33">
        <f aca="true" t="shared" si="12" ref="AH7:AH31">IF(E7=" ",-999,IF(MAX(AK7:AL7)&gt;-999,MAX(AK7:AL7),-999))</f>
        <v>0.340475582743643</v>
      </c>
      <c r="AI7" s="34">
        <f aca="true" t="shared" si="13" ref="AI7:AI31">IF(ISERROR((O7-$Y7)/($Z7-$Y7)),-999,(O7-$Y7)/($Z7-$Y7))</f>
        <v>0.8885902489329692</v>
      </c>
      <c r="AJ7" s="4">
        <v>2.7020512924389086</v>
      </c>
      <c r="AK7" s="32">
        <f aca="true" t="shared" si="14" ref="AK7:AK31">IF(H7=1,(E7-$Y7)/($Z7-$Y7),-999)</f>
        <v>0.340475582743643</v>
      </c>
      <c r="AL7" s="34">
        <f aca="true" t="shared" si="15" ref="AL7:AL31">IF(H7=3,(E7-$Y7)/($Z7-$Y7),-999)</f>
        <v>-999</v>
      </c>
      <c r="AQ7" s="103">
        <v>2</v>
      </c>
      <c r="AR7" s="103">
        <v>0.2422</v>
      </c>
      <c r="AS7" s="103">
        <v>7.2247</v>
      </c>
      <c r="AY7" s="103" t="s">
        <v>68</v>
      </c>
      <c r="AZ7" s="103" t="s">
        <v>374</v>
      </c>
      <c r="BA7" s="103" t="s">
        <v>322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0.26</v>
      </c>
      <c r="F8" s="38">
        <f>IF(LEFT(VLOOKUP($B8,'Indicator chart'!$D$1:$J$36,6,FALSE),1)=" "," ",VLOOKUP($B8,'Indicator chart'!$D$1:$J$36,6,FALSE))</f>
        <v>0.24570063672651088</v>
      </c>
      <c r="G8" s="38">
        <f>IF(LEFT(VLOOKUP($B8,'Indicator chart'!$D$1:$J$36,7,FALSE),1)=" "," ",VLOOKUP($B8,'Indicator chart'!$D$1:$J$36,7,FALSE))</f>
        <v>0.27482835116553794</v>
      </c>
      <c r="H8" s="50">
        <f t="shared" si="0"/>
        <v>2</v>
      </c>
      <c r="I8" s="38">
        <v>0.17000000178813934</v>
      </c>
      <c r="J8" s="38">
        <v>0.23999999463558197</v>
      </c>
      <c r="K8" s="38">
        <v>0.27000001072883606</v>
      </c>
      <c r="L8" s="38">
        <v>0.2800000011920929</v>
      </c>
      <c r="M8" s="38">
        <v>0.3400000035762787</v>
      </c>
      <c r="N8" s="80">
        <f>VLOOKUP('Hide - Control'!B$3,'All practice data'!A:CA,A8+29,FALSE)</f>
        <v>0.2646906887925909</v>
      </c>
      <c r="O8" s="80">
        <f>VLOOKUP('Hide - Control'!C$3,'All practice data'!A:CA,A8+29,FALSE)</f>
        <v>0.15010930292554353</v>
      </c>
      <c r="P8" s="38">
        <f>VLOOKUP('Hide - Control'!$B$4,'All practice data'!B:BC,A8+2,FALSE)</f>
        <v>49414.84</v>
      </c>
      <c r="Q8" s="38">
        <f>VLOOKUP('Hide - Control'!$B$4,'All practice data'!B:BC,3,FALSE)</f>
        <v>186689</v>
      </c>
      <c r="R8" s="38">
        <f>+((2*P8+1.96^2-1.96*SQRT(1.96^2+4*P8*(1-P8/Q8)))/(2*(Q8+1.96^2)))</f>
        <v>0.2626942967720037</v>
      </c>
      <c r="S8" s="38">
        <f>+((2*P8+1.96^2+1.96*SQRT(1.96^2+4*P8*(1-P8/Q8)))/(2*(Q8+1.96^2)))</f>
        <v>0.2666967647865129</v>
      </c>
      <c r="T8" s="53">
        <f aca="true" t="shared" si="16" ref="T8:T15">IF($C8=1,M8,I8)</f>
        <v>0.3400000035762787</v>
      </c>
      <c r="U8" s="51">
        <f t="shared" si="1"/>
        <v>0.17000000178813934</v>
      </c>
      <c r="V8" s="7"/>
      <c r="W8" s="27">
        <f t="shared" si="2"/>
        <v>0.17000000178813934</v>
      </c>
      <c r="X8" s="27">
        <f t="shared" si="3"/>
        <v>0.3700000196695328</v>
      </c>
      <c r="Y8" s="27">
        <f t="shared" si="4"/>
        <v>0.17000000178813934</v>
      </c>
      <c r="Z8" s="27">
        <f t="shared" si="5"/>
        <v>0.3700000196695328</v>
      </c>
      <c r="AA8" s="32">
        <f t="shared" si="6"/>
        <v>0</v>
      </c>
      <c r="AB8" s="33">
        <f t="shared" si="7"/>
        <v>0.3499999329447806</v>
      </c>
      <c r="AC8" s="33">
        <v>0.5</v>
      </c>
      <c r="AD8" s="33">
        <f t="shared" si="8"/>
        <v>0.5499999478459405</v>
      </c>
      <c r="AE8" s="33">
        <f t="shared" si="9"/>
        <v>0.8499999329447806</v>
      </c>
      <c r="AF8" s="33">
        <f t="shared" si="10"/>
        <v>-999</v>
      </c>
      <c r="AG8" s="33">
        <f t="shared" si="11"/>
        <v>0.4499999508261725</v>
      </c>
      <c r="AH8" s="33">
        <f t="shared" si="12"/>
        <v>-999</v>
      </c>
      <c r="AI8" s="34">
        <f t="shared" si="13"/>
        <v>-0.09945348542114456</v>
      </c>
      <c r="AJ8" s="4">
        <v>3.778046717820832</v>
      </c>
      <c r="AK8" s="32">
        <f t="shared" si="14"/>
        <v>-999</v>
      </c>
      <c r="AL8" s="34">
        <f t="shared" si="15"/>
        <v>-999</v>
      </c>
      <c r="AQ8" s="103">
        <v>3</v>
      </c>
      <c r="AR8" s="103">
        <v>0.6187</v>
      </c>
      <c r="AS8" s="103">
        <v>8.7673</v>
      </c>
      <c r="AY8" s="103" t="s">
        <v>118</v>
      </c>
      <c r="AZ8" s="103" t="s">
        <v>119</v>
      </c>
      <c r="BA8" s="103" t="s">
        <v>322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315.9103963239518</v>
      </c>
      <c r="F9" s="38">
        <f>IF(LEFT(VLOOKUP($B9,'Indicator chart'!$D$1:$J$36,6,FALSE),1)=" "," ",VLOOKUP($B9,'Indicator chart'!$D$1:$J$36,6,FALSE))</f>
        <v>157.48463811001682</v>
      </c>
      <c r="G9" s="38">
        <f>IF(LEFT(VLOOKUP($B9,'Indicator chart'!$D$1:$J$36,7,FALSE),1)=" "," ",VLOOKUP($B9,'Indicator chart'!$D$1:$J$36,7,FALSE))</f>
        <v>565.2903687367555</v>
      </c>
      <c r="H9" s="50">
        <f t="shared" si="0"/>
        <v>2</v>
      </c>
      <c r="I9" s="38">
        <v>92.60600280761719</v>
      </c>
      <c r="J9" s="38">
        <v>183.862060546875</v>
      </c>
      <c r="K9" s="38">
        <v>257.3238220214844</v>
      </c>
      <c r="L9" s="38">
        <v>365.21533203125</v>
      </c>
      <c r="M9" s="38">
        <v>751.7084350585938</v>
      </c>
      <c r="N9" s="80">
        <f>VLOOKUP('Hide - Control'!B$3,'All practice data'!A:CA,A9+29,FALSE)</f>
        <v>294.6076094467269</v>
      </c>
      <c r="O9" s="80">
        <f>VLOOKUP('Hide - Control'!C$3,'All practice data'!A:CA,A9+29,FALSE)</f>
        <v>445.6198871279627</v>
      </c>
      <c r="P9" s="38">
        <f>VLOOKUP('Hide - Control'!$B$4,'All practice data'!B:BC,A9+2,FALSE)</f>
        <v>550</v>
      </c>
      <c r="Q9" s="38">
        <f>VLOOKUP('Hide - Control'!$B$4,'All practice data'!B:BC,3,FALSE)</f>
        <v>186689</v>
      </c>
      <c r="R9" s="38">
        <f>100000*(P9*(1-1/(9*P9)-1.96/(3*SQRT(P9)))^3)/Q9</f>
        <v>270.4967155759454</v>
      </c>
      <c r="S9" s="38">
        <f>100000*((P9+1)*(1-1/(9*(P9+1))+1.96/(3*SQRT(P9+1)))^3)/Q9</f>
        <v>320.291060915894</v>
      </c>
      <c r="T9" s="53">
        <f t="shared" si="16"/>
        <v>751.7084350585938</v>
      </c>
      <c r="U9" s="51">
        <f t="shared" si="1"/>
        <v>92.60600280761719</v>
      </c>
      <c r="V9" s="7"/>
      <c r="W9" s="27">
        <f t="shared" si="2"/>
        <v>-237.060791015625</v>
      </c>
      <c r="X9" s="27">
        <f t="shared" si="3"/>
        <v>751.7084350585938</v>
      </c>
      <c r="Y9" s="27">
        <f t="shared" si="4"/>
        <v>-237.060791015625</v>
      </c>
      <c r="Z9" s="27">
        <f t="shared" si="5"/>
        <v>751.7084350585938</v>
      </c>
      <c r="AA9" s="32">
        <f t="shared" si="6"/>
        <v>0.3334112603121174</v>
      </c>
      <c r="AB9" s="33">
        <f t="shared" si="7"/>
        <v>0.42570383509377624</v>
      </c>
      <c r="AC9" s="33">
        <v>0.5</v>
      </c>
      <c r="AD9" s="33">
        <f t="shared" si="8"/>
        <v>0.6091169781225241</v>
      </c>
      <c r="AE9" s="33">
        <f t="shared" si="9"/>
        <v>1</v>
      </c>
      <c r="AF9" s="33">
        <f t="shared" si="10"/>
        <v>-999</v>
      </c>
      <c r="AG9" s="33">
        <f t="shared" si="11"/>
        <v>0.5592520203476375</v>
      </c>
      <c r="AH9" s="33">
        <f t="shared" si="12"/>
        <v>-999</v>
      </c>
      <c r="AI9" s="34">
        <f t="shared" si="13"/>
        <v>0.6904347952394148</v>
      </c>
      <c r="AJ9" s="4">
        <v>4.854042143202755</v>
      </c>
      <c r="AK9" s="32">
        <f t="shared" si="14"/>
        <v>-999</v>
      </c>
      <c r="AL9" s="34">
        <f t="shared" si="15"/>
        <v>-999</v>
      </c>
      <c r="AQ9" s="103">
        <v>4</v>
      </c>
      <c r="AR9" s="103">
        <v>1.0899</v>
      </c>
      <c r="AS9" s="103">
        <v>10.2416</v>
      </c>
      <c r="AY9" s="103" t="s">
        <v>90</v>
      </c>
      <c r="AZ9" s="103" t="s">
        <v>384</v>
      </c>
      <c r="BA9" s="103" t="s">
        <v>322</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128.73240661621094</v>
      </c>
      <c r="K10" s="38">
        <v>176.1338653564453</v>
      </c>
      <c r="L10" s="38">
        <v>238.69580078125</v>
      </c>
      <c r="M10" s="38">
        <v>564.0925903320312</v>
      </c>
      <c r="N10" s="80">
        <f>VLOOKUP('Hide - Control'!B$3,'All practice data'!A:CA,A10+29,FALSE)</f>
        <v>191.22712104087546</v>
      </c>
      <c r="O10" s="80">
        <f>VLOOKUP('Hide - Control'!C$3,'All practice data'!A:CA,A10+29,FALSE)</f>
        <v>234.12259778895606</v>
      </c>
      <c r="P10" s="38">
        <f>VLOOKUP('Hide - Control'!$B$4,'All practice data'!B:BC,A10+2,FALSE)</f>
        <v>357</v>
      </c>
      <c r="Q10" s="38">
        <f>VLOOKUP('Hide - Control'!$B$4,'All practice data'!B:BC,3,FALSE)</f>
        <v>186689</v>
      </c>
      <c r="R10" s="38">
        <f>100000*(P10*(1-1/(9*P10)-1.96/(3*SQRT(P10)))^3)/Q10</f>
        <v>171.90197851940988</v>
      </c>
      <c r="S10" s="38">
        <f>100000*((P10+1)*(1-1/(9*(P10+1))+1.96/(3*SQRT(P10+1)))^3)/Q10</f>
        <v>212.13010350021506</v>
      </c>
      <c r="T10" s="53">
        <f t="shared" si="16"/>
        <v>564.0925903320312</v>
      </c>
      <c r="U10" s="51">
        <f t="shared" si="1"/>
        <v>44.173431396484375</v>
      </c>
      <c r="V10" s="7"/>
      <c r="W10" s="27">
        <f t="shared" si="2"/>
        <v>-211.82485961914062</v>
      </c>
      <c r="X10" s="27">
        <f t="shared" si="3"/>
        <v>564.0925903320312</v>
      </c>
      <c r="Y10" s="27">
        <f t="shared" si="4"/>
        <v>-211.82485961914062</v>
      </c>
      <c r="Z10" s="27">
        <f t="shared" si="5"/>
        <v>564.0925903320312</v>
      </c>
      <c r="AA10" s="32">
        <f t="shared" si="6"/>
        <v>0.329929802496045</v>
      </c>
      <c r="AB10" s="33">
        <f t="shared" si="7"/>
        <v>0.43890914717381685</v>
      </c>
      <c r="AC10" s="33">
        <v>0.5</v>
      </c>
      <c r="AD10" s="33">
        <f t="shared" si="8"/>
        <v>0.5806296280986356</v>
      </c>
      <c r="AE10" s="33">
        <f t="shared" si="9"/>
        <v>1</v>
      </c>
      <c r="AF10" s="33">
        <f t="shared" si="10"/>
        <v>-999</v>
      </c>
      <c r="AG10" s="33">
        <f t="shared" si="11"/>
        <v>-999</v>
      </c>
      <c r="AH10" s="33">
        <f t="shared" si="12"/>
        <v>-999</v>
      </c>
      <c r="AI10" s="34">
        <f t="shared" si="13"/>
        <v>0.5747356982835737</v>
      </c>
      <c r="AJ10" s="4">
        <v>5.930037568584676</v>
      </c>
      <c r="AK10" s="32">
        <f t="shared" si="14"/>
        <v>-999</v>
      </c>
      <c r="AL10" s="34">
        <f t="shared" si="15"/>
        <v>-999</v>
      </c>
      <c r="AY10" s="103" t="s">
        <v>96</v>
      </c>
      <c r="AZ10" s="103" t="s">
        <v>97</v>
      </c>
      <c r="BA10" s="103" t="s">
        <v>501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v>
      </c>
      <c r="E11" s="38">
        <f>IF(LEFT(VLOOKUP($B11,'Indicator chart'!$D$1:$J$36,5,FALSE),1)=" "," ",VLOOKUP($B11,'Indicator chart'!$D$1:$J$36,5,FALSE))</f>
        <v>0.003</v>
      </c>
      <c r="F11" s="38">
        <f>IF(LEFT(VLOOKUP($B11,'Indicator chart'!$D$1:$J$36,6,FALSE),1)=" "," ",VLOOKUP($B11,'Indicator chart'!$D$1:$J$36,6,FALSE))</f>
        <v>0.0013604312333342753</v>
      </c>
      <c r="G11" s="38">
        <f>IF(LEFT(VLOOKUP($B11,'Indicator chart'!$D$1:$J$36,7,FALSE),1)=" "," ",VLOOKUP($B11,'Indicator chart'!$D$1:$J$36,7,FALSE))</f>
        <v>0.004905372697630344</v>
      </c>
      <c r="H11" s="50">
        <f t="shared" si="0"/>
        <v>1</v>
      </c>
      <c r="I11" s="38">
        <v>0.0020000000949949026</v>
      </c>
      <c r="J11" s="38">
        <v>0.00800000037997961</v>
      </c>
      <c r="K11" s="38">
        <v>0.009999999776482582</v>
      </c>
      <c r="L11" s="38">
        <v>0.012000000104308128</v>
      </c>
      <c r="M11" s="38">
        <v>0.019999999552965164</v>
      </c>
      <c r="N11" s="80">
        <f>VLOOKUP('Hide - Control'!B$3,'All practice data'!A:CA,A11+29,FALSE)</f>
        <v>0.00974347711970175</v>
      </c>
      <c r="O11" s="80">
        <f>VLOOKUP('Hide - Control'!C$3,'All practice data'!A:CA,A11+29,FALSE)</f>
        <v>0.015940726342527432</v>
      </c>
      <c r="P11" s="38">
        <f>VLOOKUP('Hide - Control'!$B$4,'All practice data'!B:BC,A11+2,FALSE)</f>
        <v>1819</v>
      </c>
      <c r="Q11" s="38">
        <f>VLOOKUP('Hide - Control'!$B$4,'All practice data'!B:BC,3,FALSE)</f>
        <v>186689</v>
      </c>
      <c r="R11" s="80">
        <f aca="true" t="shared" si="17" ref="R11:R16">+((2*P11+1.96^2-1.96*SQRT(1.96^2+4*P11*(1-P11/Q11)))/(2*(Q11+1.96^2)))</f>
        <v>0.009307873677808755</v>
      </c>
      <c r="S11" s="80">
        <f aca="true" t="shared" si="18" ref="S11:S16">+((2*P11+1.96^2+1.96*SQRT(1.96^2+4*P11*(1-P11/Q11)))/(2*(Q11+1.96^2)))</f>
        <v>0.010199256690921999</v>
      </c>
      <c r="T11" s="53">
        <f t="shared" si="16"/>
        <v>0.019999999552965164</v>
      </c>
      <c r="U11" s="51">
        <f t="shared" si="1"/>
        <v>0.0020000000949949026</v>
      </c>
      <c r="V11" s="7"/>
      <c r="W11" s="27">
        <f t="shared" si="2"/>
        <v>0</v>
      </c>
      <c r="X11" s="27">
        <f t="shared" si="3"/>
        <v>0.019999999552965164</v>
      </c>
      <c r="Y11" s="27">
        <f t="shared" si="4"/>
        <v>0</v>
      </c>
      <c r="Z11" s="27">
        <f t="shared" si="5"/>
        <v>0.019999999552965164</v>
      </c>
      <c r="AA11" s="32">
        <f t="shared" si="6"/>
        <v>0.10000000698491947</v>
      </c>
      <c r="AB11" s="33">
        <f t="shared" si="7"/>
        <v>0.40000002793967787</v>
      </c>
      <c r="AC11" s="33">
        <v>0.5</v>
      </c>
      <c r="AD11" s="33">
        <f t="shared" si="8"/>
        <v>0.6000000186264519</v>
      </c>
      <c r="AE11" s="33">
        <f t="shared" si="9"/>
        <v>1</v>
      </c>
      <c r="AF11" s="33">
        <f t="shared" si="10"/>
        <v>-999</v>
      </c>
      <c r="AG11" s="33">
        <f t="shared" si="11"/>
        <v>-999</v>
      </c>
      <c r="AH11" s="33">
        <f t="shared" si="12"/>
        <v>0.15000000335276134</v>
      </c>
      <c r="AI11" s="34">
        <f t="shared" si="13"/>
        <v>0.7970363349415219</v>
      </c>
      <c r="AJ11" s="4">
        <v>7.0060329939666</v>
      </c>
      <c r="AK11" s="32">
        <f t="shared" si="14"/>
        <v>0.15000000335276134</v>
      </c>
      <c r="AL11" s="34">
        <f t="shared" si="15"/>
        <v>-999</v>
      </c>
      <c r="AY11" s="103" t="s">
        <v>214</v>
      </c>
      <c r="AZ11" s="103" t="s">
        <v>215</v>
      </c>
      <c r="BA11" s="103" t="s">
        <v>501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117</v>
      </c>
      <c r="E12" s="38">
        <f>IF(LEFT(VLOOKUP($B12,'Indicator chart'!$D$1:$J$36,5,FALSE),1)=" "," ",VLOOKUP($B12,'Indicator chart'!$D$1:$J$36,5,FALSE))</f>
        <v>0.5625</v>
      </c>
      <c r="F12" s="38">
        <f>IF(LEFT(VLOOKUP($B12,'Indicator chart'!$D$1:$J$36,6,FALSE),1)=" "," ",VLOOKUP($B12,'Indicator chart'!$D$1:$J$36,6,FALSE))</f>
        <v>0.4945532578732267</v>
      </c>
      <c r="G12" s="38">
        <f>IF(LEFT(VLOOKUP($B12,'Indicator chart'!$D$1:$J$36,7,FALSE),1)=" "," ",VLOOKUP($B12,'Indicator chart'!$D$1:$J$36,7,FALSE))</f>
        <v>0.6281799541115771</v>
      </c>
      <c r="H12" s="50">
        <f t="shared" si="0"/>
        <v>1</v>
      </c>
      <c r="I12" s="38">
        <v>0.4967530071735382</v>
      </c>
      <c r="J12" s="38">
        <v>0.5688754916191101</v>
      </c>
      <c r="K12" s="38">
        <v>0.6372320055961609</v>
      </c>
      <c r="L12" s="38">
        <v>0.6739634871482849</v>
      </c>
      <c r="M12" s="38">
        <v>0.7371540069580078</v>
      </c>
      <c r="N12" s="80">
        <f>VLOOKUP('Hide - Control'!B$3,'All practice data'!A:CA,A12+29,FALSE)</f>
        <v>0.6388138385502471</v>
      </c>
      <c r="O12" s="80">
        <f>VLOOKUP('Hide - Control'!C$3,'All practice data'!A:CA,A12+29,FALSE)</f>
        <v>0.7248631360507991</v>
      </c>
      <c r="P12" s="38">
        <f>VLOOKUP('Hide - Control'!$B$4,'All practice data'!B:BC,A12+2,FALSE)</f>
        <v>9694</v>
      </c>
      <c r="Q12" s="38">
        <f>VLOOKUP('Hide - Control'!$B$4,'All practice data'!B:BJ,57,FALSE)</f>
        <v>15175</v>
      </c>
      <c r="R12" s="38">
        <f t="shared" si="17"/>
        <v>0.6311369346328254</v>
      </c>
      <c r="S12" s="38">
        <f t="shared" si="18"/>
        <v>0.646420477917023</v>
      </c>
      <c r="T12" s="53">
        <f t="shared" si="16"/>
        <v>0.7371540069580078</v>
      </c>
      <c r="U12" s="51">
        <f t="shared" si="1"/>
        <v>0.4967530071735382</v>
      </c>
      <c r="V12" s="7"/>
      <c r="W12" s="27">
        <f t="shared" si="2"/>
        <v>0.4967530071735382</v>
      </c>
      <c r="X12" s="27">
        <f t="shared" si="3"/>
        <v>0.7777110040187836</v>
      </c>
      <c r="Y12" s="27">
        <f t="shared" si="4"/>
        <v>0.4967530071735382</v>
      </c>
      <c r="Z12" s="27">
        <f t="shared" si="5"/>
        <v>0.7777110040187836</v>
      </c>
      <c r="AA12" s="32">
        <f t="shared" si="6"/>
        <v>0</v>
      </c>
      <c r="AB12" s="33">
        <f t="shared" si="7"/>
        <v>0.2567020168687269</v>
      </c>
      <c r="AC12" s="33">
        <v>0.5</v>
      </c>
      <c r="AD12" s="33">
        <f t="shared" si="8"/>
        <v>0.63073655836305</v>
      </c>
      <c r="AE12" s="33">
        <f t="shared" si="9"/>
        <v>0.8556474721624849</v>
      </c>
      <c r="AF12" s="33">
        <f t="shared" si="10"/>
        <v>-999</v>
      </c>
      <c r="AG12" s="33">
        <f t="shared" si="11"/>
        <v>-999</v>
      </c>
      <c r="AH12" s="33">
        <f t="shared" si="12"/>
        <v>0.2340100426565752</v>
      </c>
      <c r="AI12" s="34">
        <f t="shared" si="13"/>
        <v>0.8119011789613035</v>
      </c>
      <c r="AJ12" s="4">
        <v>8.082028419348523</v>
      </c>
      <c r="AK12" s="32">
        <f t="shared" si="14"/>
        <v>0.2340100426565752</v>
      </c>
      <c r="AL12" s="34">
        <f t="shared" si="15"/>
        <v>-999</v>
      </c>
      <c r="AY12" s="103" t="s">
        <v>261</v>
      </c>
      <c r="AZ12" s="103" t="s">
        <v>437</v>
      </c>
      <c r="BA12" s="103" t="s">
        <v>322</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0.33333298563957214</v>
      </c>
      <c r="J13" s="38">
        <v>0.5166850090026855</v>
      </c>
      <c r="K13" s="38">
        <v>0.625</v>
      </c>
      <c r="L13" s="38">
        <v>0.707894504070282</v>
      </c>
      <c r="M13" s="38">
        <v>0.8409090042114258</v>
      </c>
      <c r="N13" s="80">
        <f>VLOOKUP('Hide - Control'!B$3,'All practice data'!A:CA,A13+29,FALSE)</f>
        <v>0.6676904176904177</v>
      </c>
      <c r="O13" s="80">
        <f>VLOOKUP('Hide - Control'!C$3,'All practice data'!A:CA,A13+29,FALSE)</f>
        <v>0.7467412166569077</v>
      </c>
      <c r="P13" s="38">
        <f>VLOOKUP('Hide - Control'!$B$4,'All practice data'!B:BC,A13+2,FALSE)</f>
        <v>1087</v>
      </c>
      <c r="Q13" s="38">
        <f>VLOOKUP('Hide - Control'!$B$4,'All practice data'!B:BJ,58,FALSE)</f>
        <v>1628</v>
      </c>
      <c r="R13" s="38">
        <f t="shared" si="17"/>
        <v>0.6444375111708559</v>
      </c>
      <c r="S13" s="38">
        <f t="shared" si="18"/>
        <v>0.6901537873963581</v>
      </c>
      <c r="T13" s="53">
        <f t="shared" si="16"/>
        <v>0.8409090042114258</v>
      </c>
      <c r="U13" s="51">
        <f t="shared" si="1"/>
        <v>0.33333298563957214</v>
      </c>
      <c r="V13" s="7"/>
      <c r="W13" s="27">
        <f t="shared" si="2"/>
        <v>0.33333298563957214</v>
      </c>
      <c r="X13" s="27">
        <f t="shared" si="3"/>
        <v>0.9166670143604279</v>
      </c>
      <c r="Y13" s="27">
        <f t="shared" si="4"/>
        <v>0.33333298563957214</v>
      </c>
      <c r="Z13" s="27">
        <f t="shared" si="5"/>
        <v>0.9166670143604279</v>
      </c>
      <c r="AA13" s="32">
        <f t="shared" si="6"/>
        <v>0</v>
      </c>
      <c r="AB13" s="33">
        <f t="shared" si="7"/>
        <v>0.3143173796412506</v>
      </c>
      <c r="AC13" s="33">
        <v>0.5</v>
      </c>
      <c r="AD13" s="33">
        <f t="shared" si="8"/>
        <v>0.6421046947184864</v>
      </c>
      <c r="AE13" s="33">
        <f t="shared" si="9"/>
        <v>0.8701292802768159</v>
      </c>
      <c r="AF13" s="33">
        <f t="shared" si="10"/>
        <v>-999</v>
      </c>
      <c r="AG13" s="33">
        <f t="shared" si="11"/>
        <v>-999</v>
      </c>
      <c r="AH13" s="33">
        <f t="shared" si="12"/>
        <v>-999</v>
      </c>
      <c r="AI13" s="34">
        <f t="shared" si="13"/>
        <v>0.708698979766128</v>
      </c>
      <c r="AJ13" s="4">
        <v>9.158023844730446</v>
      </c>
      <c r="AK13" s="32">
        <f t="shared" si="14"/>
        <v>-999</v>
      </c>
      <c r="AL13" s="34">
        <f t="shared" si="15"/>
        <v>-999</v>
      </c>
      <c r="AY13" s="103" t="s">
        <v>260</v>
      </c>
      <c r="AZ13" s="103" t="s">
        <v>436</v>
      </c>
      <c r="BA13" s="103" t="s">
        <v>322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724</v>
      </c>
      <c r="E14" s="38">
        <f>IF(LEFT(VLOOKUP($B14,'Indicator chart'!$D$1:$J$36,5,FALSE),1)=" "," ",VLOOKUP($B14,'Indicator chart'!$D$1:$J$36,5,FALSE))</f>
        <v>0.717542</v>
      </c>
      <c r="F14" s="38">
        <f>IF(LEFT(VLOOKUP($B14,'Indicator chart'!$D$1:$J$36,6,FALSE),1)=" "," ",VLOOKUP($B14,'Indicator chart'!$D$1:$J$36,6,FALSE))</f>
        <v>0.6889788192476884</v>
      </c>
      <c r="G14" s="38">
        <f>IF(LEFT(VLOOKUP($B14,'Indicator chart'!$D$1:$J$36,7,FALSE),1)=" "," ",VLOOKUP($B14,'Indicator chart'!$D$1:$J$36,7,FALSE))</f>
        <v>0.7444551945210983</v>
      </c>
      <c r="H14" s="50">
        <f t="shared" si="0"/>
        <v>2</v>
      </c>
      <c r="I14" s="38">
        <v>0.554606020450592</v>
      </c>
      <c r="J14" s="38">
        <v>0.6757534742355347</v>
      </c>
      <c r="K14" s="38">
        <v>0.719277024269104</v>
      </c>
      <c r="L14" s="38">
        <v>0.7488920092582703</v>
      </c>
      <c r="M14" s="38">
        <v>0.8608959913253784</v>
      </c>
      <c r="N14" s="80">
        <f>VLOOKUP('Hide - Control'!B$3,'All practice data'!A:CA,A14+29,FALSE)</f>
        <v>0.71310494834149</v>
      </c>
      <c r="O14" s="80">
        <f>VLOOKUP('Hide - Control'!C$3,'All practice data'!A:CA,A14+29,FALSE)</f>
        <v>0.7559681673907895</v>
      </c>
      <c r="P14" s="38">
        <f>VLOOKUP('Hide - Control'!$B$4,'All practice data'!B:BC,A14+2,FALSE)</f>
        <v>32785</v>
      </c>
      <c r="Q14" s="38">
        <f>VLOOKUP('Hide - Control'!$B$4,'All practice data'!B:BJ,59,FALSE)</f>
        <v>45975</v>
      </c>
      <c r="R14" s="38">
        <f t="shared" si="17"/>
        <v>0.7089526779180055</v>
      </c>
      <c r="S14" s="38">
        <f t="shared" si="18"/>
        <v>0.7172216082997666</v>
      </c>
      <c r="T14" s="53">
        <f t="shared" si="16"/>
        <v>0.8608959913253784</v>
      </c>
      <c r="U14" s="51">
        <f t="shared" si="1"/>
        <v>0.554606020450592</v>
      </c>
      <c r="V14" s="7"/>
      <c r="W14" s="27">
        <f t="shared" si="2"/>
        <v>0.554606020450592</v>
      </c>
      <c r="X14" s="27">
        <f t="shared" si="3"/>
        <v>0.883948028087616</v>
      </c>
      <c r="Y14" s="27">
        <f t="shared" si="4"/>
        <v>0.554606020450592</v>
      </c>
      <c r="Z14" s="27">
        <f t="shared" si="5"/>
        <v>0.883948028087616</v>
      </c>
      <c r="AA14" s="32">
        <f t="shared" si="6"/>
        <v>0</v>
      </c>
      <c r="AB14" s="33">
        <f t="shared" si="7"/>
        <v>0.367846952334311</v>
      </c>
      <c r="AC14" s="33">
        <v>0.5</v>
      </c>
      <c r="AD14" s="33">
        <f t="shared" si="8"/>
        <v>0.589921675044277</v>
      </c>
      <c r="AE14" s="33">
        <f t="shared" si="9"/>
        <v>0.9300057805330325</v>
      </c>
      <c r="AF14" s="33">
        <f t="shared" si="10"/>
        <v>-999</v>
      </c>
      <c r="AG14" s="33">
        <f t="shared" si="11"/>
        <v>0.49473184644269186</v>
      </c>
      <c r="AH14" s="33">
        <f t="shared" si="12"/>
        <v>-999</v>
      </c>
      <c r="AI14" s="34">
        <f t="shared" si="13"/>
        <v>0.6114074192507011</v>
      </c>
      <c r="AJ14" s="4">
        <v>10.234019270112368</v>
      </c>
      <c r="AK14" s="32">
        <f t="shared" si="14"/>
        <v>-999</v>
      </c>
      <c r="AL14" s="34">
        <f t="shared" si="15"/>
        <v>-999</v>
      </c>
      <c r="AY14" s="103" t="s">
        <v>53</v>
      </c>
      <c r="AZ14" s="103" t="s">
        <v>444</v>
      </c>
      <c r="BA14" s="103" t="s">
        <v>501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55</v>
      </c>
      <c r="E15" s="38">
        <f>IF(LEFT(VLOOKUP($B15,'Indicator chart'!$D$1:$J$36,5,FALSE),1)=" "," ",VLOOKUP($B15,'Indicator chart'!$D$1:$J$36,5,FALSE))</f>
        <v>0.354839</v>
      </c>
      <c r="F15" s="38">
        <f>IF(LEFT(VLOOKUP($B15,'Indicator chart'!$D$1:$J$36,6,FALSE),1)=" "," ",VLOOKUP($B15,'Indicator chart'!$D$1:$J$36,6,FALSE))</f>
        <v>0.28385799593700395</v>
      </c>
      <c r="G15" s="38">
        <f>IF(LEFT(VLOOKUP($B15,'Indicator chart'!$D$1:$J$36,7,FALSE),1)=" "," ",VLOOKUP($B15,'Indicator chart'!$D$1:$J$36,7,FALSE))</f>
        <v>0.43284090409925857</v>
      </c>
      <c r="H15" s="50">
        <f t="shared" si="0"/>
        <v>2</v>
      </c>
      <c r="I15" s="38">
        <v>0.24886900186538696</v>
      </c>
      <c r="J15" s="38">
        <v>0.3463664948940277</v>
      </c>
      <c r="K15" s="38">
        <v>0.3896099925041199</v>
      </c>
      <c r="L15" s="38">
        <v>0.41123950481414795</v>
      </c>
      <c r="M15" s="38">
        <v>0.5114679932594299</v>
      </c>
      <c r="N15" s="80">
        <f>VLOOKUP('Hide - Control'!B$3,'All practice data'!A:CA,A15+29,FALSE)</f>
        <v>0.3954253882511816</v>
      </c>
      <c r="O15" s="80">
        <f>VLOOKUP('Hide - Control'!C$3,'All practice data'!A:CA,A15+29,FALSE)</f>
        <v>0.5147293797466616</v>
      </c>
      <c r="P15" s="38">
        <f>VLOOKUP('Hide - Control'!$B$4,'All practice data'!B:BC,A15+2,FALSE)</f>
        <v>4685</v>
      </c>
      <c r="Q15" s="38">
        <f>VLOOKUP('Hide - Control'!$B$4,'All practice data'!B:BJ,60,FALSE)</f>
        <v>11848</v>
      </c>
      <c r="R15" s="38">
        <f t="shared" si="17"/>
        <v>0.38665642853369103</v>
      </c>
      <c r="S15" s="38">
        <f t="shared" si="18"/>
        <v>0.4042621406108713</v>
      </c>
      <c r="T15" s="53">
        <f t="shared" si="16"/>
        <v>0.5114679932594299</v>
      </c>
      <c r="U15" s="51">
        <f t="shared" si="1"/>
        <v>0.24886900186538696</v>
      </c>
      <c r="V15" s="7"/>
      <c r="W15" s="27">
        <f t="shared" si="2"/>
        <v>0.24886900186538696</v>
      </c>
      <c r="X15" s="27">
        <f t="shared" si="3"/>
        <v>0.5303509831428528</v>
      </c>
      <c r="Y15" s="27">
        <f t="shared" si="4"/>
        <v>0.24886900186538696</v>
      </c>
      <c r="Z15" s="27">
        <f t="shared" si="5"/>
        <v>0.5303509831428528</v>
      </c>
      <c r="AA15" s="32">
        <f t="shared" si="6"/>
        <v>0</v>
      </c>
      <c r="AB15" s="33">
        <f t="shared" si="7"/>
        <v>0.34637205758664297</v>
      </c>
      <c r="AC15" s="33">
        <v>0.5</v>
      </c>
      <c r="AD15" s="33">
        <f t="shared" si="8"/>
        <v>0.5768415520306686</v>
      </c>
      <c r="AE15" s="33">
        <f t="shared" si="9"/>
        <v>0.9329158129492868</v>
      </c>
      <c r="AF15" s="33">
        <f t="shared" si="10"/>
        <v>-999</v>
      </c>
      <c r="AG15" s="33">
        <f t="shared" si="11"/>
        <v>0.3764716933342708</v>
      </c>
      <c r="AH15" s="33">
        <f t="shared" si="12"/>
        <v>-999</v>
      </c>
      <c r="AI15" s="34">
        <f t="shared" si="13"/>
        <v>0.9445022970021214</v>
      </c>
      <c r="AJ15" s="4">
        <v>11.310014695494289</v>
      </c>
      <c r="AK15" s="32">
        <f t="shared" si="14"/>
        <v>-999</v>
      </c>
      <c r="AL15" s="34">
        <f t="shared" si="15"/>
        <v>-999</v>
      </c>
      <c r="AY15" s="103" t="s">
        <v>229</v>
      </c>
      <c r="AZ15" s="103" t="s">
        <v>230</v>
      </c>
      <c r="BA15" s="103" t="s">
        <v>322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v>
      </c>
      <c r="E16" s="38">
        <f>IF(LEFT(VLOOKUP($B16,'Indicator chart'!$D$1:$J$36,5,FALSE),1)=" "," ",VLOOKUP($B16,'Indicator chart'!$D$1:$J$36,5,FALSE))</f>
        <v>0.5</v>
      </c>
      <c r="F16" s="38">
        <f>IF(LEFT(VLOOKUP($B16,'Indicator chart'!$D$1:$J$36,6,FALSE),1)=" "," ",VLOOKUP($B16,'Indicator chart'!$D$1:$J$36,6,FALSE))</f>
        <v>0.3859551898733622</v>
      </c>
      <c r="G16" s="38">
        <f>IF(LEFT(VLOOKUP($B16,'Indicator chart'!$D$1:$J$36,7,FALSE),1)=" "," ",VLOOKUP($B16,'Indicator chart'!$D$1:$J$36,7,FALSE))</f>
        <v>0.6140448101266378</v>
      </c>
      <c r="H16" s="50">
        <f t="shared" si="0"/>
        <v>2</v>
      </c>
      <c r="I16" s="38">
        <v>0.26315799355506897</v>
      </c>
      <c r="J16" s="38">
        <v>0.40319401025772095</v>
      </c>
      <c r="K16" s="38">
        <v>0.44578298926353455</v>
      </c>
      <c r="L16" s="38">
        <v>0.478349506855011</v>
      </c>
      <c r="M16" s="38">
        <v>0.5748500227928162</v>
      </c>
      <c r="N16" s="80">
        <f>VLOOKUP('Hide - Control'!B$3,'All practice data'!A:CA,A16+29,FALSE)</f>
        <v>0.4514072119613017</v>
      </c>
      <c r="O16" s="80">
        <f>VLOOKUP('Hide - Control'!C$3,'All practice data'!A:CA,A16+29,FALSE)</f>
        <v>0.5752927626212945</v>
      </c>
      <c r="P16" s="38">
        <f>VLOOKUP('Hide - Control'!$B$4,'All practice data'!B:BC,A16+2,FALSE)</f>
        <v>2053</v>
      </c>
      <c r="Q16" s="38">
        <f>VLOOKUP('Hide - Control'!$B$4,'All practice data'!B:BJ,61,FALSE)</f>
        <v>4548</v>
      </c>
      <c r="R16" s="38">
        <f t="shared" si="17"/>
        <v>0.43699137704714186</v>
      </c>
      <c r="S16" s="38">
        <f t="shared" si="18"/>
        <v>0.46590506820701627</v>
      </c>
      <c r="T16" s="53">
        <f aca="true" t="shared" si="19" ref="T16:T31">IF($C16=1,M16,I16)</f>
        <v>0.5748500227928162</v>
      </c>
      <c r="U16" s="51">
        <f aca="true" t="shared" si="20" ref="U16:U31">IF($C16=1,I16,M16)</f>
        <v>0.26315799355506897</v>
      </c>
      <c r="V16" s="7"/>
      <c r="W16" s="27">
        <f t="shared" si="2"/>
        <v>0.26315799355506897</v>
      </c>
      <c r="X16" s="27">
        <f t="shared" si="3"/>
        <v>0.6284079849720001</v>
      </c>
      <c r="Y16" s="27">
        <f t="shared" si="4"/>
        <v>0.26315799355506897</v>
      </c>
      <c r="Z16" s="27">
        <f t="shared" si="5"/>
        <v>0.6284079849720001</v>
      </c>
      <c r="AA16" s="32">
        <f t="shared" si="6"/>
        <v>0</v>
      </c>
      <c r="AB16" s="33">
        <f t="shared" si="7"/>
        <v>0.38339772756572504</v>
      </c>
      <c r="AC16" s="33">
        <v>0.5</v>
      </c>
      <c r="AD16" s="33">
        <f t="shared" si="8"/>
        <v>0.5891622679172137</v>
      </c>
      <c r="AE16" s="33">
        <f t="shared" si="9"/>
        <v>0.8533662876447605</v>
      </c>
      <c r="AF16" s="33">
        <f t="shared" si="10"/>
        <v>-999</v>
      </c>
      <c r="AG16" s="33">
        <f t="shared" si="11"/>
        <v>0.6484380890089522</v>
      </c>
      <c r="AH16" s="33">
        <f t="shared" si="12"/>
        <v>-999</v>
      </c>
      <c r="AI16" s="34">
        <f t="shared" si="13"/>
        <v>0.8545784432611393</v>
      </c>
      <c r="AJ16" s="4">
        <v>12.386010120876215</v>
      </c>
      <c r="AK16" s="32">
        <f t="shared" si="14"/>
        <v>-999</v>
      </c>
      <c r="AL16" s="34">
        <f t="shared" si="15"/>
        <v>-999</v>
      </c>
      <c r="AY16" s="103" t="s">
        <v>318</v>
      </c>
      <c r="AZ16" s="103" t="s">
        <v>341</v>
      </c>
      <c r="BA16" s="103" t="s">
        <v>501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57</v>
      </c>
      <c r="E17" s="38">
        <f>IF(LEFT(VLOOKUP($B17,'Indicator chart'!$D$1:$J$36,5,FALSE),1)=" "," ",VLOOKUP($B17,'Indicator chart'!$D$1:$J$36,5,FALSE))</f>
        <v>1636.9902354968408</v>
      </c>
      <c r="F17" s="38">
        <f>IF(LEFT(VLOOKUP($B17,'Indicator chart'!$D$1:$J$36,6,FALSE),1)=" "," ",VLOOKUP($B17,'Indicator chart'!$D$1:$J$36,6,FALSE))</f>
        <v>1239.7580340399036</v>
      </c>
      <c r="G17" s="38">
        <f>IF(LEFT(VLOOKUP($B17,'Indicator chart'!$D$1:$J$36,7,FALSE),1)=" "," ",VLOOKUP($B17,'Indicator chart'!$D$1:$J$36,7,FALSE))</f>
        <v>2120.9586876378244</v>
      </c>
      <c r="H17" s="50">
        <f t="shared" si="0"/>
        <v>2</v>
      </c>
      <c r="I17" s="38">
        <v>292.8587646484375</v>
      </c>
      <c r="J17" s="38">
        <v>905.7487182617188</v>
      </c>
      <c r="K17" s="38">
        <v>1156.7611083984375</v>
      </c>
      <c r="L17" s="38">
        <v>1855.6636962890625</v>
      </c>
      <c r="M17" s="38">
        <v>3440.62158203125</v>
      </c>
      <c r="N17" s="80">
        <f>VLOOKUP('Hide - Control'!B$3,'All practice data'!A:CA,A17+29,FALSE)</f>
        <v>1475.7162982286047</v>
      </c>
      <c r="O17" s="80">
        <f>VLOOKUP('Hide - Control'!C$3,'All practice data'!A:CA,A17+29,FALSE)</f>
        <v>1812.1669120472948</v>
      </c>
      <c r="P17" s="38">
        <f>VLOOKUP('Hide - Control'!$B$4,'All practice data'!B:BC,A17+2,FALSE)</f>
        <v>2755</v>
      </c>
      <c r="Q17" s="38">
        <f>VLOOKUP('Hide - Control'!$B$4,'All practice data'!B:BC,3,FALSE)</f>
        <v>186689</v>
      </c>
      <c r="R17" s="38">
        <f>100000*(P17*(1-1/(9*P17)-1.96/(3*SQRT(P17)))^3)/Q17</f>
        <v>1421.1193389765695</v>
      </c>
      <c r="S17" s="38">
        <f>100000*((P17+1)*(1-1/(9*(P17+1))+1.96/(3*SQRT(P17+1)))^3)/Q17</f>
        <v>1531.8736029533102</v>
      </c>
      <c r="T17" s="53">
        <f t="shared" si="19"/>
        <v>3440.62158203125</v>
      </c>
      <c r="U17" s="51">
        <f t="shared" si="20"/>
        <v>292.8587646484375</v>
      </c>
      <c r="V17" s="7"/>
      <c r="W17" s="27">
        <f t="shared" si="2"/>
        <v>-1127.099365234375</v>
      </c>
      <c r="X17" s="27">
        <f t="shared" si="3"/>
        <v>3440.62158203125</v>
      </c>
      <c r="Y17" s="27">
        <f t="shared" si="4"/>
        <v>-1127.099365234375</v>
      </c>
      <c r="Z17" s="27">
        <f t="shared" si="5"/>
        <v>3440.62158203125</v>
      </c>
      <c r="AA17" s="32">
        <f t="shared" si="6"/>
        <v>0.31086796813470885</v>
      </c>
      <c r="AB17" s="33">
        <f t="shared" si="7"/>
        <v>0.4450464699935353</v>
      </c>
      <c r="AC17" s="33">
        <v>0.5</v>
      </c>
      <c r="AD17" s="33">
        <f t="shared" si="8"/>
        <v>0.6530090379774642</v>
      </c>
      <c r="AE17" s="33">
        <f t="shared" si="9"/>
        <v>1</v>
      </c>
      <c r="AF17" s="33">
        <f t="shared" si="10"/>
        <v>-999</v>
      </c>
      <c r="AG17" s="33">
        <f t="shared" si="11"/>
        <v>0.605135390853043</v>
      </c>
      <c r="AH17" s="33">
        <f t="shared" si="12"/>
        <v>-999</v>
      </c>
      <c r="AI17" s="34">
        <f t="shared" si="13"/>
        <v>0.6434863931521918</v>
      </c>
      <c r="AJ17" s="4">
        <v>13.462005546258133</v>
      </c>
      <c r="AK17" s="32">
        <f t="shared" si="14"/>
        <v>-999</v>
      </c>
      <c r="AL17" s="34">
        <f t="shared" si="15"/>
        <v>-999</v>
      </c>
      <c r="AY17" s="103" t="s">
        <v>103</v>
      </c>
      <c r="AZ17" s="103" t="s">
        <v>104</v>
      </c>
      <c r="BA17" s="103" t="s">
        <v>322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57</v>
      </c>
      <c r="E18" s="80">
        <f>IF(LEFT(VLOOKUP($B18,'Indicator chart'!$D$1:$J$36,5,FALSE),1)=" "," ",VLOOKUP($B18,'Indicator chart'!$D$1:$J$36,5,FALSE))</f>
        <v>1.2046704099999999</v>
      </c>
      <c r="F18" s="81">
        <f>IF(LEFT(VLOOKUP($B18,'Indicator chart'!$D$1:$J$36,6,FALSE),1)=" "," ",VLOOKUP($B18,'Indicator chart'!$D$1:$J$36,6,FALSE))</f>
        <v>0.9124056244000001</v>
      </c>
      <c r="G18" s="38">
        <f>IF(LEFT(VLOOKUP($B18,'Indicator chart'!$D$1:$J$36,7,FALSE),1)=" "," ",VLOOKUP($B18,'Indicator chart'!$D$1:$J$36,7,FALSE))</f>
        <v>1.5607902530000002</v>
      </c>
      <c r="H18" s="50">
        <f>IF(LEFT(F18,1)=" ",4,IF(AND(ABS(N18-E18)&gt;SQRT((E18-G18)^2+(N18-R18)^2),E18&lt;N18),1,IF(AND(ABS(N18-E18)&gt;SQRT((E18-F18)^2+(N18-S18)^2),E18&gt;N18),3,2)))</f>
        <v>2</v>
      </c>
      <c r="I18" s="38">
        <v>0.26668721437454224</v>
      </c>
      <c r="J18" s="38"/>
      <c r="K18" s="38">
        <v>1</v>
      </c>
      <c r="L18" s="38"/>
      <c r="M18" s="38">
        <v>2.082023859024048</v>
      </c>
      <c r="N18" s="80">
        <v>1</v>
      </c>
      <c r="O18" s="80">
        <f>VLOOKUP('Hide - Control'!C$3,'All practice data'!A:CA,A18+29,FALSE)</f>
        <v>1</v>
      </c>
      <c r="P18" s="38">
        <f>VLOOKUP('Hide - Control'!$B$4,'All practice data'!B:BC,A18+2,FALSE)</f>
        <v>2755</v>
      </c>
      <c r="Q18" s="38">
        <f>VLOOKUP('Hide - Control'!$B$4,'All practice data'!B:BC,14,FALSE)</f>
        <v>2755</v>
      </c>
      <c r="R18" s="81">
        <v>1</v>
      </c>
      <c r="S18" s="38">
        <v>1</v>
      </c>
      <c r="T18" s="53">
        <f t="shared" si="19"/>
        <v>2.082023859024048</v>
      </c>
      <c r="U18" s="51">
        <f t="shared" si="20"/>
        <v>0.26668721437454224</v>
      </c>
      <c r="V18" s="7"/>
      <c r="W18" s="27">
        <f>IF((K18-I18)&gt;(M18-K18),I18,(K18-(M18-K18)))</f>
        <v>-0.08202385902404785</v>
      </c>
      <c r="X18" s="27">
        <f t="shared" si="3"/>
        <v>2.082023859024048</v>
      </c>
      <c r="Y18" s="27">
        <f t="shared" si="4"/>
        <v>-0.08202385902404785</v>
      </c>
      <c r="Z18" s="27">
        <f t="shared" si="5"/>
        <v>2.082023859024048</v>
      </c>
      <c r="AA18" s="32" t="s">
        <v>322</v>
      </c>
      <c r="AB18" s="33" t="s">
        <v>322</v>
      </c>
      <c r="AC18" s="33">
        <v>0.5</v>
      </c>
      <c r="AD18" s="33" t="s">
        <v>322</v>
      </c>
      <c r="AE18" s="33" t="s">
        <v>322</v>
      </c>
      <c r="AF18" s="33">
        <f t="shared" si="10"/>
        <v>-999</v>
      </c>
      <c r="AG18" s="33">
        <f t="shared" si="11"/>
        <v>0.5945775863873308</v>
      </c>
      <c r="AH18" s="33">
        <f t="shared" si="12"/>
        <v>-999</v>
      </c>
      <c r="AI18" s="34">
        <v>0.5</v>
      </c>
      <c r="AJ18" s="4">
        <v>14.538000971640056</v>
      </c>
      <c r="AK18" s="32">
        <f t="shared" si="14"/>
        <v>-999</v>
      </c>
      <c r="AL18" s="34">
        <f t="shared" si="15"/>
        <v>-999</v>
      </c>
      <c r="AY18" s="103" t="s">
        <v>105</v>
      </c>
      <c r="AZ18" s="103" t="s">
        <v>106</v>
      </c>
      <c r="BA18" s="103" t="s">
        <v>322</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0.07229965180158615</v>
      </c>
      <c r="K19" s="38">
        <v>0.10185185074806213</v>
      </c>
      <c r="L19" s="38">
        <v>0.1342342346906662</v>
      </c>
      <c r="M19" s="38">
        <v>0.20000000298023224</v>
      </c>
      <c r="N19" s="80">
        <f>VLOOKUP('Hide - Control'!B$3,'All practice data'!A:CA,A19+29,FALSE)</f>
        <v>0.09945553539019963</v>
      </c>
      <c r="O19" s="80">
        <f>VLOOKUP('Hide - Control'!C$3,'All practice data'!A:CA,A19+29,FALSE)</f>
        <v>0.10919341638628717</v>
      </c>
      <c r="P19" s="38">
        <f>VLOOKUP('Hide - Control'!$B$4,'All practice data'!B:BC,A19+2,FALSE)</f>
        <v>274</v>
      </c>
      <c r="Q19" s="38">
        <f>VLOOKUP('Hide - Control'!$B$4,'All practice data'!B:BC,15,FALSE)</f>
        <v>2755</v>
      </c>
      <c r="R19" s="38">
        <f>+((2*P19+1.96^2-1.96*SQRT(1.96^2+4*P19*(1-P19/Q19)))/(2*(Q19+1.96^2)))</f>
        <v>0.0888317644177259</v>
      </c>
      <c r="S19" s="38">
        <f>+((2*P19+1.96^2+1.96*SQRT(1.96^2+4*P19*(1-P19/Q19)))/(2*(Q19+1.96^2)))</f>
        <v>0.11119479745519928</v>
      </c>
      <c r="T19" s="53">
        <f t="shared" si="19"/>
        <v>0.20000000298023224</v>
      </c>
      <c r="U19" s="51">
        <f t="shared" si="20"/>
        <v>0.02070442959666252</v>
      </c>
      <c r="V19" s="7"/>
      <c r="W19" s="27">
        <f t="shared" si="2"/>
        <v>0.003703698515892029</v>
      </c>
      <c r="X19" s="27">
        <f t="shared" si="3"/>
        <v>0.20000000298023224</v>
      </c>
      <c r="Y19" s="27">
        <f t="shared" si="4"/>
        <v>0.003703698515892029</v>
      </c>
      <c r="Z19" s="27">
        <f t="shared" si="5"/>
        <v>0.20000000298023224</v>
      </c>
      <c r="AA19" s="32">
        <f t="shared" si="6"/>
        <v>0.08660749435483589</v>
      </c>
      <c r="AB19" s="33">
        <f t="shared" si="7"/>
        <v>0.3494510682352427</v>
      </c>
      <c r="AC19" s="33">
        <v>0.5</v>
      </c>
      <c r="AD19" s="33">
        <f t="shared" si="8"/>
        <v>0.664966854729997</v>
      </c>
      <c r="AE19" s="33">
        <f t="shared" si="9"/>
        <v>1</v>
      </c>
      <c r="AF19" s="33">
        <f t="shared" si="10"/>
        <v>-999</v>
      </c>
      <c r="AG19" s="33">
        <f t="shared" si="11"/>
        <v>-999</v>
      </c>
      <c r="AH19" s="33">
        <f t="shared" si="12"/>
        <v>-999</v>
      </c>
      <c r="AI19" s="34">
        <f t="shared" si="13"/>
        <v>0.5374004271667719</v>
      </c>
      <c r="AJ19" s="4">
        <v>15.61399639702198</v>
      </c>
      <c r="AK19" s="32">
        <f t="shared" si="14"/>
        <v>-999</v>
      </c>
      <c r="AL19" s="34">
        <f t="shared" si="15"/>
        <v>-999</v>
      </c>
      <c r="AY19" s="103" t="s">
        <v>270</v>
      </c>
      <c r="AZ19" s="103" t="s">
        <v>440</v>
      </c>
      <c r="BA19" s="103" t="s">
        <v>322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0.375</v>
      </c>
      <c r="K20" s="38">
        <v>0.4545454680919647</v>
      </c>
      <c r="L20" s="38">
        <v>0.5227272510528564</v>
      </c>
      <c r="M20" s="38">
        <v>0.7333333492279053</v>
      </c>
      <c r="N20" s="80">
        <f>VLOOKUP('Hide - Control'!B$3,'All practice data'!A:CA,A20+29,FALSE)</f>
        <v>0.4756944444444444</v>
      </c>
      <c r="O20" s="80">
        <f>VLOOKUP('Hide - Control'!C$3,'All practice data'!A:CA,A20+29,FALSE)</f>
        <v>0.4534552930810221</v>
      </c>
      <c r="P20" s="38">
        <f>VLOOKUP('Hide - Control'!$B$4,'All practice data'!B:BC,A20+1,FALSE)</f>
        <v>274</v>
      </c>
      <c r="Q20" s="38">
        <f>VLOOKUP('Hide - Control'!$B$4,'All practice data'!B:BC,A20+2,FALSE)</f>
        <v>576</v>
      </c>
      <c r="R20" s="38">
        <f>+((2*P20+1.96^2-1.96*SQRT(1.96^2+4*P20*(1-P20/Q20)))/(2*(Q20+1.96^2)))</f>
        <v>0.4352054269489277</v>
      </c>
      <c r="S20" s="38">
        <f>+((2*P20+1.96^2+1.96*SQRT(1.96^2+4*P20*(1-P20/Q20)))/(2*(Q20+1.96^2)))</f>
        <v>0.5165055230760447</v>
      </c>
      <c r="T20" s="53">
        <f t="shared" si="19"/>
        <v>0.7333333492279053</v>
      </c>
      <c r="U20" s="51">
        <f t="shared" si="20"/>
        <v>0.09238772839307785</v>
      </c>
      <c r="V20" s="7"/>
      <c r="W20" s="27">
        <f t="shared" si="2"/>
        <v>0.09238772839307785</v>
      </c>
      <c r="X20" s="27">
        <f t="shared" si="3"/>
        <v>0.8167032077908516</v>
      </c>
      <c r="Y20" s="27">
        <f t="shared" si="4"/>
        <v>0.09238772839307785</v>
      </c>
      <c r="Z20" s="27">
        <f t="shared" si="5"/>
        <v>0.8167032077908516</v>
      </c>
      <c r="AA20" s="32">
        <f t="shared" si="6"/>
        <v>0</v>
      </c>
      <c r="AB20" s="33">
        <f t="shared" si="7"/>
        <v>0.39017842313945555</v>
      </c>
      <c r="AC20" s="33">
        <v>0.5</v>
      </c>
      <c r="AD20" s="33">
        <f t="shared" si="8"/>
        <v>0.5941327155089671</v>
      </c>
      <c r="AE20" s="33">
        <f t="shared" si="9"/>
        <v>0.8848984165956753</v>
      </c>
      <c r="AF20" s="33">
        <f t="shared" si="10"/>
        <v>-999</v>
      </c>
      <c r="AG20" s="33">
        <f t="shared" si="11"/>
        <v>-999</v>
      </c>
      <c r="AH20" s="33">
        <f t="shared" si="12"/>
        <v>-999</v>
      </c>
      <c r="AI20" s="34">
        <f t="shared" si="13"/>
        <v>0.4984948892548189</v>
      </c>
      <c r="AJ20" s="4">
        <v>16.689991822403904</v>
      </c>
      <c r="AK20" s="32">
        <f t="shared" si="14"/>
        <v>-999</v>
      </c>
      <c r="AL20" s="34">
        <f t="shared" si="15"/>
        <v>-999</v>
      </c>
      <c r="AY20" s="103" t="s">
        <v>211</v>
      </c>
      <c r="AZ20" s="103" t="s">
        <v>421</v>
      </c>
      <c r="BA20" s="103" t="s">
        <v>322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258.4721424468696</v>
      </c>
      <c r="F21" s="38">
        <f>IF(LEFT(VLOOKUP($B21,'Indicator chart'!$D$1:$J$36,6,FALSE),1)=" "," ",VLOOKUP($B21,'Indicator chart'!$D$1:$J$36,6,FALSE))</f>
        <v>117.94431313963696</v>
      </c>
      <c r="G21" s="38">
        <f>IF(LEFT(VLOOKUP($B21,'Indicator chart'!$D$1:$J$36,7,FALSE),1)=" "," ",VLOOKUP($B21,'Indicator chart'!$D$1:$J$36,7,FALSE))</f>
        <v>490.6933791135917</v>
      </c>
      <c r="H21" s="50">
        <f t="shared" si="0"/>
        <v>2</v>
      </c>
      <c r="I21" s="38">
        <v>61.46357345581055</v>
      </c>
      <c r="J21" s="38">
        <v>208.96914672851562</v>
      </c>
      <c r="K21" s="38">
        <v>274.75042724609375</v>
      </c>
      <c r="L21" s="38">
        <v>370.228515625</v>
      </c>
      <c r="M21" s="38">
        <v>817.916259765625</v>
      </c>
      <c r="N21" s="80">
        <f>VLOOKUP('Hide - Control'!B$3,'All practice data'!A:CA,A21+29,FALSE)</f>
        <v>332.10312337631035</v>
      </c>
      <c r="O21" s="80">
        <f>VLOOKUP('Hide - Control'!C$3,'All practice data'!A:CA,A21+29,FALSE)</f>
        <v>377.7293140102421</v>
      </c>
      <c r="P21" s="38">
        <f>VLOOKUP('Hide - Control'!$B$4,'All practice data'!B:BC,A21+2,FALSE)</f>
        <v>620</v>
      </c>
      <c r="Q21" s="38">
        <f>VLOOKUP('Hide - Control'!$B$4,'All practice data'!B:BC,3,FALSE)</f>
        <v>186689</v>
      </c>
      <c r="R21" s="38">
        <f aca="true" t="shared" si="21" ref="R21:R27">100000*(P21*(1-1/(9*P21)-1.96/(3*SQRT(P21)))^3)/Q21</f>
        <v>306.472108603461</v>
      </c>
      <c r="S21" s="38">
        <f aca="true" t="shared" si="22" ref="S21:S27">100000*((P21+1)*(1-1/(9*(P21+1))+1.96/(3*SQRT(P21+1)))^3)/Q21</f>
        <v>359.30541857950055</v>
      </c>
      <c r="T21" s="53">
        <f t="shared" si="19"/>
        <v>817.916259765625</v>
      </c>
      <c r="U21" s="51">
        <f t="shared" si="20"/>
        <v>61.46357345581055</v>
      </c>
      <c r="V21" s="7"/>
      <c r="W21" s="27">
        <f t="shared" si="2"/>
        <v>-268.4154052734375</v>
      </c>
      <c r="X21" s="27">
        <f t="shared" si="3"/>
        <v>817.916259765625</v>
      </c>
      <c r="Y21" s="27">
        <f t="shared" si="4"/>
        <v>-268.4154052734375</v>
      </c>
      <c r="Z21" s="27">
        <f t="shared" si="5"/>
        <v>817.916259765625</v>
      </c>
      <c r="AA21" s="32">
        <f t="shared" si="6"/>
        <v>0.30366322675256474</v>
      </c>
      <c r="AB21" s="33">
        <f t="shared" si="7"/>
        <v>0.43944641159363357</v>
      </c>
      <c r="AC21" s="33">
        <v>0.5</v>
      </c>
      <c r="AD21" s="33">
        <f t="shared" si="8"/>
        <v>0.5878903666823272</v>
      </c>
      <c r="AE21" s="33">
        <f t="shared" si="9"/>
        <v>1</v>
      </c>
      <c r="AF21" s="33">
        <f t="shared" si="10"/>
        <v>-999</v>
      </c>
      <c r="AG21" s="33">
        <f t="shared" si="11"/>
        <v>0.4850153637944091</v>
      </c>
      <c r="AH21" s="33">
        <f t="shared" si="12"/>
        <v>-999</v>
      </c>
      <c r="AI21" s="34">
        <f t="shared" si="13"/>
        <v>0.5947950704911519</v>
      </c>
      <c r="AJ21" s="4">
        <v>17.765987247785823</v>
      </c>
      <c r="AK21" s="32">
        <f t="shared" si="14"/>
        <v>-999</v>
      </c>
      <c r="AL21" s="34">
        <f t="shared" si="15"/>
        <v>-999</v>
      </c>
      <c r="AY21" s="103" t="s">
        <v>123</v>
      </c>
      <c r="AZ21" s="103" t="s">
        <v>395</v>
      </c>
      <c r="BA21" s="103" t="s">
        <v>322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172.3147616312464</v>
      </c>
      <c r="F22" s="38">
        <f>IF(LEFT(VLOOKUP($B22,'Indicator chart'!$D$1:$J$36,6,FALSE),1)=" "," ",VLOOKUP($B22,'Indicator chart'!$D$1:$J$36,6,FALSE))</f>
        <v>62.92190524651578</v>
      </c>
      <c r="G22" s="38">
        <f>IF(LEFT(VLOOKUP($B22,'Indicator chart'!$D$1:$J$36,7,FALSE),1)=" "," ",VLOOKUP($B22,'Indicator chart'!$D$1:$J$36,7,FALSE))</f>
        <v>375.0687900252085</v>
      </c>
      <c r="H22" s="50">
        <f t="shared" si="0"/>
        <v>2</v>
      </c>
      <c r="I22" s="38">
        <v>18.07059669494629</v>
      </c>
      <c r="J22" s="38">
        <v>86.9542236328125</v>
      </c>
      <c r="K22" s="38">
        <v>172.31475830078125</v>
      </c>
      <c r="L22" s="38">
        <v>299.8311767578125</v>
      </c>
      <c r="M22" s="38">
        <v>499.445068359375</v>
      </c>
      <c r="N22" s="80">
        <f>VLOOKUP('Hide - Control'!B$3,'All practice data'!A:CA,A22+29,FALSE)</f>
        <v>216.40268039359577</v>
      </c>
      <c r="O22" s="80">
        <f>VLOOKUP('Hide - Control'!C$3,'All practice data'!A:CA,A22+29,FALSE)</f>
        <v>282.45290788403287</v>
      </c>
      <c r="P22" s="38">
        <f>VLOOKUP('Hide - Control'!$B$4,'All practice data'!B:BC,A22+2,FALSE)</f>
        <v>404</v>
      </c>
      <c r="Q22" s="38">
        <f>VLOOKUP('Hide - Control'!$B$4,'All practice data'!B:BC,3,FALSE)</f>
        <v>186689</v>
      </c>
      <c r="R22" s="38">
        <f t="shared" si="21"/>
        <v>195.81186860707078</v>
      </c>
      <c r="S22" s="38">
        <f t="shared" si="22"/>
        <v>238.56970498399238</v>
      </c>
      <c r="T22" s="53">
        <f t="shared" si="19"/>
        <v>499.445068359375</v>
      </c>
      <c r="U22" s="51">
        <f t="shared" si="20"/>
        <v>18.07059669494629</v>
      </c>
      <c r="V22" s="7"/>
      <c r="W22" s="27">
        <f t="shared" si="2"/>
        <v>-154.8155517578125</v>
      </c>
      <c r="X22" s="27">
        <f t="shared" si="3"/>
        <v>499.445068359375</v>
      </c>
      <c r="Y22" s="27">
        <f t="shared" si="4"/>
        <v>-154.8155517578125</v>
      </c>
      <c r="Z22" s="27">
        <f t="shared" si="5"/>
        <v>499.445068359375</v>
      </c>
      <c r="AA22" s="32">
        <f t="shared" si="6"/>
        <v>0.2642466062251957</v>
      </c>
      <c r="AB22" s="33">
        <f t="shared" si="7"/>
        <v>0.3695312967901393</v>
      </c>
      <c r="AC22" s="33">
        <v>0.5</v>
      </c>
      <c r="AD22" s="33">
        <f t="shared" si="8"/>
        <v>0.6949015645083318</v>
      </c>
      <c r="AE22" s="33">
        <f t="shared" si="9"/>
        <v>1</v>
      </c>
      <c r="AF22" s="33">
        <f t="shared" si="10"/>
        <v>-999</v>
      </c>
      <c r="AG22" s="33">
        <f t="shared" si="11"/>
        <v>0.5000000050904257</v>
      </c>
      <c r="AH22" s="33">
        <f t="shared" si="12"/>
        <v>-999</v>
      </c>
      <c r="AI22" s="34">
        <f t="shared" si="13"/>
        <v>0.6683398728224301</v>
      </c>
      <c r="AJ22" s="4">
        <v>18.841982673167745</v>
      </c>
      <c r="AK22" s="32">
        <f t="shared" si="14"/>
        <v>-999</v>
      </c>
      <c r="AL22" s="34">
        <f t="shared" si="15"/>
        <v>-999</v>
      </c>
      <c r="AY22" s="103" t="s">
        <v>149</v>
      </c>
      <c r="AZ22" s="103" t="s">
        <v>405</v>
      </c>
      <c r="BA22" s="103" t="s">
        <v>322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29.8284854888916</v>
      </c>
      <c r="L23" s="38">
        <v>56.956809997558594</v>
      </c>
      <c r="M23" s="38">
        <v>146.54698181152344</v>
      </c>
      <c r="N23" s="80">
        <f>VLOOKUP('Hide - Control'!B$3,'All practice data'!A:CA,A23+29,FALSE)</f>
        <v>47.13721751147631</v>
      </c>
      <c r="O23" s="80">
        <f>VLOOKUP('Hide - Control'!C$3,'All practice data'!A:CA,A23+29,FALSE)</f>
        <v>70.46674929228394</v>
      </c>
      <c r="P23" s="38">
        <f>VLOOKUP('Hide - Control'!$B$4,'All practice data'!B:BC,A23+2,FALSE)</f>
        <v>88</v>
      </c>
      <c r="Q23" s="38">
        <f>VLOOKUP('Hide - Control'!$B$4,'All practice data'!B:BC,3,FALSE)</f>
        <v>186689</v>
      </c>
      <c r="R23" s="38">
        <f t="shared" si="21"/>
        <v>37.80418092516468</v>
      </c>
      <c r="S23" s="38">
        <f t="shared" si="22"/>
        <v>58.07521636957692</v>
      </c>
      <c r="T23" s="53">
        <f t="shared" si="19"/>
        <v>146.54698181152344</v>
      </c>
      <c r="U23" s="51">
        <f t="shared" si="20"/>
        <v>3.248678207397461</v>
      </c>
      <c r="V23" s="7"/>
      <c r="W23" s="27">
        <f t="shared" si="2"/>
        <v>-86.89001083374023</v>
      </c>
      <c r="X23" s="27">
        <f t="shared" si="3"/>
        <v>146.54698181152344</v>
      </c>
      <c r="Y23" s="27">
        <f t="shared" si="4"/>
        <v>-86.89001083374023</v>
      </c>
      <c r="Z23" s="27">
        <f t="shared" si="5"/>
        <v>146.54698181152344</v>
      </c>
      <c r="AA23" s="32">
        <f t="shared" si="6"/>
        <v>0.386137124282245</v>
      </c>
      <c r="AB23" s="33">
        <f t="shared" si="7"/>
        <v>0.37222040024213443</v>
      </c>
      <c r="AC23" s="33">
        <v>0.5</v>
      </c>
      <c r="AD23" s="33">
        <f t="shared" si="8"/>
        <v>0.6162126199504798</v>
      </c>
      <c r="AE23" s="33">
        <f t="shared" si="9"/>
        <v>1</v>
      </c>
      <c r="AF23" s="33">
        <f t="shared" si="10"/>
        <v>-999</v>
      </c>
      <c r="AG23" s="33">
        <f t="shared" si="11"/>
        <v>-999</v>
      </c>
      <c r="AH23" s="33">
        <f t="shared" si="12"/>
        <v>-999</v>
      </c>
      <c r="AI23" s="34">
        <f t="shared" si="13"/>
        <v>0.6740866490048867</v>
      </c>
      <c r="AJ23" s="4">
        <v>19.917978098549675</v>
      </c>
      <c r="AK23" s="32">
        <f t="shared" si="14"/>
        <v>-999</v>
      </c>
      <c r="AL23" s="34">
        <f t="shared" si="15"/>
        <v>-999</v>
      </c>
      <c r="AY23" s="103" t="s">
        <v>264</v>
      </c>
      <c r="AZ23" s="103" t="s">
        <v>265</v>
      </c>
      <c r="BA23" s="103" t="s">
        <v>322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29</v>
      </c>
      <c r="E24" s="38">
        <f>IF(LEFT(VLOOKUP($B24,'Indicator chart'!$D$1:$J$36,5,FALSE),1)=" "," ",VLOOKUP($B24,'Indicator chart'!$D$1:$J$36,5,FALSE))</f>
        <v>832.854681217691</v>
      </c>
      <c r="F24" s="38">
        <f>IF(LEFT(VLOOKUP($B24,'Indicator chart'!$D$1:$J$36,6,FALSE),1)=" "," ",VLOOKUP($B24,'Indicator chart'!$D$1:$J$36,6,FALSE))</f>
        <v>557.6561385774526</v>
      </c>
      <c r="G24" s="38">
        <f>IF(LEFT(VLOOKUP($B24,'Indicator chart'!$D$1:$J$36,7,FALSE),1)=" "," ",VLOOKUP($B24,'Indicator chart'!$D$1:$J$36,7,FALSE))</f>
        <v>1196.1686757493705</v>
      </c>
      <c r="H24" s="50">
        <f t="shared" si="0"/>
        <v>3</v>
      </c>
      <c r="I24" s="38">
        <v>27.3076171875</v>
      </c>
      <c r="J24" s="38">
        <v>95.44029235839844</v>
      </c>
      <c r="K24" s="38">
        <v>169.14749145507812</v>
      </c>
      <c r="L24" s="38">
        <v>269.27752685546875</v>
      </c>
      <c r="M24" s="38">
        <v>832.8546752929688</v>
      </c>
      <c r="N24" s="80">
        <f>VLOOKUP('Hide - Control'!B$3,'All practice data'!A:CA,A24+29,FALSE)</f>
        <v>229.25828516945293</v>
      </c>
      <c r="O24" s="80">
        <f>VLOOKUP('Hide - Control'!C$3,'All practice data'!A:CA,A24+29,FALSE)</f>
        <v>323.23046266988894</v>
      </c>
      <c r="P24" s="38">
        <f>VLOOKUP('Hide - Control'!$B$4,'All practice data'!B:BC,A24+2,FALSE)</f>
        <v>428</v>
      </c>
      <c r="Q24" s="38">
        <f>VLOOKUP('Hide - Control'!$B$4,'All practice data'!B:BC,3,FALSE)</f>
        <v>186689</v>
      </c>
      <c r="R24" s="38">
        <f t="shared" si="21"/>
        <v>208.04960638538034</v>
      </c>
      <c r="S24" s="38">
        <f t="shared" si="22"/>
        <v>252.04245047668135</v>
      </c>
      <c r="T24" s="53">
        <f t="shared" si="19"/>
        <v>832.8546752929688</v>
      </c>
      <c r="U24" s="51">
        <f t="shared" si="20"/>
        <v>27.3076171875</v>
      </c>
      <c r="V24" s="7"/>
      <c r="W24" s="27">
        <f t="shared" si="2"/>
        <v>-494.5596923828125</v>
      </c>
      <c r="X24" s="27">
        <f t="shared" si="3"/>
        <v>832.8546752929688</v>
      </c>
      <c r="Y24" s="27">
        <f t="shared" si="4"/>
        <v>-494.5596923828125</v>
      </c>
      <c r="Z24" s="27">
        <f t="shared" si="5"/>
        <v>832.8546752929688</v>
      </c>
      <c r="AA24" s="32">
        <f t="shared" si="6"/>
        <v>0.393145744296914</v>
      </c>
      <c r="AB24" s="33">
        <f t="shared" si="7"/>
        <v>0.4444731043361115</v>
      </c>
      <c r="AC24" s="33">
        <v>0.5</v>
      </c>
      <c r="AD24" s="33">
        <f t="shared" si="8"/>
        <v>0.5754323878350902</v>
      </c>
      <c r="AE24" s="33">
        <f t="shared" si="9"/>
        <v>1</v>
      </c>
      <c r="AF24" s="33">
        <f t="shared" si="10"/>
        <v>-999</v>
      </c>
      <c r="AG24" s="33">
        <f t="shared" si="11"/>
        <v>-999</v>
      </c>
      <c r="AH24" s="33">
        <f t="shared" si="12"/>
        <v>1.0000000044633555</v>
      </c>
      <c r="AI24" s="34">
        <f t="shared" si="13"/>
        <v>0.6160775225633578</v>
      </c>
      <c r="AJ24" s="4">
        <v>20.99397352393159</v>
      </c>
      <c r="AK24" s="32">
        <f t="shared" si="14"/>
        <v>-999</v>
      </c>
      <c r="AL24" s="34">
        <f t="shared" si="15"/>
        <v>1.0000000044633555</v>
      </c>
      <c r="AY24" s="103" t="s">
        <v>65</v>
      </c>
      <c r="AZ24" s="103" t="s">
        <v>66</v>
      </c>
      <c r="BA24" s="103" t="s">
        <v>501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258.4721424468696</v>
      </c>
      <c r="F25" s="38">
        <f>IF(LEFT(VLOOKUP($B25,'Indicator chart'!$D$1:$J$36,6,FALSE),1)=" "," ",VLOOKUP($B25,'Indicator chart'!$D$1:$J$36,6,FALSE))</f>
        <v>117.94431313963696</v>
      </c>
      <c r="G25" s="38">
        <f>IF(LEFT(VLOOKUP($B25,'Indicator chart'!$D$1:$J$36,7,FALSE),1)=" "," ",VLOOKUP($B25,'Indicator chart'!$D$1:$J$36,7,FALSE))</f>
        <v>490.6933791135917</v>
      </c>
      <c r="H25" s="50">
        <f t="shared" si="0"/>
        <v>1</v>
      </c>
      <c r="I25" s="38">
        <v>185.5142822265625</v>
      </c>
      <c r="J25" s="38">
        <v>448.6492919921875</v>
      </c>
      <c r="K25" s="38">
        <v>531.2328491210938</v>
      </c>
      <c r="L25" s="38">
        <v>619.8285522460938</v>
      </c>
      <c r="M25" s="38">
        <v>943.396240234375</v>
      </c>
      <c r="N25" s="80">
        <f>VLOOKUP('Hide - Control'!B$3,'All practice data'!A:CA,A25+29,FALSE)</f>
        <v>549.0414539689001</v>
      </c>
      <c r="O25" s="80">
        <f>VLOOKUP('Hide - Control'!C$3,'All practice data'!A:CA,A25+29,FALSE)</f>
        <v>562.6134400960308</v>
      </c>
      <c r="P25" s="38">
        <f>VLOOKUP('Hide - Control'!$B$4,'All practice data'!B:BC,A25+2,FALSE)</f>
        <v>1025</v>
      </c>
      <c r="Q25" s="38">
        <f>VLOOKUP('Hide - Control'!$B$4,'All practice data'!B:BC,3,FALSE)</f>
        <v>186689</v>
      </c>
      <c r="R25" s="38">
        <f t="shared" si="21"/>
        <v>515.9390071393012</v>
      </c>
      <c r="S25" s="38">
        <f t="shared" si="22"/>
        <v>583.7105703516277</v>
      </c>
      <c r="T25" s="53">
        <f t="shared" si="19"/>
        <v>943.396240234375</v>
      </c>
      <c r="U25" s="51">
        <f t="shared" si="20"/>
        <v>185.5142822265625</v>
      </c>
      <c r="V25" s="7"/>
      <c r="W25" s="27">
        <f t="shared" si="2"/>
        <v>119.0694580078125</v>
      </c>
      <c r="X25" s="27">
        <f t="shared" si="3"/>
        <v>943.396240234375</v>
      </c>
      <c r="Y25" s="27">
        <f t="shared" si="4"/>
        <v>119.0694580078125</v>
      </c>
      <c r="Z25" s="27">
        <f t="shared" si="5"/>
        <v>943.396240234375</v>
      </c>
      <c r="AA25" s="32">
        <f t="shared" si="6"/>
        <v>0.08060495625203154</v>
      </c>
      <c r="AB25" s="33">
        <f t="shared" si="7"/>
        <v>0.39981696711849823</v>
      </c>
      <c r="AC25" s="33">
        <v>0.5</v>
      </c>
      <c r="AD25" s="33">
        <f t="shared" si="8"/>
        <v>0.6074764341462945</v>
      </c>
      <c r="AE25" s="33">
        <f t="shared" si="9"/>
        <v>1</v>
      </c>
      <c r="AF25" s="33">
        <f t="shared" si="10"/>
        <v>-999</v>
      </c>
      <c r="AG25" s="33">
        <f t="shared" si="11"/>
        <v>-999</v>
      </c>
      <c r="AH25" s="33">
        <f t="shared" si="12"/>
        <v>0.16911094901286722</v>
      </c>
      <c r="AI25" s="34">
        <f t="shared" si="13"/>
        <v>0.5380681443955708</v>
      </c>
      <c r="AJ25" s="4">
        <v>22.06996894931352</v>
      </c>
      <c r="AK25" s="32">
        <f t="shared" si="14"/>
        <v>0.16911094901286722</v>
      </c>
      <c r="AL25" s="34">
        <f t="shared" si="15"/>
        <v>-999</v>
      </c>
      <c r="AY25" s="103" t="s">
        <v>257</v>
      </c>
      <c r="AZ25" s="103" t="s">
        <v>258</v>
      </c>
      <c r="BA25" s="103" t="s">
        <v>501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258.4721424468696</v>
      </c>
      <c r="F26" s="38">
        <f>IF(LEFT(VLOOKUP($B26,'Indicator chart'!$D$1:$J$36,6,FALSE),1)=" "," ",VLOOKUP($B26,'Indicator chart'!$D$1:$J$36,6,FALSE))</f>
        <v>117.94431313963696</v>
      </c>
      <c r="G26" s="38">
        <f>IF(LEFT(VLOOKUP($B26,'Indicator chart'!$D$1:$J$36,7,FALSE),1)=" "," ",VLOOKUP($B26,'Indicator chart'!$D$1:$J$36,7,FALSE))</f>
        <v>490.6933791135917</v>
      </c>
      <c r="H26" s="50">
        <f t="shared" si="0"/>
        <v>2</v>
      </c>
      <c r="I26" s="38">
        <v>112.1823501586914</v>
      </c>
      <c r="J26" s="38">
        <v>236.21453857421875</v>
      </c>
      <c r="K26" s="38">
        <v>291.4507751464844</v>
      </c>
      <c r="L26" s="38">
        <v>403.7492980957031</v>
      </c>
      <c r="M26" s="38">
        <v>582.6859130859375</v>
      </c>
      <c r="N26" s="80">
        <f>VLOOKUP('Hide - Control'!B$3,'All practice data'!A:CA,A26+29,FALSE)</f>
        <v>318.17621820246507</v>
      </c>
      <c r="O26" s="80">
        <f>VLOOKUP('Hide - Control'!C$3,'All practice data'!A:CA,A26+29,FALSE)</f>
        <v>405.57105879375996</v>
      </c>
      <c r="P26" s="38">
        <f>VLOOKUP('Hide - Control'!$B$4,'All practice data'!B:BC,A26+2,FALSE)</f>
        <v>594</v>
      </c>
      <c r="Q26" s="38">
        <f>VLOOKUP('Hide - Control'!$B$4,'All practice data'!B:BC,3,FALSE)</f>
        <v>186689</v>
      </c>
      <c r="R26" s="38">
        <f t="shared" si="21"/>
        <v>293.099274270323</v>
      </c>
      <c r="S26" s="38">
        <f t="shared" si="22"/>
        <v>344.8248906831427</v>
      </c>
      <c r="T26" s="53">
        <f t="shared" si="19"/>
        <v>582.6859130859375</v>
      </c>
      <c r="U26" s="51">
        <f t="shared" si="20"/>
        <v>112.1823501586914</v>
      </c>
      <c r="V26" s="7"/>
      <c r="W26" s="27">
        <f t="shared" si="2"/>
        <v>0.21563720703125</v>
      </c>
      <c r="X26" s="27">
        <f t="shared" si="3"/>
        <v>582.6859130859375</v>
      </c>
      <c r="Y26" s="27">
        <f t="shared" si="4"/>
        <v>0.21563720703125</v>
      </c>
      <c r="Z26" s="27">
        <f t="shared" si="5"/>
        <v>582.6859130859375</v>
      </c>
      <c r="AA26" s="32">
        <f t="shared" si="6"/>
        <v>0.19222734204369543</v>
      </c>
      <c r="AB26" s="33">
        <f t="shared" si="7"/>
        <v>0.4051690037076689</v>
      </c>
      <c r="AC26" s="33">
        <v>0.5</v>
      </c>
      <c r="AD26" s="33">
        <f t="shared" si="8"/>
        <v>0.6927970020097047</v>
      </c>
      <c r="AE26" s="33">
        <f t="shared" si="9"/>
        <v>1</v>
      </c>
      <c r="AF26" s="33">
        <f t="shared" si="10"/>
        <v>-999</v>
      </c>
      <c r="AG26" s="33">
        <f t="shared" si="11"/>
        <v>0.4433814323832193</v>
      </c>
      <c r="AH26" s="33">
        <f t="shared" si="12"/>
        <v>-999</v>
      </c>
      <c r="AI26" s="34">
        <f t="shared" si="13"/>
        <v>0.6959246477858053</v>
      </c>
      <c r="AJ26" s="4">
        <v>23.145964374695435</v>
      </c>
      <c r="AK26" s="32">
        <f t="shared" si="14"/>
        <v>-999</v>
      </c>
      <c r="AL26" s="34">
        <f t="shared" si="15"/>
        <v>-999</v>
      </c>
      <c r="AY26" s="103" t="s">
        <v>120</v>
      </c>
      <c r="AZ26" s="103" t="s">
        <v>394</v>
      </c>
      <c r="BA26" s="103" t="s">
        <v>322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24</v>
      </c>
      <c r="E27" s="38">
        <f>IF(LEFT(VLOOKUP($B27,'Indicator chart'!$D$1:$J$36,5,FALSE),1)=" "," ",VLOOKUP($B27,'Indicator chart'!$D$1:$J$36,5,FALSE))</f>
        <v>689.2590465249856</v>
      </c>
      <c r="F27" s="38">
        <f>IF(LEFT(VLOOKUP($B27,'Indicator chart'!$D$1:$J$36,6,FALSE),1)=" "," ",VLOOKUP($B27,'Indicator chart'!$D$1:$J$36,6,FALSE))</f>
        <v>441.4873576898217</v>
      </c>
      <c r="G27" s="38">
        <f>IF(LEFT(VLOOKUP($B27,'Indicator chart'!$D$1:$J$36,7,FALSE),1)=" "," ",VLOOKUP($B27,'Indicator chart'!$D$1:$J$36,7,FALSE))</f>
        <v>1025.6130050922281</v>
      </c>
      <c r="H27" s="50">
        <f t="shared" si="0"/>
        <v>2</v>
      </c>
      <c r="I27" s="38">
        <v>270.6883239746094</v>
      </c>
      <c r="J27" s="38">
        <v>752.79541015625</v>
      </c>
      <c r="K27" s="38">
        <v>911.8541259765625</v>
      </c>
      <c r="L27" s="38">
        <v>1065.1285400390625</v>
      </c>
      <c r="M27" s="38">
        <v>1664.81689453125</v>
      </c>
      <c r="N27" s="80">
        <f>VLOOKUP('Hide - Control'!B$3,'All practice data'!A:CA,A27+29,FALSE)</f>
        <v>961.4921071943178</v>
      </c>
      <c r="O27" s="80">
        <f>VLOOKUP('Hide - Control'!C$3,'All practice data'!A:CA,A27+29,FALSE)</f>
        <v>1059.3522061277838</v>
      </c>
      <c r="P27" s="38">
        <f>VLOOKUP('Hide - Control'!$B$4,'All practice data'!B:BC,A27+2,FALSE)</f>
        <v>1795</v>
      </c>
      <c r="Q27" s="38">
        <f>VLOOKUP('Hide - Control'!$B$4,'All practice data'!B:BC,3,FALSE)</f>
        <v>186689</v>
      </c>
      <c r="R27" s="38">
        <f t="shared" si="21"/>
        <v>917.5209338627672</v>
      </c>
      <c r="S27" s="38">
        <f t="shared" si="22"/>
        <v>1007.0259926014372</v>
      </c>
      <c r="T27" s="53">
        <f t="shared" si="19"/>
        <v>1664.81689453125</v>
      </c>
      <c r="U27" s="51">
        <f t="shared" si="20"/>
        <v>270.6883239746094</v>
      </c>
      <c r="V27" s="7"/>
      <c r="W27" s="27">
        <f t="shared" si="2"/>
        <v>158.891357421875</v>
      </c>
      <c r="X27" s="27">
        <f t="shared" si="3"/>
        <v>1664.81689453125</v>
      </c>
      <c r="Y27" s="27">
        <f t="shared" si="4"/>
        <v>158.891357421875</v>
      </c>
      <c r="Z27" s="27">
        <f t="shared" si="5"/>
        <v>1664.81689453125</v>
      </c>
      <c r="AA27" s="32">
        <f t="shared" si="6"/>
        <v>0.07423804417802006</v>
      </c>
      <c r="AB27" s="33">
        <f t="shared" si="7"/>
        <v>0.39437810044338195</v>
      </c>
      <c r="AC27" s="33">
        <v>0.5</v>
      </c>
      <c r="AD27" s="33">
        <f t="shared" si="8"/>
        <v>0.601780871819672</v>
      </c>
      <c r="AE27" s="33">
        <f t="shared" si="9"/>
        <v>1</v>
      </c>
      <c r="AF27" s="33">
        <f t="shared" si="10"/>
        <v>-999</v>
      </c>
      <c r="AG27" s="33">
        <f t="shared" si="11"/>
        <v>0.35218719387756164</v>
      </c>
      <c r="AH27" s="33">
        <f t="shared" si="12"/>
        <v>-999</v>
      </c>
      <c r="AI27" s="34">
        <f t="shared" si="13"/>
        <v>0.597945135079085</v>
      </c>
      <c r="AJ27" s="4">
        <v>24.221959800077364</v>
      </c>
      <c r="AK27" s="32">
        <f t="shared" si="14"/>
        <v>-999</v>
      </c>
      <c r="AL27" s="34">
        <f t="shared" si="15"/>
        <v>-999</v>
      </c>
      <c r="AY27" s="103" t="s">
        <v>115</v>
      </c>
      <c r="AZ27" s="103" t="s">
        <v>393</v>
      </c>
      <c r="BA27" s="103" t="s">
        <v>501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v>
      </c>
      <c r="E28" s="38">
        <f>IF(LEFT(VLOOKUP($B28,'Indicator chart'!$D$1:$J$36,5,FALSE),1)=" "," ",VLOOKUP($B28,'Indicator chart'!$D$1:$J$36,5,FALSE))</f>
        <v>201.03388856978748</v>
      </c>
      <c r="F28" s="38">
        <f>IF(LEFT(VLOOKUP($B28,'Indicator chart'!$D$1:$J$36,6,FALSE),1)=" "," ",VLOOKUP($B28,'Indicator chart'!$D$1:$J$36,6,FALSE))</f>
        <v>80.53931362947785</v>
      </c>
      <c r="G28" s="38">
        <f>IF(LEFT(VLOOKUP($B28,'Indicator chart'!$D$1:$J$36,7,FALSE),1)=" "," ",VLOOKUP($B28,'Indicator chart'!$D$1:$J$36,7,FALSE))</f>
        <v>414.2278419956393</v>
      </c>
      <c r="H28" s="50">
        <f t="shared" si="0"/>
        <v>1</v>
      </c>
      <c r="I28" s="38">
        <v>155.9251708984375</v>
      </c>
      <c r="J28" s="38">
        <v>322.1410827636719</v>
      </c>
      <c r="K28" s="38">
        <v>456.02606201171875</v>
      </c>
      <c r="L28" s="38">
        <v>646.6406860351562</v>
      </c>
      <c r="M28" s="38">
        <v>1178.2252197265625</v>
      </c>
      <c r="N28" s="80">
        <f>VLOOKUP('Hide - Control'!B$3,'All practice data'!A:CA,A28+29,FALSE)</f>
        <v>498.69033526345953</v>
      </c>
      <c r="O28" s="80">
        <f>VLOOKUP('Hide - Control'!C$3,'All practice data'!A:CA,A28+29,FALSE)</f>
        <v>582.9390489900089</v>
      </c>
      <c r="P28" s="38">
        <f>VLOOKUP('Hide - Control'!$B$4,'All practice data'!B:BC,A28+2,FALSE)</f>
        <v>931</v>
      </c>
      <c r="Q28" s="38">
        <f>VLOOKUP('Hide - Control'!$B$4,'All practice data'!B:BC,3,FALSE)</f>
        <v>186689</v>
      </c>
      <c r="R28" s="38">
        <f>100000*(P28*(1-1/(9*P28)-1.96/(3*SQRT(P28)))^3)/Q28</f>
        <v>467.16631815615426</v>
      </c>
      <c r="S28" s="38">
        <f>100000*((P28+1)*(1-1/(9*(P28+1))+1.96/(3*SQRT(P28+1)))^3)/Q28</f>
        <v>531.7818182450646</v>
      </c>
      <c r="T28" s="53">
        <f t="shared" si="19"/>
        <v>1178.2252197265625</v>
      </c>
      <c r="U28" s="51">
        <f t="shared" si="20"/>
        <v>155.9251708984375</v>
      </c>
      <c r="V28" s="7"/>
      <c r="W28" s="27">
        <f t="shared" si="2"/>
        <v>-266.173095703125</v>
      </c>
      <c r="X28" s="27">
        <f t="shared" si="3"/>
        <v>1178.2252197265625</v>
      </c>
      <c r="Y28" s="27">
        <f t="shared" si="4"/>
        <v>-266.173095703125</v>
      </c>
      <c r="Z28" s="27">
        <f t="shared" si="5"/>
        <v>1178.2252197265625</v>
      </c>
      <c r="AA28" s="32">
        <f t="shared" si="6"/>
        <v>0.2922312094195391</v>
      </c>
      <c r="AB28" s="33">
        <f t="shared" si="7"/>
        <v>0.40730743880145137</v>
      </c>
      <c r="AC28" s="33">
        <v>0.5</v>
      </c>
      <c r="AD28" s="33">
        <f t="shared" si="8"/>
        <v>0.6319681849440072</v>
      </c>
      <c r="AE28" s="33">
        <f t="shared" si="9"/>
        <v>1</v>
      </c>
      <c r="AF28" s="33">
        <f t="shared" si="10"/>
        <v>-999</v>
      </c>
      <c r="AG28" s="33">
        <f t="shared" si="11"/>
        <v>-999</v>
      </c>
      <c r="AH28" s="33">
        <f t="shared" si="12"/>
        <v>0.32346131900183306</v>
      </c>
      <c r="AI28" s="34">
        <f t="shared" si="13"/>
        <v>0.5878656431695819</v>
      </c>
      <c r="AJ28" s="4">
        <v>25.297955225459287</v>
      </c>
      <c r="AK28" s="32">
        <f t="shared" si="14"/>
        <v>0.32346131900183306</v>
      </c>
      <c r="AL28" s="34">
        <f t="shared" si="15"/>
        <v>-999</v>
      </c>
      <c r="AY28" s="103" t="s">
        <v>241</v>
      </c>
      <c r="AZ28" s="103" t="s">
        <v>242</v>
      </c>
      <c r="BA28" s="103" t="s">
        <v>501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396</v>
      </c>
      <c r="BA29" s="103" t="s">
        <v>322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417</v>
      </c>
      <c r="BA31" s="103" t="s">
        <v>322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376</v>
      </c>
      <c r="BA32" s="103" t="s">
        <v>322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441</v>
      </c>
      <c r="BA33" s="103" t="s">
        <v>501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322</v>
      </c>
      <c r="BB34" s="10">
        <v>532801</v>
      </c>
      <c r="BE34" s="77"/>
      <c r="BF34" s="253"/>
    </row>
    <row r="35" spans="2:58" ht="12.75">
      <c r="B35" s="17" t="s">
        <v>41</v>
      </c>
      <c r="C35" s="18"/>
      <c r="H35" s="290" t="s">
        <v>551</v>
      </c>
      <c r="I35" s="291"/>
      <c r="Y35" s="43"/>
      <c r="Z35" s="44"/>
      <c r="AA35" s="44"/>
      <c r="AB35" s="43"/>
      <c r="AC35" s="43"/>
      <c r="AY35" s="103" t="s">
        <v>159</v>
      </c>
      <c r="AZ35" s="103" t="s">
        <v>409</v>
      </c>
      <c r="BA35" s="103" t="s">
        <v>322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398</v>
      </c>
      <c r="BA36" s="103" t="s">
        <v>322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415</v>
      </c>
      <c r="BA37" s="103" t="s">
        <v>322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322</v>
      </c>
      <c r="BB40" s="10">
        <v>714731</v>
      </c>
      <c r="BF40" s="252"/>
    </row>
    <row r="41" spans="1:58" ht="12.75">
      <c r="A41" s="3"/>
      <c r="B41" s="71"/>
      <c r="C41" s="3"/>
      <c r="T41" s="13"/>
      <c r="U41" s="2"/>
      <c r="W41" s="2"/>
      <c r="X41" s="10"/>
      <c r="Y41" s="44"/>
      <c r="Z41" s="44"/>
      <c r="AA41" s="44"/>
      <c r="AB41" s="44"/>
      <c r="AC41" s="44"/>
      <c r="AD41" s="2"/>
      <c r="AE41" s="2"/>
      <c r="AY41" s="103" t="s">
        <v>272</v>
      </c>
      <c r="AZ41" s="103" t="s">
        <v>442</v>
      </c>
      <c r="BA41" s="103" t="s">
        <v>501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439</v>
      </c>
      <c r="BA43" s="103" t="s">
        <v>322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427</v>
      </c>
      <c r="BA44" s="103" t="s">
        <v>322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418</v>
      </c>
      <c r="BA46" s="103" t="s">
        <v>501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422</v>
      </c>
      <c r="BA48" s="103" t="s">
        <v>501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433</v>
      </c>
      <c r="BA49" s="103" t="s">
        <v>501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399</v>
      </c>
      <c r="BA51" s="103" t="s">
        <v>322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322</v>
      </c>
      <c r="BB52" s="10">
        <v>611636</v>
      </c>
      <c r="BF52" s="252"/>
    </row>
    <row r="53" spans="1:58" ht="12.75">
      <c r="A53" s="3"/>
      <c r="B53" s="12"/>
      <c r="C53" s="3"/>
      <c r="I53" s="11"/>
      <c r="J53" s="11"/>
      <c r="K53" s="11"/>
      <c r="L53" s="11"/>
      <c r="S53" s="11"/>
      <c r="U53" s="2"/>
      <c r="X53" s="2"/>
      <c r="Y53" s="2"/>
      <c r="Z53" s="2"/>
      <c r="AA53" s="2"/>
      <c r="AB53" s="2"/>
      <c r="AY53" s="103" t="s">
        <v>244</v>
      </c>
      <c r="AZ53" s="103" t="s">
        <v>432</v>
      </c>
      <c r="BA53" s="103" t="s">
        <v>322</v>
      </c>
      <c r="BB53" s="10">
        <v>230998</v>
      </c>
      <c r="BF53" s="252"/>
    </row>
    <row r="54" spans="1:58" ht="12.75">
      <c r="A54" s="3"/>
      <c r="B54" s="12"/>
      <c r="C54" s="3"/>
      <c r="I54" s="11"/>
      <c r="J54" s="11"/>
      <c r="K54" s="11"/>
      <c r="L54" s="11"/>
      <c r="S54" s="11"/>
      <c r="U54" s="2"/>
      <c r="X54" s="2"/>
      <c r="Y54" s="2"/>
      <c r="Z54" s="2"/>
      <c r="AA54" s="2"/>
      <c r="AB54" s="2"/>
      <c r="AY54" s="103" t="s">
        <v>67</v>
      </c>
      <c r="AZ54" s="103" t="s">
        <v>373</v>
      </c>
      <c r="BA54" s="103" t="s">
        <v>322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419</v>
      </c>
      <c r="BA55" s="103" t="s">
        <v>322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389</v>
      </c>
      <c r="BA56" s="103" t="s">
        <v>322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434</v>
      </c>
      <c r="BA57" s="103" t="s">
        <v>322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379</v>
      </c>
      <c r="BA58" s="103" t="s">
        <v>322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423</v>
      </c>
      <c r="BA61" s="103" t="s">
        <v>501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412</v>
      </c>
      <c r="BA63" s="103" t="s">
        <v>322</v>
      </c>
      <c r="BB63" s="10">
        <v>318405</v>
      </c>
      <c r="BE63" s="70"/>
      <c r="BF63" s="239"/>
    </row>
    <row r="64" spans="1:58" ht="12.75">
      <c r="A64" s="3"/>
      <c r="B64" s="12"/>
      <c r="C64" s="3"/>
      <c r="I64" s="11"/>
      <c r="V64" s="3"/>
      <c r="AY64" s="103" t="s">
        <v>78</v>
      </c>
      <c r="AZ64" s="103" t="s">
        <v>380</v>
      </c>
      <c r="BA64" s="103" t="s">
        <v>501</v>
      </c>
      <c r="BB64" s="10">
        <v>181285</v>
      </c>
      <c r="BE64" s="70"/>
      <c r="BF64" s="241"/>
    </row>
    <row r="65" spans="1:58" ht="12.75">
      <c r="A65" s="3"/>
      <c r="B65" s="12"/>
      <c r="C65" s="3"/>
      <c r="AY65" s="103" t="s">
        <v>490</v>
      </c>
      <c r="AZ65" s="103" t="s">
        <v>491</v>
      </c>
      <c r="BA65" s="103" t="s">
        <v>322</v>
      </c>
      <c r="BB65" s="10">
        <v>1169302</v>
      </c>
      <c r="BE65" s="70"/>
      <c r="BF65" s="241"/>
    </row>
    <row r="66" spans="1:58" ht="12.75">
      <c r="A66" s="3"/>
      <c r="B66" s="12"/>
      <c r="C66" s="3"/>
      <c r="E66" s="2"/>
      <c r="F66" s="2"/>
      <c r="G66" s="2"/>
      <c r="V66" s="2"/>
      <c r="AY66" s="103" t="s">
        <v>200</v>
      </c>
      <c r="AZ66" s="103" t="s">
        <v>420</v>
      </c>
      <c r="BA66" s="103" t="s">
        <v>322</v>
      </c>
      <c r="BB66" s="10">
        <v>217916</v>
      </c>
      <c r="BE66" s="70"/>
      <c r="BF66" s="239"/>
    </row>
    <row r="67" spans="1:58" ht="12.75">
      <c r="A67" s="3"/>
      <c r="B67" s="12"/>
      <c r="C67" s="3"/>
      <c r="AY67" s="103" t="s">
        <v>69</v>
      </c>
      <c r="AZ67" s="103" t="s">
        <v>70</v>
      </c>
      <c r="BA67" s="103" t="s">
        <v>322</v>
      </c>
      <c r="BB67" s="10">
        <v>270842</v>
      </c>
      <c r="BE67" s="70"/>
      <c r="BF67" s="239"/>
    </row>
    <row r="68" spans="1:58" ht="12.75">
      <c r="A68" s="3"/>
      <c r="B68" s="12"/>
      <c r="C68" s="3"/>
      <c r="AY68" s="103" t="s">
        <v>109</v>
      </c>
      <c r="AZ68" s="103" t="s">
        <v>110</v>
      </c>
      <c r="BA68" s="103" t="s">
        <v>322</v>
      </c>
      <c r="BB68" s="10">
        <v>251613</v>
      </c>
      <c r="BF68" s="252"/>
    </row>
    <row r="69" spans="1:58" ht="12.75">
      <c r="A69" s="3"/>
      <c r="B69" s="12"/>
      <c r="C69" s="3"/>
      <c r="AY69" s="103" t="s">
        <v>209</v>
      </c>
      <c r="AZ69" s="103" t="s">
        <v>210</v>
      </c>
      <c r="BA69" s="103" t="s">
        <v>322</v>
      </c>
      <c r="BB69" s="10">
        <v>283547</v>
      </c>
      <c r="BE69" s="70"/>
      <c r="BF69" s="241"/>
    </row>
    <row r="70" spans="1:58" ht="12.75">
      <c r="A70" s="3"/>
      <c r="B70" s="12"/>
      <c r="C70" s="3"/>
      <c r="AY70" s="103" t="s">
        <v>275</v>
      </c>
      <c r="AZ70" s="103" t="s">
        <v>443</v>
      </c>
      <c r="BA70" s="103" t="s">
        <v>500</v>
      </c>
      <c r="BB70" s="10">
        <v>141474</v>
      </c>
      <c r="BE70" s="70"/>
      <c r="BF70" s="239"/>
    </row>
    <row r="71" spans="1:58" ht="12.75">
      <c r="A71" s="3"/>
      <c r="B71" s="12"/>
      <c r="C71" s="3"/>
      <c r="AY71" s="103" t="s">
        <v>127</v>
      </c>
      <c r="AZ71" s="103" t="s">
        <v>397</v>
      </c>
      <c r="BA71" s="103" t="s">
        <v>322</v>
      </c>
      <c r="BB71" s="10">
        <v>213326</v>
      </c>
      <c r="BE71" s="70"/>
      <c r="BF71" s="239"/>
    </row>
    <row r="72" spans="1:58" ht="12.75">
      <c r="A72" s="3"/>
      <c r="B72" s="12"/>
      <c r="C72" s="3"/>
      <c r="AY72" s="103" t="s">
        <v>136</v>
      </c>
      <c r="AZ72" s="103" t="s">
        <v>137</v>
      </c>
      <c r="BA72" s="103" t="s">
        <v>322</v>
      </c>
      <c r="BB72" s="10">
        <v>183220</v>
      </c>
      <c r="BE72" s="250"/>
      <c r="BF72" s="239"/>
    </row>
    <row r="73" spans="1:58" ht="12.75">
      <c r="A73" s="3"/>
      <c r="B73" s="12"/>
      <c r="C73" s="3"/>
      <c r="AY73" s="103" t="s">
        <v>64</v>
      </c>
      <c r="AZ73" s="103" t="s">
        <v>372</v>
      </c>
      <c r="BA73" s="103" t="s">
        <v>322</v>
      </c>
      <c r="BB73" s="10">
        <v>190143</v>
      </c>
      <c r="BE73" s="70"/>
      <c r="BF73" s="239"/>
    </row>
    <row r="74" spans="1:58" ht="12.75">
      <c r="A74" s="3"/>
      <c r="B74" s="12"/>
      <c r="C74" s="3"/>
      <c r="AY74" s="103" t="s">
        <v>165</v>
      </c>
      <c r="AZ74" s="103" t="s">
        <v>166</v>
      </c>
      <c r="BA74" s="103" t="s">
        <v>501</v>
      </c>
      <c r="BB74" s="10">
        <v>419928</v>
      </c>
      <c r="BE74" s="70"/>
      <c r="BF74" s="241"/>
    </row>
    <row r="75" spans="1:58" ht="12.75">
      <c r="A75" s="3"/>
      <c r="B75" s="12"/>
      <c r="C75" s="3"/>
      <c r="AY75" s="103" t="s">
        <v>113</v>
      </c>
      <c r="AZ75" s="103" t="s">
        <v>391</v>
      </c>
      <c r="BA75" s="103" t="s">
        <v>322</v>
      </c>
      <c r="BB75" s="10">
        <v>158106</v>
      </c>
      <c r="BE75" s="70"/>
      <c r="BF75" s="241"/>
    </row>
    <row r="76" spans="1:58" ht="12.75">
      <c r="A76" s="3"/>
      <c r="B76" s="12"/>
      <c r="C76" s="3"/>
      <c r="AY76" s="103" t="s">
        <v>140</v>
      </c>
      <c r="AZ76" s="103" t="s">
        <v>141</v>
      </c>
      <c r="BA76" s="103" t="s">
        <v>322</v>
      </c>
      <c r="BB76" s="10">
        <v>377807</v>
      </c>
      <c r="BE76" s="70"/>
      <c r="BF76" s="241"/>
    </row>
    <row r="77" spans="1:58" ht="12.75">
      <c r="A77" s="3"/>
      <c r="B77" s="12"/>
      <c r="C77" s="3"/>
      <c r="AY77" s="103" t="s">
        <v>163</v>
      </c>
      <c r="AZ77" s="103" t="s">
        <v>164</v>
      </c>
      <c r="BA77" s="103" t="s">
        <v>501</v>
      </c>
      <c r="BB77" s="10">
        <v>799634</v>
      </c>
      <c r="BE77" s="70"/>
      <c r="BF77" s="249"/>
    </row>
    <row r="78" spans="1:58" ht="12.75">
      <c r="A78" s="3"/>
      <c r="B78" s="12"/>
      <c r="C78" s="3"/>
      <c r="AY78" s="103" t="s">
        <v>224</v>
      </c>
      <c r="AZ78" s="103" t="s">
        <v>225</v>
      </c>
      <c r="BA78" s="103" t="s">
        <v>322</v>
      </c>
      <c r="BB78" s="10">
        <v>362638</v>
      </c>
      <c r="BE78" s="70"/>
      <c r="BF78" s="239"/>
    </row>
    <row r="79" spans="1:58" ht="12.75">
      <c r="A79" s="3"/>
      <c r="B79" s="12"/>
      <c r="C79" s="3"/>
      <c r="AY79" s="103" t="s">
        <v>223</v>
      </c>
      <c r="AZ79" s="103" t="s">
        <v>425</v>
      </c>
      <c r="BA79" s="103" t="s">
        <v>322</v>
      </c>
      <c r="BB79" s="10">
        <v>678998</v>
      </c>
      <c r="BF79" s="239"/>
    </row>
    <row r="80" spans="1:58" ht="12.75">
      <c r="A80" s="3"/>
      <c r="B80" s="12"/>
      <c r="C80" s="3"/>
      <c r="AY80" s="103" t="s">
        <v>144</v>
      </c>
      <c r="AZ80" s="103" t="s">
        <v>145</v>
      </c>
      <c r="BA80" s="103" t="s">
        <v>322</v>
      </c>
      <c r="BB80" s="10">
        <v>290986</v>
      </c>
      <c r="BF80" s="252"/>
    </row>
    <row r="81" spans="1:58" ht="12.75">
      <c r="A81" s="3"/>
      <c r="B81" s="12"/>
      <c r="C81" s="3"/>
      <c r="AY81" s="103" t="s">
        <v>178</v>
      </c>
      <c r="AZ81" s="103" t="s">
        <v>414</v>
      </c>
      <c r="BA81" s="103" t="s">
        <v>501</v>
      </c>
      <c r="BB81" s="10">
        <v>747976</v>
      </c>
      <c r="BF81" s="252"/>
    </row>
    <row r="82" spans="1:58" ht="12.75">
      <c r="A82" s="3"/>
      <c r="B82" s="12"/>
      <c r="C82" s="3"/>
      <c r="AY82" s="103" t="s">
        <v>193</v>
      </c>
      <c r="AZ82" s="103" t="s">
        <v>194</v>
      </c>
      <c r="BA82" s="103" t="s">
        <v>322</v>
      </c>
      <c r="BB82" s="10">
        <v>489140</v>
      </c>
      <c r="BF82" s="252"/>
    </row>
    <row r="83" spans="1:58" ht="12.75">
      <c r="A83" s="3"/>
      <c r="B83" s="12"/>
      <c r="C83" s="3"/>
      <c r="AY83" s="103" t="s">
        <v>98</v>
      </c>
      <c r="AZ83" s="103" t="s">
        <v>388</v>
      </c>
      <c r="BA83" s="103" t="s">
        <v>501</v>
      </c>
      <c r="BB83" s="10">
        <v>208442</v>
      </c>
      <c r="BE83" s="70"/>
      <c r="BF83" s="241"/>
    </row>
    <row r="84" spans="1:58" ht="12.75">
      <c r="A84" s="3"/>
      <c r="B84" s="12"/>
      <c r="C84" s="3"/>
      <c r="AY84" s="103" t="s">
        <v>203</v>
      </c>
      <c r="AZ84" s="103" t="s">
        <v>204</v>
      </c>
      <c r="BA84" s="103" t="s">
        <v>501</v>
      </c>
      <c r="BB84" s="10">
        <v>545543</v>
      </c>
      <c r="BE84" s="70"/>
      <c r="BF84" s="241"/>
    </row>
    <row r="85" spans="1:58" ht="12.75">
      <c r="A85" s="3"/>
      <c r="B85" s="12"/>
      <c r="C85" s="3"/>
      <c r="AY85" s="103" t="s">
        <v>135</v>
      </c>
      <c r="AZ85" s="103" t="s">
        <v>403</v>
      </c>
      <c r="BA85" s="103" t="s">
        <v>501</v>
      </c>
      <c r="BB85" s="10">
        <v>274067</v>
      </c>
      <c r="BE85" s="70"/>
      <c r="BF85" s="241"/>
    </row>
    <row r="86" spans="1:58" ht="12.75">
      <c r="A86" s="3"/>
      <c r="B86" s="12"/>
      <c r="C86" s="3"/>
      <c r="AY86" s="103" t="s">
        <v>251</v>
      </c>
      <c r="AZ86" s="103" t="s">
        <v>252</v>
      </c>
      <c r="BA86" s="103" t="s">
        <v>501</v>
      </c>
      <c r="BB86" s="10">
        <v>374861</v>
      </c>
      <c r="BE86" s="70"/>
      <c r="BF86" s="249"/>
    </row>
    <row r="87" spans="1:58" ht="12.75">
      <c r="A87" s="3"/>
      <c r="B87" s="12"/>
      <c r="C87" s="3"/>
      <c r="AY87" s="103" t="s">
        <v>132</v>
      </c>
      <c r="AZ87" s="103" t="s">
        <v>133</v>
      </c>
      <c r="BA87" s="103" t="s">
        <v>322</v>
      </c>
      <c r="BB87" s="10">
        <v>153833</v>
      </c>
      <c r="BE87" s="70"/>
      <c r="BF87" s="249"/>
    </row>
    <row r="88" spans="1:58" ht="12.75">
      <c r="A88" s="3"/>
      <c r="B88" s="12"/>
      <c r="C88" s="3"/>
      <c r="AY88" s="103" t="s">
        <v>79</v>
      </c>
      <c r="AZ88" s="103" t="s">
        <v>80</v>
      </c>
      <c r="BA88" s="103" t="s">
        <v>501</v>
      </c>
      <c r="BB88" s="10">
        <v>258492</v>
      </c>
      <c r="BE88" s="70"/>
      <c r="BF88" s="241"/>
    </row>
    <row r="89" spans="1:58" ht="12.75">
      <c r="A89" s="3"/>
      <c r="B89" s="12"/>
      <c r="C89" s="3"/>
      <c r="AY89" s="103" t="s">
        <v>81</v>
      </c>
      <c r="AZ89" s="103" t="s">
        <v>381</v>
      </c>
      <c r="BA89" s="103" t="s">
        <v>322</v>
      </c>
      <c r="BB89" s="10">
        <v>283085</v>
      </c>
      <c r="BE89" s="70"/>
      <c r="BF89" s="241"/>
    </row>
    <row r="90" spans="1:58" ht="12.75">
      <c r="A90" s="3"/>
      <c r="B90" s="12"/>
      <c r="C90" s="3"/>
      <c r="AY90" s="103" t="s">
        <v>76</v>
      </c>
      <c r="AZ90" s="103" t="s">
        <v>378</v>
      </c>
      <c r="BA90" s="103" t="s">
        <v>322</v>
      </c>
      <c r="BB90" s="10">
        <v>357346</v>
      </c>
      <c r="BE90" s="70"/>
      <c r="BF90" s="241"/>
    </row>
    <row r="91" spans="1:58" ht="12.75">
      <c r="A91" s="3"/>
      <c r="B91" s="12"/>
      <c r="C91" s="3"/>
      <c r="AY91" s="103" t="s">
        <v>243</v>
      </c>
      <c r="AZ91" s="103" t="s">
        <v>431</v>
      </c>
      <c r="BA91" s="103" t="s">
        <v>501</v>
      </c>
      <c r="BB91" s="10">
        <v>748575</v>
      </c>
      <c r="BE91" s="247"/>
      <c r="BF91" s="249"/>
    </row>
    <row r="92" spans="1:58" ht="12.75">
      <c r="A92" s="3"/>
      <c r="B92" s="12"/>
      <c r="C92" s="3"/>
      <c r="AY92" s="103" t="s">
        <v>249</v>
      </c>
      <c r="AZ92" s="103" t="s">
        <v>250</v>
      </c>
      <c r="BA92" s="103" t="s">
        <v>501</v>
      </c>
      <c r="BB92" s="10">
        <v>322673</v>
      </c>
      <c r="BE92" s="247"/>
      <c r="BF92" s="249"/>
    </row>
    <row r="93" spans="1:58" ht="12.75">
      <c r="A93" s="3"/>
      <c r="B93" s="12"/>
      <c r="C93" s="3"/>
      <c r="AY93" s="103" t="s">
        <v>58</v>
      </c>
      <c r="AZ93" s="103" t="s">
        <v>59</v>
      </c>
      <c r="BA93" s="103" t="s">
        <v>322</v>
      </c>
      <c r="BB93" s="10">
        <v>165284</v>
      </c>
      <c r="BF93" s="252"/>
    </row>
    <row r="94" spans="1:58" ht="12.75">
      <c r="A94" s="3"/>
      <c r="B94" s="12"/>
      <c r="C94" s="3"/>
      <c r="AY94" s="103" t="s">
        <v>186</v>
      </c>
      <c r="AZ94" s="103" t="s">
        <v>416</v>
      </c>
      <c r="BA94" s="103" t="s">
        <v>322</v>
      </c>
      <c r="BB94" s="10">
        <v>339272</v>
      </c>
      <c r="BE94" s="70"/>
      <c r="BF94" s="241"/>
    </row>
    <row r="95" spans="1:58" ht="12.75">
      <c r="A95" s="3"/>
      <c r="B95" s="12"/>
      <c r="C95" s="3"/>
      <c r="AY95" s="103" t="s">
        <v>86</v>
      </c>
      <c r="AZ95" s="103" t="s">
        <v>87</v>
      </c>
      <c r="BA95" s="103" t="s">
        <v>322</v>
      </c>
      <c r="BB95" s="10">
        <v>165642</v>
      </c>
      <c r="BE95" s="247"/>
      <c r="BF95" s="249"/>
    </row>
    <row r="96" spans="1:58" ht="12.75">
      <c r="A96" s="3"/>
      <c r="B96" s="12"/>
      <c r="C96" s="3"/>
      <c r="AY96" s="103" t="s">
        <v>157</v>
      </c>
      <c r="AZ96" s="103" t="s">
        <v>158</v>
      </c>
      <c r="BA96" s="103" t="s">
        <v>322</v>
      </c>
      <c r="BB96" s="10">
        <v>208351</v>
      </c>
      <c r="BE96" s="243"/>
      <c r="BF96" s="238"/>
    </row>
    <row r="97" spans="1:58" ht="12.75">
      <c r="A97" s="3"/>
      <c r="B97" s="12"/>
      <c r="C97" s="3"/>
      <c r="AY97" s="103" t="s">
        <v>231</v>
      </c>
      <c r="AZ97" s="103" t="s">
        <v>232</v>
      </c>
      <c r="BA97" s="103" t="s">
        <v>322</v>
      </c>
      <c r="BB97" s="10">
        <v>203178</v>
      </c>
      <c r="BE97" s="243"/>
      <c r="BF97" s="238"/>
    </row>
    <row r="98" spans="1:58" ht="12.75">
      <c r="A98" s="3"/>
      <c r="B98" s="12"/>
      <c r="C98" s="3"/>
      <c r="AY98" s="103" t="s">
        <v>82</v>
      </c>
      <c r="AZ98" s="103" t="s">
        <v>382</v>
      </c>
      <c r="BA98" s="103" t="s">
        <v>322</v>
      </c>
      <c r="BB98" s="10">
        <v>214052</v>
      </c>
      <c r="BE98" s="248"/>
      <c r="BF98" s="241"/>
    </row>
    <row r="99" spans="1:58" ht="12.75">
      <c r="A99" s="3"/>
      <c r="B99" s="12"/>
      <c r="C99" s="3"/>
      <c r="AY99" s="103" t="s">
        <v>205</v>
      </c>
      <c r="AZ99" s="103" t="s">
        <v>206</v>
      </c>
      <c r="BA99" s="103" t="s">
        <v>501</v>
      </c>
      <c r="BB99" s="10">
        <v>795503</v>
      </c>
      <c r="BE99" s="70"/>
      <c r="BF99" s="249"/>
    </row>
    <row r="100" spans="1:58" ht="12.75">
      <c r="A100" s="3"/>
      <c r="B100" s="12"/>
      <c r="C100" s="3"/>
      <c r="AY100" s="103" t="s">
        <v>226</v>
      </c>
      <c r="AZ100" s="103" t="s">
        <v>426</v>
      </c>
      <c r="BA100" s="103" t="s">
        <v>322</v>
      </c>
      <c r="BB100" s="10">
        <v>648340</v>
      </c>
      <c r="BE100" s="70"/>
      <c r="BF100" s="249"/>
    </row>
    <row r="101" spans="51:58" ht="12.75">
      <c r="AY101" s="103" t="s">
        <v>51</v>
      </c>
      <c r="AZ101" s="103" t="s">
        <v>52</v>
      </c>
      <c r="BA101" s="103" t="s">
        <v>322</v>
      </c>
      <c r="BB101" s="10">
        <v>320818</v>
      </c>
      <c r="BE101" s="237"/>
      <c r="BF101" s="238"/>
    </row>
    <row r="102" spans="51:58" ht="12.75">
      <c r="AY102" s="103" t="s">
        <v>88</v>
      </c>
      <c r="AZ102" s="103" t="s">
        <v>89</v>
      </c>
      <c r="BA102" s="103" t="s">
        <v>322</v>
      </c>
      <c r="BB102" s="10">
        <v>339920</v>
      </c>
      <c r="BE102" s="237"/>
      <c r="BF102" s="238"/>
    </row>
    <row r="103" spans="51:58" ht="12.75">
      <c r="AY103" s="103" t="s">
        <v>177</v>
      </c>
      <c r="AZ103" s="103" t="s">
        <v>413</v>
      </c>
      <c r="BA103" s="103" t="s">
        <v>322</v>
      </c>
      <c r="BB103" s="10">
        <v>656875</v>
      </c>
      <c r="BE103" s="70"/>
      <c r="BF103" s="239"/>
    </row>
    <row r="104" spans="51:58" ht="12.75">
      <c r="AY104" s="103" t="s">
        <v>114</v>
      </c>
      <c r="AZ104" s="103" t="s">
        <v>392</v>
      </c>
      <c r="BA104" s="103" t="s">
        <v>322</v>
      </c>
      <c r="BB104" s="10">
        <v>236592</v>
      </c>
      <c r="BF104" s="252"/>
    </row>
    <row r="105" spans="51:58" ht="12.75">
      <c r="AY105" s="103" t="s">
        <v>259</v>
      </c>
      <c r="AZ105" s="103" t="s">
        <v>435</v>
      </c>
      <c r="BA105" s="103" t="s">
        <v>501</v>
      </c>
      <c r="BB105" s="10">
        <v>671572</v>
      </c>
      <c r="BE105" s="237"/>
      <c r="BF105" s="238"/>
    </row>
    <row r="106" spans="51:58" ht="12.75">
      <c r="AY106" s="103" t="s">
        <v>239</v>
      </c>
      <c r="AZ106" s="103" t="s">
        <v>240</v>
      </c>
      <c r="BA106" s="103" t="s">
        <v>501</v>
      </c>
      <c r="BB106" s="10">
        <v>177882</v>
      </c>
      <c r="BF106" s="252"/>
    </row>
    <row r="107" spans="51:58" ht="12.75">
      <c r="AY107" s="103" t="s">
        <v>91</v>
      </c>
      <c r="AZ107" s="103" t="s">
        <v>385</v>
      </c>
      <c r="BA107" s="103" t="s">
        <v>322</v>
      </c>
      <c r="BB107" s="10">
        <v>274443</v>
      </c>
      <c r="BF107" s="252"/>
    </row>
    <row r="108" spans="51:58" ht="12.75">
      <c r="AY108" s="103" t="s">
        <v>95</v>
      </c>
      <c r="AZ108" s="103" t="s">
        <v>387</v>
      </c>
      <c r="BA108" s="103" t="s">
        <v>322</v>
      </c>
      <c r="BB108" s="10">
        <v>213174</v>
      </c>
      <c r="BE108" s="70"/>
      <c r="BF108" s="239"/>
    </row>
    <row r="109" spans="51:58" ht="12.75">
      <c r="AY109" s="103" t="s">
        <v>179</v>
      </c>
      <c r="AZ109" s="103" t="s">
        <v>180</v>
      </c>
      <c r="BA109" s="103" t="s">
        <v>322</v>
      </c>
      <c r="BB109" s="10">
        <v>278950</v>
      </c>
      <c r="BE109" s="237"/>
      <c r="BF109" s="238"/>
    </row>
    <row r="110" spans="51:58" ht="12.75">
      <c r="AY110" s="103" t="s">
        <v>273</v>
      </c>
      <c r="AZ110" s="103" t="s">
        <v>274</v>
      </c>
      <c r="BA110" s="103" t="s">
        <v>322</v>
      </c>
      <c r="BB110" s="10">
        <v>133304</v>
      </c>
      <c r="BE110" s="70"/>
      <c r="BF110" s="249"/>
    </row>
    <row r="111" spans="51:58" ht="12.75">
      <c r="AY111" s="103" t="s">
        <v>155</v>
      </c>
      <c r="AZ111" s="103" t="s">
        <v>407</v>
      </c>
      <c r="BA111" s="103" t="s">
        <v>322</v>
      </c>
      <c r="BB111" s="10">
        <v>197060</v>
      </c>
      <c r="BE111" s="70"/>
      <c r="BF111" s="239"/>
    </row>
    <row r="112" spans="51:58" ht="12.75">
      <c r="AY112" s="103" t="s">
        <v>100</v>
      </c>
      <c r="AZ112" s="103" t="s">
        <v>101</v>
      </c>
      <c r="BA112" s="103" t="s">
        <v>322</v>
      </c>
      <c r="BB112" s="10">
        <v>253140</v>
      </c>
      <c r="BE112" s="250"/>
      <c r="BF112" s="249"/>
    </row>
    <row r="113" spans="51:58" ht="12.75">
      <c r="AY113" s="103" t="s">
        <v>92</v>
      </c>
      <c r="AZ113" s="103" t="s">
        <v>93</v>
      </c>
      <c r="BA113" s="103" t="s">
        <v>322</v>
      </c>
      <c r="BB113" s="10">
        <v>240983</v>
      </c>
      <c r="BE113" s="70"/>
      <c r="BF113" s="241"/>
    </row>
    <row r="114" spans="51:58" ht="12.75">
      <c r="AY114" s="103" t="s">
        <v>228</v>
      </c>
      <c r="AZ114" s="103" t="s">
        <v>428</v>
      </c>
      <c r="BA114" s="103" t="s">
        <v>322</v>
      </c>
      <c r="BB114" s="10">
        <v>340451</v>
      </c>
      <c r="BF114" s="241"/>
    </row>
    <row r="115" spans="51:58" ht="12.75">
      <c r="AY115" s="103" t="s">
        <v>189</v>
      </c>
      <c r="AZ115" s="103" t="s">
        <v>190</v>
      </c>
      <c r="BA115" s="103" t="s">
        <v>322</v>
      </c>
      <c r="BB115" s="10">
        <v>280673</v>
      </c>
      <c r="BE115" s="248"/>
      <c r="BF115" s="241"/>
    </row>
    <row r="116" spans="51:58" ht="12.75">
      <c r="AY116" s="103" t="s">
        <v>169</v>
      </c>
      <c r="AZ116" s="103" t="s">
        <v>170</v>
      </c>
      <c r="BA116" s="103" t="s">
        <v>322</v>
      </c>
      <c r="BB116" s="10">
        <v>565874</v>
      </c>
      <c r="BE116" s="70"/>
      <c r="BF116" s="239"/>
    </row>
    <row r="117" spans="51:58" ht="12.75">
      <c r="AY117" s="103" t="s">
        <v>152</v>
      </c>
      <c r="AZ117" s="103" t="s">
        <v>406</v>
      </c>
      <c r="BA117" s="103" t="s">
        <v>501</v>
      </c>
      <c r="BB117" s="10">
        <v>295379</v>
      </c>
      <c r="BE117" s="237"/>
      <c r="BF117" s="238"/>
    </row>
    <row r="118" spans="51:58" ht="12.75">
      <c r="AY118" s="103" t="s">
        <v>56</v>
      </c>
      <c r="AZ118" s="103" t="s">
        <v>57</v>
      </c>
      <c r="BA118" s="103" t="s">
        <v>322</v>
      </c>
      <c r="BB118" s="10">
        <v>217094</v>
      </c>
      <c r="BE118" s="70"/>
      <c r="BF118" s="239"/>
    </row>
    <row r="119" spans="51:58" ht="12.75">
      <c r="AY119" s="103" t="s">
        <v>268</v>
      </c>
      <c r="AZ119" s="103" t="s">
        <v>438</v>
      </c>
      <c r="BA119" s="103" t="s">
        <v>322</v>
      </c>
      <c r="BB119" s="10">
        <v>538131</v>
      </c>
      <c r="BE119" s="70"/>
      <c r="BF119" s="239"/>
    </row>
    <row r="120" spans="51:58" ht="12.75">
      <c r="AY120" s="103" t="s">
        <v>150</v>
      </c>
      <c r="AZ120" s="103" t="s">
        <v>151</v>
      </c>
      <c r="BA120" s="103" t="s">
        <v>501</v>
      </c>
      <c r="BB120" s="10">
        <v>389725</v>
      </c>
      <c r="BE120" s="70"/>
      <c r="BF120" s="239"/>
    </row>
    <row r="121" spans="51:58" ht="12.75">
      <c r="AY121" s="103" t="s">
        <v>212</v>
      </c>
      <c r="AZ121" s="103" t="s">
        <v>213</v>
      </c>
      <c r="BA121" s="103" t="s">
        <v>501</v>
      </c>
      <c r="BB121" s="10">
        <v>356812</v>
      </c>
      <c r="BE121" s="237"/>
      <c r="BF121" s="238"/>
    </row>
    <row r="122" spans="51:58" ht="12.75">
      <c r="AY122" s="103" t="s">
        <v>60</v>
      </c>
      <c r="AZ122" s="103" t="s">
        <v>61</v>
      </c>
      <c r="BA122" s="103" t="s">
        <v>322</v>
      </c>
      <c r="BB122" s="10">
        <v>256321</v>
      </c>
      <c r="BE122" s="70"/>
      <c r="BF122" s="249"/>
    </row>
    <row r="123" spans="51:58" ht="12.75">
      <c r="AY123" s="103" t="s">
        <v>234</v>
      </c>
      <c r="AZ123" s="103" t="s">
        <v>430</v>
      </c>
      <c r="BA123" s="103" t="s">
        <v>501</v>
      </c>
      <c r="BB123" s="10">
        <v>615835</v>
      </c>
      <c r="BF123" s="252"/>
    </row>
    <row r="124" spans="51:58" ht="12.75">
      <c r="AY124" s="103" t="s">
        <v>130</v>
      </c>
      <c r="AZ124" s="103" t="s">
        <v>400</v>
      </c>
      <c r="BA124" s="103" t="s">
        <v>322</v>
      </c>
      <c r="BB124" s="10">
        <v>150179</v>
      </c>
      <c r="BF124" s="252"/>
    </row>
    <row r="125" spans="51:58" ht="12.75">
      <c r="AY125" s="103" t="s">
        <v>253</v>
      </c>
      <c r="AZ125" s="103" t="s">
        <v>254</v>
      </c>
      <c r="BA125" s="103" t="s">
        <v>322</v>
      </c>
      <c r="BB125" s="10">
        <v>420503</v>
      </c>
      <c r="BE125" s="70"/>
      <c r="BF125" s="249"/>
    </row>
    <row r="126" spans="51:58" ht="12.75">
      <c r="AY126" s="103" t="s">
        <v>134</v>
      </c>
      <c r="AZ126" s="103" t="s">
        <v>402</v>
      </c>
      <c r="BA126" s="103" t="s">
        <v>322</v>
      </c>
      <c r="BB126" s="10">
        <v>263936</v>
      </c>
      <c r="BE126" s="70"/>
      <c r="BF126" s="239"/>
    </row>
    <row r="127" spans="51:58" ht="12.75">
      <c r="AY127" s="103" t="s">
        <v>142</v>
      </c>
      <c r="AZ127" s="103" t="s">
        <v>143</v>
      </c>
      <c r="BA127" s="103" t="s">
        <v>322</v>
      </c>
      <c r="BB127" s="10">
        <v>308593</v>
      </c>
      <c r="BF127" s="252"/>
    </row>
    <row r="128" spans="51:58" ht="12.75">
      <c r="AY128" s="103" t="s">
        <v>94</v>
      </c>
      <c r="AZ128" s="103" t="s">
        <v>386</v>
      </c>
      <c r="BA128" s="103" t="s">
        <v>501</v>
      </c>
      <c r="BB128" s="10">
        <v>298190</v>
      </c>
      <c r="BE128" s="250"/>
      <c r="BF128" s="249"/>
    </row>
    <row r="129" spans="51:58" ht="12.75">
      <c r="AY129" s="103" t="s">
        <v>85</v>
      </c>
      <c r="AZ129" s="103" t="s">
        <v>383</v>
      </c>
      <c r="BA129" s="103" t="s">
        <v>322</v>
      </c>
      <c r="BB129" s="10">
        <v>191885</v>
      </c>
      <c r="BE129" s="70"/>
      <c r="BF129" s="249"/>
    </row>
    <row r="130" spans="51:58" ht="12.75">
      <c r="AY130" s="103" t="s">
        <v>233</v>
      </c>
      <c r="AZ130" s="103" t="s">
        <v>429</v>
      </c>
      <c r="BA130" s="103" t="s">
        <v>322</v>
      </c>
      <c r="BB130" s="10">
        <v>268223</v>
      </c>
      <c r="BE130" s="70"/>
      <c r="BF130" s="249"/>
    </row>
    <row r="131" spans="51:58" ht="12.75">
      <c r="AY131" s="103" t="s">
        <v>245</v>
      </c>
      <c r="AZ131" s="103" t="s">
        <v>246</v>
      </c>
      <c r="BA131" s="103" t="s">
        <v>501</v>
      </c>
      <c r="BB131" s="10">
        <v>616983</v>
      </c>
      <c r="BE131" s="247"/>
      <c r="BF131" s="249"/>
    </row>
    <row r="132" spans="51:58" ht="12.75">
      <c r="AY132" s="103" t="s">
        <v>131</v>
      </c>
      <c r="AZ132" s="103" t="s">
        <v>401</v>
      </c>
      <c r="BA132" s="103" t="s">
        <v>322</v>
      </c>
      <c r="BB132" s="10">
        <v>283991</v>
      </c>
      <c r="BE132" s="247"/>
      <c r="BF132" s="249"/>
    </row>
    <row r="133" spans="51:58" ht="12.75">
      <c r="AY133" s="103" t="s">
        <v>216</v>
      </c>
      <c r="AZ133" s="103" t="s">
        <v>217</v>
      </c>
      <c r="BA133" s="103" t="s">
        <v>322</v>
      </c>
      <c r="BB133" s="10">
        <v>1156805</v>
      </c>
      <c r="BE133" s="247"/>
      <c r="BF133" s="251"/>
    </row>
    <row r="134" spans="51:58" ht="12.75">
      <c r="AY134" s="103" t="s">
        <v>156</v>
      </c>
      <c r="AZ134" s="103" t="s">
        <v>408</v>
      </c>
      <c r="BA134" s="103" t="s">
        <v>322</v>
      </c>
      <c r="BB134" s="10">
        <v>390971</v>
      </c>
      <c r="BE134" s="243"/>
      <c r="BF134" s="238"/>
    </row>
    <row r="135" spans="51:58" ht="12.75">
      <c r="AY135" s="103" t="s">
        <v>121</v>
      </c>
      <c r="AZ135" s="103" t="s">
        <v>122</v>
      </c>
      <c r="BA135" s="103" t="s">
        <v>500</v>
      </c>
      <c r="BB135" s="10">
        <v>218182</v>
      </c>
      <c r="BE135" s="250"/>
      <c r="BF135" s="249"/>
    </row>
    <row r="136" spans="51:58" ht="12.75">
      <c r="AY136" s="103" t="s">
        <v>148</v>
      </c>
      <c r="AZ136" s="103" t="s">
        <v>404</v>
      </c>
      <c r="BA136" s="103" t="s">
        <v>501</v>
      </c>
      <c r="BB136" s="10">
        <v>236598</v>
      </c>
      <c r="BE136" s="237"/>
      <c r="BF136" s="238"/>
    </row>
    <row r="137" spans="51:58" ht="12.75">
      <c r="AY137" s="103" t="s">
        <v>160</v>
      </c>
      <c r="AZ137" s="103" t="s">
        <v>410</v>
      </c>
      <c r="BA137" s="103" t="s">
        <v>501</v>
      </c>
      <c r="BB137" s="10">
        <v>165993</v>
      </c>
      <c r="BF137" s="252"/>
    </row>
    <row r="138" spans="51:58" ht="12.75">
      <c r="AY138" s="103" t="s">
        <v>54</v>
      </c>
      <c r="AZ138" s="103" t="s">
        <v>55</v>
      </c>
      <c r="BA138" s="103" t="s">
        <v>322</v>
      </c>
      <c r="BB138" s="10">
        <v>145889</v>
      </c>
      <c r="BE138" s="70"/>
      <c r="BF138" s="239"/>
    </row>
    <row r="139" spans="51:58" ht="12.75">
      <c r="AY139" s="103" t="s">
        <v>75</v>
      </c>
      <c r="AZ139" s="103" t="s">
        <v>377</v>
      </c>
      <c r="BA139" s="103" t="s">
        <v>322</v>
      </c>
      <c r="BB139" s="10">
        <v>267393</v>
      </c>
      <c r="BE139" s="237"/>
      <c r="BF139" s="238"/>
    </row>
    <row r="140" spans="51:58" ht="12.75">
      <c r="AY140" s="103" t="s">
        <v>201</v>
      </c>
      <c r="AZ140" s="103" t="s">
        <v>202</v>
      </c>
      <c r="BA140" s="103" t="s">
        <v>501</v>
      </c>
      <c r="BB140" s="10">
        <v>232551</v>
      </c>
      <c r="BE140" s="70"/>
      <c r="BF140" s="239"/>
    </row>
    <row r="141" spans="51:58" ht="12.75">
      <c r="AY141" s="103" t="s">
        <v>167</v>
      </c>
      <c r="AZ141" s="103" t="s">
        <v>168</v>
      </c>
      <c r="BA141" s="103" t="s">
        <v>501</v>
      </c>
      <c r="BB141" s="10">
        <v>350958</v>
      </c>
      <c r="BE141" s="70"/>
      <c r="BF141" s="239"/>
    </row>
    <row r="142" spans="51:58" ht="12.75">
      <c r="AY142" s="103" t="s">
        <v>153</v>
      </c>
      <c r="AZ142" s="103" t="s">
        <v>154</v>
      </c>
      <c r="BA142" s="103" t="s">
        <v>322</v>
      </c>
      <c r="BB142" s="10">
        <v>265654</v>
      </c>
      <c r="BE142" s="70"/>
      <c r="BF142" s="241"/>
    </row>
    <row r="143" spans="51:58" ht="12.75">
      <c r="AY143" s="103" t="s">
        <v>181</v>
      </c>
      <c r="AZ143" s="103" t="s">
        <v>182</v>
      </c>
      <c r="BA143" s="103" t="s">
        <v>322</v>
      </c>
      <c r="BB143" s="10">
        <v>284466</v>
      </c>
      <c r="BE143" s="70"/>
      <c r="BF143" s="249"/>
    </row>
    <row r="144" spans="51:58" ht="12.75">
      <c r="AY144" s="103" t="s">
        <v>146</v>
      </c>
      <c r="AZ144" s="103" t="s">
        <v>147</v>
      </c>
      <c r="BA144" s="103" t="s">
        <v>322</v>
      </c>
      <c r="BB144" s="10">
        <v>319933</v>
      </c>
      <c r="BE144" s="70"/>
      <c r="BF144" s="241"/>
    </row>
    <row r="145" spans="51:58" ht="12.75">
      <c r="AY145" s="103" t="s">
        <v>111</v>
      </c>
      <c r="AZ145" s="103" t="s">
        <v>112</v>
      </c>
      <c r="BA145" s="103" t="s">
        <v>322</v>
      </c>
      <c r="BB145" s="10">
        <v>192336</v>
      </c>
      <c r="BE145" s="248"/>
      <c r="BF145" s="249"/>
    </row>
    <row r="146" spans="51:58" ht="12.75">
      <c r="AY146" s="103" t="s">
        <v>237</v>
      </c>
      <c r="AZ146" s="103" t="s">
        <v>238</v>
      </c>
      <c r="BA146" s="103" t="s">
        <v>322</v>
      </c>
      <c r="BB146" s="10">
        <v>548313</v>
      </c>
      <c r="BF146" s="252"/>
    </row>
    <row r="147" spans="51:58" ht="12.75">
      <c r="AY147" s="103" t="s">
        <v>247</v>
      </c>
      <c r="AZ147" s="103" t="s">
        <v>248</v>
      </c>
      <c r="BA147" s="103" t="s">
        <v>322</v>
      </c>
      <c r="BB147" s="10">
        <v>287229</v>
      </c>
      <c r="BF147" s="252"/>
    </row>
    <row r="148" spans="51:58" ht="12.75">
      <c r="AY148" s="103" t="s">
        <v>222</v>
      </c>
      <c r="AZ148" s="103" t="s">
        <v>424</v>
      </c>
      <c r="BA148" s="103" t="s">
        <v>501</v>
      </c>
      <c r="BB148" s="10">
        <v>707573</v>
      </c>
      <c r="BF148" s="252"/>
    </row>
    <row r="149" spans="51:58" ht="12.75">
      <c r="AY149" s="103" t="s">
        <v>218</v>
      </c>
      <c r="AZ149" s="103" t="s">
        <v>219</v>
      </c>
      <c r="BA149" s="103" t="s">
        <v>501</v>
      </c>
      <c r="BB149" s="10">
        <v>825533</v>
      </c>
      <c r="BE149" s="248"/>
      <c r="BF149" s="249"/>
    </row>
    <row r="150" spans="51:58" ht="12.75">
      <c r="AY150" s="103" t="s">
        <v>196</v>
      </c>
      <c r="AZ150" s="103" t="s">
        <v>197</v>
      </c>
      <c r="BA150" s="103" t="s">
        <v>322</v>
      </c>
      <c r="BB150" s="10">
        <v>259945</v>
      </c>
      <c r="BF150" s="252"/>
    </row>
    <row r="151" spans="51:58" ht="12.75">
      <c r="AY151" s="103" t="s">
        <v>138</v>
      </c>
      <c r="AZ151" s="103" t="s">
        <v>139</v>
      </c>
      <c r="BA151" s="103" t="s">
        <v>322</v>
      </c>
      <c r="BB151" s="10">
        <v>246573</v>
      </c>
      <c r="BF151" s="252"/>
    </row>
    <row r="152" spans="51:58" ht="12.75">
      <c r="AY152" s="103" t="s">
        <v>266</v>
      </c>
      <c r="AZ152" s="103" t="s">
        <v>267</v>
      </c>
      <c r="BA152" s="103" t="s">
        <v>501</v>
      </c>
      <c r="BB152" s="10">
        <v>462395</v>
      </c>
      <c r="BE152" s="250"/>
      <c r="BF152" s="239"/>
    </row>
    <row r="153" spans="51:58" ht="12.75">
      <c r="AY153" s="103" t="s">
        <v>191</v>
      </c>
      <c r="AZ153" s="103" t="s">
        <v>192</v>
      </c>
      <c r="BA153" s="103" t="s">
        <v>322</v>
      </c>
      <c r="BB153" s="10">
        <v>332176</v>
      </c>
      <c r="BF153" s="252"/>
    </row>
    <row r="154" spans="51:58" ht="12.75">
      <c r="AY154" s="103" t="s">
        <v>161</v>
      </c>
      <c r="AZ154" s="103" t="s">
        <v>411</v>
      </c>
      <c r="BA154" s="103" t="s">
        <v>322</v>
      </c>
      <c r="BB154" s="10">
        <v>246213</v>
      </c>
      <c r="BE154" s="237"/>
      <c r="BF154" s="238"/>
    </row>
    <row r="155" spans="51:58" ht="12.75">
      <c r="AY155" s="103" t="s">
        <v>235</v>
      </c>
      <c r="AZ155" s="103" t="s">
        <v>236</v>
      </c>
      <c r="BA155" s="103" t="s">
        <v>501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540</v>
      </c>
      <c r="B3" s="56" t="s">
        <v>375</v>
      </c>
      <c r="C3" s="56" t="s">
        <v>24</v>
      </c>
    </row>
    <row r="4" spans="1:2" ht="12.75">
      <c r="A4" s="76">
        <v>1</v>
      </c>
      <c r="B4" s="78" t="s">
        <v>73</v>
      </c>
    </row>
    <row r="5" ht="12.75">
      <c r="A5" s="280" t="s">
        <v>540</v>
      </c>
    </row>
    <row r="6" ht="12.75">
      <c r="A6" s="280" t="s">
        <v>534</v>
      </c>
    </row>
    <row r="7" ht="12.75">
      <c r="A7" s="280" t="s">
        <v>528</v>
      </c>
    </row>
    <row r="8" ht="12.75">
      <c r="A8" s="280" t="s">
        <v>532</v>
      </c>
    </row>
    <row r="9" ht="12.75">
      <c r="A9" s="280" t="s">
        <v>510</v>
      </c>
    </row>
    <row r="10" ht="12.75">
      <c r="A10" s="280" t="s">
        <v>505</v>
      </c>
    </row>
    <row r="11" ht="12.75">
      <c r="A11" s="280" t="s">
        <v>512</v>
      </c>
    </row>
    <row r="12" ht="12.75">
      <c r="A12" s="280" t="s">
        <v>521</v>
      </c>
    </row>
    <row r="13" ht="12.75">
      <c r="A13" s="280" t="s">
        <v>536</v>
      </c>
    </row>
    <row r="14" ht="12.75">
      <c r="A14" s="280" t="s">
        <v>526</v>
      </c>
    </row>
    <row r="15" ht="12.75">
      <c r="A15" s="280" t="s">
        <v>533</v>
      </c>
    </row>
    <row r="16" ht="12.75">
      <c r="A16" s="280" t="s">
        <v>552</v>
      </c>
    </row>
    <row r="17" ht="12.75">
      <c r="A17" s="280" t="s">
        <v>537</v>
      </c>
    </row>
    <row r="18" ht="12.75">
      <c r="A18" s="280" t="s">
        <v>517</v>
      </c>
    </row>
    <row r="19" ht="12.75">
      <c r="A19" s="280" t="s">
        <v>535</v>
      </c>
    </row>
    <row r="20" ht="12.75">
      <c r="A20" s="280" t="s">
        <v>519</v>
      </c>
    </row>
    <row r="21" ht="12.75">
      <c r="A21" s="280" t="s">
        <v>541</v>
      </c>
    </row>
    <row r="22" ht="12.75">
      <c r="A22" s="280" t="s">
        <v>506</v>
      </c>
    </row>
    <row r="23" ht="12.75">
      <c r="A23" s="280" t="s">
        <v>507</v>
      </c>
    </row>
    <row r="24" ht="12.75">
      <c r="A24" s="280" t="s">
        <v>522</v>
      </c>
    </row>
    <row r="25" ht="12.75">
      <c r="A25" s="280" t="s">
        <v>553</v>
      </c>
    </row>
    <row r="26" ht="12.75">
      <c r="A26" s="280" t="s">
        <v>514</v>
      </c>
    </row>
    <row r="27" ht="12.75">
      <c r="A27" s="280" t="s">
        <v>530</v>
      </c>
    </row>
    <row r="28" ht="12.75">
      <c r="A28" s="280" t="s">
        <v>513</v>
      </c>
    </row>
    <row r="29" ht="12.75">
      <c r="A29" s="280" t="s">
        <v>508</v>
      </c>
    </row>
    <row r="30" ht="12.75">
      <c r="A30" s="280" t="s">
        <v>527</v>
      </c>
    </row>
    <row r="31" ht="12.75">
      <c r="A31" s="280" t="s">
        <v>509</v>
      </c>
    </row>
    <row r="32" ht="12.75">
      <c r="A32" s="280" t="s">
        <v>515</v>
      </c>
    </row>
    <row r="33" ht="12.75">
      <c r="A33" s="280" t="s">
        <v>538</v>
      </c>
    </row>
    <row r="34" ht="12.75">
      <c r="A34" s="280" t="s">
        <v>529</v>
      </c>
    </row>
    <row r="35" ht="12.75">
      <c r="A35" s="280" t="s">
        <v>531</v>
      </c>
    </row>
    <row r="36" ht="12.75">
      <c r="A36" s="280" t="s">
        <v>525</v>
      </c>
    </row>
    <row r="37" ht="12.75">
      <c r="A37" s="280" t="s">
        <v>524</v>
      </c>
    </row>
    <row r="38" ht="12.75">
      <c r="A38" s="280" t="s">
        <v>516</v>
      </c>
    </row>
    <row r="39" ht="12.75">
      <c r="A39" s="280" t="s">
        <v>518</v>
      </c>
    </row>
    <row r="40" ht="12.75">
      <c r="A40" s="280" t="s">
        <v>539</v>
      </c>
    </row>
    <row r="41" ht="12.75">
      <c r="A41" s="280" t="s">
        <v>523</v>
      </c>
    </row>
    <row r="42" ht="12.75">
      <c r="A42" s="280" t="s">
        <v>520</v>
      </c>
    </row>
    <row r="43" ht="12.75">
      <c r="A43" s="280" t="s">
        <v>511</v>
      </c>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