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<sst xmlns="http://schemas.openxmlformats.org/spreadsheetml/2006/main" count="1634" uniqueCount="566">
  <si>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</si>
  <si>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</si>
  <si>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</si>
  <si>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</si>
  <si>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</si>
  <si>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</si>
  <si>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</si>
  <si>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</si>
  <si>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</si>
  <si>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</si>
  <si>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</si>
  <si>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</si>
  <si>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</si>
  <si>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</si>
  <si>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</si>
  <si>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</si>
  <si>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</si>
  <si>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</si>
  <si>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</si>
  <si>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</si>
  <si>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</si>
  <si>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</si>
  <si>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</si>
  <si>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</si>
  <si>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</si>
  <si>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</si>
  <si>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</si>
  <si>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</si>
  <si>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</si>
  <si>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</si>
  <si>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</si>
  <si>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</si>
  <si>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</si>
  <si>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</si>
  <si>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</si>
  <si>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</si>
  <si>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</si>
  <si>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</si>
  <si>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</si>
  <si>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</si>
  <si>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</si>
  <si>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</si>
  <si>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</si>
  <si>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</si>
  <si>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</si>
  <si>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</si>
  <si>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</si>
  <si>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</si>
  <si>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</si>
  <si>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</si>
  <si>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</si>
  <si>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</si>
  <si>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</si>
  <si>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</si>
  <si>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</si>
  <si>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</si>
  <si>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</si>
  <si>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</si>
  <si>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</si>
  <si>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</si>
  <si>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</si>
  <si>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</si>
  <si>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</si>
  <si>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</si>
  <si>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</si>
  <si>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</si>
  <si>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</si>
  <si>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</si>
  <si>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</si>
  <si>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</si>
  <si>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</si>
  <si>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</si>
  <si>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</si>
  <si>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</si>
  <si>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</si>
  <si>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</si>
  <si>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</si>
  <si>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</si>
  <si>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</si>
  <si>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</si>
  <si>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</si>
  <si>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</si>
  <si>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</si>
  <si>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</si>
  <si>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</si>
  <si>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</si>
  <si>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</si>
  <si>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</si>
  <si>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</si>
  <si>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</si>
  <si>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</si>
  <si>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</si>
  <si>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</si>
  <si>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</si>
  <si>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</si>
  <si>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</si>
  <si>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</si>
  <si>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</si>
  <si>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</si>
  <si>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</si>
  <si>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</si>
  <si>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</si>
  <si>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</si>
  <si>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</si>
  <si>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</si>
  <si>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</si>
  <si>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</si>
  <si>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</si>
  <si>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</si>
  <si>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</si>
  <si>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</si>
  <si>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</si>
  <si>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</si>
  <si>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</si>
  <si>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</si>
  <si>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</si>
  <si>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</si>
  <si>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</si>
  <si>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</si>
  <si>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</si>
  <si>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</si>
  <si>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</si>
  <si>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</si>
  <si>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</si>
  <si>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</si>
  <si>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</si>
  <si>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</si>
  <si>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</si>
  <si>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</si>
  <si>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</si>
  <si>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</si>
  <si>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</si>
  <si>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</si>
  <si>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</si>
  <si>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</si>
  <si>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</si>
  <si>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</si>
  <si>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</si>
  <si>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</si>
  <si>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</si>
  <si>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</si>
  <si>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</si>
  <si>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</si>
  <si>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</si>
  <si>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</si>
  <si>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</si>
  <si>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</si>
  <si>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</si>
  <si>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</si>
  <si>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</si>
  <si>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</si>
  <si>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</si>
  <si>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</si>
  <si>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</si>
  <si>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</si>
  <si>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</si>
  <si>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</si>
  <si>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</si>
  <si>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</si>
  <si>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</si>
  <si>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</si>
  <si>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</si>
  <si>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</si>
  <si>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</si>
  <si>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</si>
  <si>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</si>
  <si>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</si>
  <si>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</si>
  <si>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</si>
  <si>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</si>
  <si>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</si>
  <si>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</si>
  <si>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</si>
  <si>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</si>
  <si>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</si>
  <si>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</si>
  <si>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</si>
  <si>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</si>
  <si>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</si>
  <si>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</si>
  <si>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</si>
  <si>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</si>
  <si>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</si>
  <si>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</si>
  <si>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</si>
  <si>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</si>
  <si>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</si>
  <si>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</si>
  <si>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</si>
  <si>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</si>
  <si>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</si>
  <si>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</si>
  <si>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</si>
  <si>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</si>
  <si>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</si>
  <si>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</si>
  <si>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</si>
  <si>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</si>
  <si>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</si>
  <si>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</si>
  <si>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</si>
  <si>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</si>
  <si>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</si>
  <si>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</si>
  <si>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</si>
  <si>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</si>
  <si>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</si>
  <si>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</si>
  <si>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</si>
  <si>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</si>
  <si>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</si>
  <si>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</si>
  <si>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</si>
  <si>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</si>
  <si>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</si>
  <si>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</si>
  <si>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</si>
  <si>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</si>
  <si>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</si>
  <si>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</si>
  <si>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</si>
  <si>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</si>
  <si>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</si>
  <si>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</si>
  <si>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</si>
  <si>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</si>
  <si>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</si>
  <si>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</si>
  <si>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</si>
  <si>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</si>
  <si>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</si>
  <si>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</si>
  <si>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</si>
  <si>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</si>
  <si>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</si>
  <si>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</si>
  <si>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</si>
  <si>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</si>
  <si>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</si>
  <si>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</si>
  <si>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</si>
  <si>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</si>
  <si>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</si>
  <si>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</si>
  <si>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</si>
  <si>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</si>
  <si>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</si>
  <si>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</si>
  <si>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</si>
  <si>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</si>
  <si>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</si>
  <si>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</si>
  <si>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</si>
  <si>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</si>
  <si>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</si>
  <si>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</si>
  <si>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</si>
  <si>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</si>
  <si>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</si>
  <si>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</si>
  <si>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</si>
  <si>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</si>
  <si>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</si>
  <si>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</si>
  <si>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</si>
  <si>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</si>
  <si>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</si>
  <si>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</si>
  <si>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</si>
  <si>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</si>
  <si>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</si>
  <si>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</si>
  <si>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</si>
  <si>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</si>
  <si>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</si>
  <si>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</si>
  <si>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</si>
  <si>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</si>
  <si>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</si>
  <si>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</si>
  <si>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</si>
  <si>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</si>
  <si>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F84003</t>
  </si>
  <si>
    <t>F84008</t>
  </si>
  <si>
    <t>F84013</t>
  </si>
  <si>
    <t>F84015</t>
  </si>
  <si>
    <t>F84018</t>
  </si>
  <si>
    <t>F84021</t>
  </si>
  <si>
    <t>F84033</t>
  </si>
  <si>
    <t>F84035</t>
  </si>
  <si>
    <t>F84036</t>
  </si>
  <si>
    <t>F84038</t>
  </si>
  <si>
    <t>F84041</t>
  </si>
  <si>
    <t>F84042</t>
  </si>
  <si>
    <t>F84043</t>
  </si>
  <si>
    <t>F84060</t>
  </si>
  <si>
    <t>F84063</t>
  </si>
  <si>
    <t>F84069</t>
  </si>
  <si>
    <t>F84072</t>
  </si>
  <si>
    <t>F84080</t>
  </si>
  <si>
    <t>F84096</t>
  </si>
  <si>
    <t>F84105</t>
  </si>
  <si>
    <t>F84115</t>
  </si>
  <si>
    <t>F84117</t>
  </si>
  <si>
    <t>F84119</t>
  </si>
  <si>
    <t>F84601</t>
  </si>
  <si>
    <t>F84619</t>
  </si>
  <si>
    <t>F84620</t>
  </si>
  <si>
    <t>F84621</t>
  </si>
  <si>
    <t>F84624</t>
  </si>
  <si>
    <t>F84635</t>
  </si>
  <si>
    <t>F84636</t>
  </si>
  <si>
    <t>F84640</t>
  </si>
  <si>
    <t>F84653</t>
  </si>
  <si>
    <t>F84668</t>
  </si>
  <si>
    <t>F84685</t>
  </si>
  <si>
    <t>F84686</t>
  </si>
  <si>
    <t>F84692</t>
  </si>
  <si>
    <t>F84694</t>
  </si>
  <si>
    <t>F84711</t>
  </si>
  <si>
    <t>F84716</t>
  </si>
  <si>
    <t>F84719</t>
  </si>
  <si>
    <t>F84720</t>
  </si>
  <si>
    <t>5CC</t>
  </si>
  <si>
    <t>Y00403</t>
  </si>
  <si>
    <t>Y01177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</si>
  <si>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</si>
  <si>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</si>
  <si>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</si>
  <si>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</si>
  <si>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</si>
  <si>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</si>
  <si>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</si>
  <si>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</si>
  <si>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</si>
  <si>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</si>
  <si>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</si>
  <si>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</si>
  <si>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</si>
  <si>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</si>
  <si>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</si>
  <si>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</si>
  <si>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</si>
  <si>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</si>
  <si>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</si>
  <si>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</si>
  <si>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</si>
  <si>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</si>
  <si>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</si>
  <si>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</si>
  <si>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</si>
  <si>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</si>
  <si>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</si>
  <si>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</si>
  <si>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</si>
  <si>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</si>
  <si>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</si>
  <si>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</si>
  <si>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</si>
  <si>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</si>
  <si>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</si>
  <si>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</si>
  <si>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</si>
  <si>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</si>
  <si>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</si>
  <si>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</si>
  <si>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</si>
  <si>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</si>
  <si>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</si>
  <si>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</si>
  <si>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</si>
  <si>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</si>
  <si>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</si>
  <si>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</si>
  <si>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</si>
  <si>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</si>
  <si>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</si>
  <si>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</si>
  <si>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</si>
  <si>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</si>
  <si>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</si>
  <si>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</si>
  <si>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</si>
  <si>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</si>
  <si>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</si>
  <si>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</si>
  <si>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</si>
  <si>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</si>
  <si>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</si>
  <si>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</si>
  <si>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</si>
  <si>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</si>
  <si>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</si>
  <si>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</si>
  <si>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</si>
  <si>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</si>
  <si>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</si>
  <si>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</si>
  <si>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</si>
  <si>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</si>
  <si>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</si>
  <si>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</si>
  <si>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</si>
  <si>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</si>
  <si>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</si>
  <si>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</si>
  <si>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</si>
  <si>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</si>
  <si>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</si>
  <si>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</si>
  <si>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</si>
  <si>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</si>
  <si>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</si>
  <si>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</si>
  <si>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</si>
  <si>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</si>
  <si>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</si>
  <si>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</si>
  <si>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</si>
  <si>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</si>
  <si>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</si>
  <si>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</si>
  <si>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</si>
  <si>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</si>
  <si>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</si>
  <si>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</si>
  <si>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</si>
  <si>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</si>
  <si>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</si>
  <si>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</si>
  <si>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</si>
  <si>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</si>
  <si>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</si>
  <si>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</si>
  <si>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</si>
  <si>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</si>
  <si>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</si>
  <si>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</si>
  <si>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</si>
  <si>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</si>
  <si>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</si>
  <si>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</si>
  <si>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</si>
  <si>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</si>
  <si>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</si>
  <si>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</si>
  <si>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</si>
  <si>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</si>
  <si>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</si>
  <si>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</si>
  <si>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</si>
  <si>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</si>
  <si>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</si>
  <si>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</si>
  <si>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</si>
  <si>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</si>
  <si>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</si>
  <si>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</si>
  <si>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</si>
  <si>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</si>
  <si>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</si>
  <si>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</si>
  <si>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</si>
  <si>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</si>
  <si>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</si>
  <si>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</si>
  <si>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</si>
  <si>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</si>
  <si>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</si>
  <si>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</si>
  <si>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</si>
  <si>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</si>
  <si>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</si>
  <si>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</si>
  <si>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</si>
  <si>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</si>
  <si>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</si>
  <si>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</si>
  <si>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</si>
  <si>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</si>
  <si>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</si>
  <si>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</si>
  <si>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</si>
  <si>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</si>
  <si>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</si>
  <si>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</si>
  <si>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</si>
  <si>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</si>
  <si>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</si>
  <si>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</si>
  <si>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</si>
  <si>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</si>
  <si>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</si>
  <si>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</si>
  <si>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</si>
  <si>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</si>
  <si>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</si>
  <si>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</si>
  <si>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</si>
  <si>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</si>
  <si>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</si>
  <si>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</si>
  <si>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</si>
  <si>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</si>
  <si>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</si>
  <si>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</si>
  <si>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Y03049</t>
  </si>
  <si>
    <t>2010/11</t>
  </si>
  <si>
    <t>2008/09-2010/11</t>
  </si>
  <si>
    <t>2005/06-2010/11</t>
  </si>
  <si>
    <t>(F84003) LOWER CLAPTON GROUP PRACTICE</t>
  </si>
  <si>
    <t>(F84008) BARTON HOUSE HEALTH CENTRE</t>
  </si>
  <si>
    <t>(F84013) STAMFORD HILL GROUP PRACTICE</t>
  </si>
  <si>
    <t>(F84015) KINGSMEAD HEALTHCARE</t>
  </si>
  <si>
    <t>(F84018) THE NIGHTINGALE PRACTICE</t>
  </si>
  <si>
    <t>(F84021) LONDON FIELDS MEDICAL CENTRE</t>
  </si>
  <si>
    <t>(F84033) SOMERFORD GROVE HEALTH CENTRE</t>
  </si>
  <si>
    <t>(F84035) RICHMOND ROAD MEDICAL CENTRE</t>
  </si>
  <si>
    <t>(F84036) THE CEDAR PRACTICE</t>
  </si>
  <si>
    <t>(F84038) BEECHWOOD MEDICAL CENTRE</t>
  </si>
  <si>
    <t>(F84041) SOUTHGATE ROAD MEDICAL CENTRE</t>
  </si>
  <si>
    <t>(F84042) THE SURGERY (KINGSLAND ROAD)</t>
  </si>
  <si>
    <t>(F84043) THE SORSBY HEALTH CENTRE</t>
  </si>
  <si>
    <t>(F84060) ATHENA MEDICAL CENTRE</t>
  </si>
  <si>
    <t>(F84063) THE DALSTON PRACTICE</t>
  </si>
  <si>
    <t>(F84069) WELL STREET SURGERY</t>
  </si>
  <si>
    <t>(F84072) DE BEAUVOIR SURGERY</t>
  </si>
  <si>
    <t>(F84080) FOUNTAYNE ROAD HEALTH CENTRE</t>
  </si>
  <si>
    <t>(F84096) THE LAWSON PRACTICE</t>
  </si>
  <si>
    <t>(F84105) THE LEA SURGERY</t>
  </si>
  <si>
    <t>(F84115) THE STATHAM GROVE SURGERY</t>
  </si>
  <si>
    <t>(F84117) QUEENSBRIDGE GROUP PRACTICE</t>
  </si>
  <si>
    <t>(F84119) THE HERON PRACTICE</t>
  </si>
  <si>
    <t>(F84601) ELSDALE STREET SURGERY</t>
  </si>
  <si>
    <t>(F84619) THE RIVERSIDE PRACTICE</t>
  </si>
  <si>
    <t>(F84620) THE WICK HEALTH CENTRE</t>
  </si>
  <si>
    <t>(F84621) SANDRINGHAM PRACTICE</t>
  </si>
  <si>
    <t>(F84624) ABNEY HOUSE MEDICAL CENTRE</t>
  </si>
  <si>
    <t>(F84635) SHOREDITCH PARK SURGERY</t>
  </si>
  <si>
    <t>(F84636) THE SURGERY (BARRETTS GROVE)</t>
  </si>
  <si>
    <t>(F84640) THE NEAMAN PRACTICE</t>
  </si>
  <si>
    <t>(F84653) THE SURGERY (PATEL)</t>
  </si>
  <si>
    <t>(F84668) THE CLAPTON SURGERY</t>
  </si>
  <si>
    <t>(F84685) THE ELM PRACTICE</t>
  </si>
  <si>
    <t>(F84686) THE SURGERY (CRANWICH ROAD)</t>
  </si>
  <si>
    <t>(F84692) THE HOXTON SURGERY</t>
  </si>
  <si>
    <t>(F84694) THE SURGERY (BROOKE ROAD)</t>
  </si>
  <si>
    <t>(F84711) ROSEWOOD PRACTICE</t>
  </si>
  <si>
    <t>(F84716) THE ALLERTON ROAD SURGERY</t>
  </si>
  <si>
    <t>(F84719) LATIMER HEALTH CENTRE</t>
  </si>
  <si>
    <t>(F84720) HEALY MEDICAL CENTRE</t>
  </si>
  <si>
    <t>(Y00403) TROWBRIDGE PRACTICE</t>
  </si>
  <si>
    <t>(Y01177) TOLLGATE LODGE PRACTICE</t>
  </si>
  <si>
    <t>(Y03049) THE SPRINGFIELD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</si>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</sst>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0.617021292110761</c:v>
                </c:pt>
                <c:pt idx="4">
                  <c:v>1</c:v>
                </c:pt>
                <c:pt idx="5">
                  <c:v>1</c:v>
                </c:pt>
                <c:pt idx="6">
                  <c:v>1</c:v>
                </c:pt>
                <c:pt idx="7">
                  <c:v>0.8602428923666838</c:v>
                </c:pt>
                <c:pt idx="8">
                  <c:v>0.8974371188229358</c:v>
                </c:pt>
                <c:pt idx="9">
                  <c:v>0.6999250576770369</c:v>
                </c:pt>
                <c:pt idx="10">
                  <c:v>0.8393729988713058</c:v>
                </c:pt>
                <c:pt idx="11">
                  <c:v>1</c:v>
                </c:pt>
                <c:pt idx="12">
                  <c:v>1</c:v>
                </c:pt>
                <c:pt idx="13">
                  <c:v>0</c:v>
                </c:pt>
                <c:pt idx="14">
                  <c:v>1</c:v>
                </c:pt>
                <c:pt idx="15">
                  <c:v>0.8464022204821275</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0.5858538212606131</c:v>
                </c:pt>
                <c:pt idx="3">
                  <c:v>0.5372340705476772</c:v>
                </c:pt>
                <c:pt idx="4">
                  <c:v>0.5730152212330184</c:v>
                </c:pt>
                <c:pt idx="5">
                  <c:v>0.5601272046231582</c:v>
                </c:pt>
                <c:pt idx="6">
                  <c:v>0.6666666925367379</c:v>
                </c:pt>
                <c:pt idx="7">
                  <c:v>0.6735755602131008</c:v>
                </c:pt>
                <c:pt idx="8">
                  <c:v>0.6267310299478681</c:v>
                </c:pt>
                <c:pt idx="9">
                  <c:v>0.5672393210240182</c:v>
                </c:pt>
                <c:pt idx="10">
                  <c:v>0.6176403005400902</c:v>
                </c:pt>
                <c:pt idx="11">
                  <c:v>0.7043064458013004</c:v>
                </c:pt>
                <c:pt idx="12">
                  <c:v>0.6407181181731655</c:v>
                </c:pt>
                <c:pt idx="13">
                  <c:v>0</c:v>
                </c:pt>
                <c:pt idx="14">
                  <c:v>0.667514071790253</c:v>
                </c:pt>
                <c:pt idx="15">
                  <c:v>0.5961519982704209</c:v>
                </c:pt>
                <c:pt idx="16">
                  <c:v>0.594147656977841</c:v>
                </c:pt>
                <c:pt idx="17">
                  <c:v>0.7060758291712406</c:v>
                </c:pt>
                <c:pt idx="18">
                  <c:v>0.592622613955409</c:v>
                </c:pt>
                <c:pt idx="19">
                  <c:v>0.6458329252557672</c:v>
                </c:pt>
                <c:pt idx="20">
                  <c:v>0.6517093071325508</c:v>
                </c:pt>
                <c:pt idx="21">
                  <c:v>0.651285831021644</c:v>
                </c:pt>
                <c:pt idx="22">
                  <c:v>0.5660442585589092</c:v>
                </c:pt>
                <c:pt idx="23">
                  <c:v>0.6189010536745179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0.4019112259927441</c:v>
                </c:pt>
                <c:pt idx="3">
                  <c:v>0.46808513673844526</c:v>
                </c:pt>
                <c:pt idx="4">
                  <c:v>0.4190973687759866</c:v>
                </c:pt>
                <c:pt idx="5">
                  <c:v>0.47133417876447065</c:v>
                </c:pt>
                <c:pt idx="6">
                  <c:v>0.3958333559696457</c:v>
                </c:pt>
                <c:pt idx="7">
                  <c:v>0.330936285712954</c:v>
                </c:pt>
                <c:pt idx="8">
                  <c:v>0.3416668428316877</c:v>
                </c:pt>
                <c:pt idx="9">
                  <c:v>0.42335286730645433</c:v>
                </c:pt>
                <c:pt idx="10">
                  <c:v>0.406632970374246</c:v>
                </c:pt>
                <c:pt idx="11">
                  <c:v>0.3785914821991508</c:v>
                </c:pt>
                <c:pt idx="12">
                  <c:v>0.38532735883335556</c:v>
                </c:pt>
                <c:pt idx="13">
                  <c:v>0</c:v>
                </c:pt>
                <c:pt idx="14">
                  <c:v>0.44179445451928473</c:v>
                </c:pt>
                <c:pt idx="15">
                  <c:v>0.3153714380694588</c:v>
                </c:pt>
                <c:pt idx="16">
                  <c:v>0.41315870761202644</c:v>
                </c:pt>
                <c:pt idx="17">
                  <c:v>0.3690173058528663</c:v>
                </c:pt>
                <c:pt idx="18">
                  <c:v>0.40460795652768955</c:v>
                </c:pt>
                <c:pt idx="19">
                  <c:v>0.4391100215740546</c:v>
                </c:pt>
                <c:pt idx="20">
                  <c:v>0.3538537069273429</c:v>
                </c:pt>
                <c:pt idx="21">
                  <c:v>0.34364028654294365</c:v>
                </c:pt>
                <c:pt idx="22">
                  <c:v>0.445127020729953</c:v>
                </c:pt>
                <c:pt idx="23">
                  <c:v>0.40268565618759555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0.17730025318868603</c:v>
                </c:pt>
                <c:pt idx="3">
                  <c:v>0</c:v>
                </c:pt>
                <c:pt idx="4">
                  <c:v>0.25072961053143983</c:v>
                </c:pt>
                <c:pt idx="5">
                  <c:v>0.42433386257701805</c:v>
                </c:pt>
                <c:pt idx="6">
                  <c:v>0.08333338507347592</c:v>
                </c:pt>
                <c:pt idx="7">
                  <c:v>0</c:v>
                </c:pt>
                <c:pt idx="8">
                  <c:v>0</c:v>
                </c:pt>
                <c:pt idx="9">
                  <c:v>0</c:v>
                </c:pt>
                <c:pt idx="10">
                  <c:v>0</c:v>
                </c:pt>
                <c:pt idx="11">
                  <c:v>0.03217289596558833</c:v>
                </c:pt>
                <c:pt idx="12">
                  <c:v>0.28501200968310847</c:v>
                </c:pt>
                <c:pt idx="13">
                  <c:v>0</c:v>
                </c:pt>
                <c:pt idx="14">
                  <c:v>0.3381402710103256</c:v>
                </c:pt>
                <c:pt idx="15">
                  <c:v>0</c:v>
                </c:pt>
                <c:pt idx="16">
                  <c:v>0.36450198847723064</c:v>
                </c:pt>
                <c:pt idx="17">
                  <c:v>0.29145833786059605</c:v>
                </c:pt>
                <c:pt idx="18">
                  <c:v>0.28422011575317485</c:v>
                </c:pt>
                <c:pt idx="19">
                  <c:v>0.40998980401223545</c:v>
                </c:pt>
                <c:pt idx="20">
                  <c:v>0.14930116026764803</c:v>
                </c:pt>
                <c:pt idx="21">
                  <c:v>0.15457587633819747</c:v>
                </c:pt>
                <c:pt idx="22">
                  <c:v>0.32870777379969174</c:v>
                </c:pt>
                <c:pt idx="23">
                  <c:v>0.3288347078128987</c:v>
                </c:pt>
                <c:pt idx="24">
                  <c:v>0</c:v>
                </c:pt>
                <c:pt idx="25">
                  <c:v>0</c:v>
                </c:pt>
                <c:pt idx="26">
                  <c:v>0</c:v>
                </c:pt>
              </c:numCache>
            </c:numRef>
          </c:val>
        </c:ser>
        <c:overlap val="100"/>
        <c:gapWidth val="100"/>
        <c:axId val="10590265"/>
        <c:axId val="2820352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1.4049935568035508</c:v>
                </c:pt>
                <c:pt idx="3">
                  <c:v>0.1491687338117146</c:v>
                </c:pt>
                <c:pt idx="4">
                  <c:v>0.7763945129820317</c:v>
                </c:pt>
                <c:pt idx="5">
                  <c:v>0.7681247799770581</c:v>
                </c:pt>
                <c:pt idx="6">
                  <c:v>1.0783938891355367</c:v>
                </c:pt>
                <c:pt idx="7">
                  <c:v>1.0031870357377435</c:v>
                </c:pt>
                <c:pt idx="8">
                  <c:v>0.871198986176498</c:v>
                </c:pt>
                <c:pt idx="9">
                  <c:v>0.6519334476835517</c:v>
                </c:pt>
                <c:pt idx="10">
                  <c:v>1.0620360092562824</c:v>
                </c:pt>
                <c:pt idx="11">
                  <c:v>1.3530072781097318</c:v>
                </c:pt>
                <c:pt idx="12">
                  <c:v>0.7299072981279889</c:v>
                </c:pt>
                <c:pt idx="13">
                  <c:v>0.5</c:v>
                </c:pt>
                <c:pt idx="14">
                  <c:v>0.5366162713335452</c:v>
                </c:pt>
                <c:pt idx="15">
                  <c:v>0.4813602126401487</c:v>
                </c:pt>
                <c:pt idx="16">
                  <c:v>0.622744644086351</c:v>
                </c:pt>
                <c:pt idx="17">
                  <c:v>0.9007156968017439</c:v>
                </c:pt>
                <c:pt idx="18">
                  <c:v>0.6327140276060184</c:v>
                </c:pt>
                <c:pt idx="19">
                  <c:v>0.697339622724062</c:v>
                </c:pt>
                <c:pt idx="20">
                  <c:v>0.9730959497752896</c:v>
                </c:pt>
                <c:pt idx="21">
                  <c:v>1.1347827393442005</c:v>
                </c:pt>
                <c:pt idx="22">
                  <c:v>0.6724000525629124</c:v>
                </c:pt>
                <c:pt idx="23">
                  <c:v>0.57527149130994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0.4859983868268492</c:v>
                </c:pt>
                <c:pt idx="3">
                  <c:v>-999</c:v>
                </c:pt>
                <c:pt idx="4">
                  <c:v>0.5975864488693612</c:v>
                </c:pt>
                <c:pt idx="5">
                  <c:v>-999</c:v>
                </c:pt>
                <c:pt idx="6">
                  <c:v>0.41666669967687764</c:v>
                </c:pt>
                <c:pt idx="7">
                  <c:v>0.351170192148083</c:v>
                </c:pt>
                <c:pt idx="8">
                  <c:v>-999</c:v>
                </c:pt>
                <c:pt idx="9">
                  <c:v>-999</c:v>
                </c:pt>
                <c:pt idx="10">
                  <c:v>0.326058467277882</c:v>
                </c:pt>
                <c:pt idx="11">
                  <c:v>0.2956337867813597</c:v>
                </c:pt>
                <c:pt idx="12">
                  <c:v>0.6420492621693207</c:v>
                </c:pt>
                <c:pt idx="13">
                  <c:v>0.5401785653182586</c:v>
                </c:pt>
                <c:pt idx="14">
                  <c:v>-999</c:v>
                </c:pt>
                <c:pt idx="15">
                  <c:v>-999</c:v>
                </c:pt>
                <c:pt idx="16">
                  <c:v>-999</c:v>
                </c:pt>
                <c:pt idx="17">
                  <c:v>0.9318088854443977</c:v>
                </c:pt>
                <c:pt idx="18">
                  <c:v>-999</c:v>
                </c:pt>
                <c:pt idx="19">
                  <c:v>0.6995823493564023</c:v>
                </c:pt>
                <c:pt idx="20">
                  <c:v>0.3148574919773294</c:v>
                </c:pt>
                <c:pt idx="21">
                  <c:v>0.4953932143457174</c:v>
                </c:pt>
                <c:pt idx="22">
                  <c:v>0.4723086827087119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0.3617021323815359</c:v>
                </c:pt>
                <c:pt idx="4">
                  <c:v>-999</c:v>
                </c:pt>
                <c:pt idx="5">
                  <c:v>-999</c:v>
                </c:pt>
                <c:pt idx="6">
                  <c:v>-999</c:v>
                </c:pt>
                <c:pt idx="7">
                  <c:v>-999</c:v>
                </c:pt>
                <c:pt idx="8">
                  <c:v>-999</c:v>
                </c:pt>
                <c:pt idx="9">
                  <c:v>0.2950329543147109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505107"/>
        <c:axId val="2783916"/>
      </c:scatterChart>
      <c:catAx>
        <c:axId val="10590265"/>
        <c:scaling>
          <c:orientation val="maxMin"/>
        </c:scaling>
        <c:axPos val="l"/>
        <c:delete val="0"/>
        <c:numFmt formatCode="General" sourceLinked="1"/>
        <c:majorTickMark val="out"/>
        <c:minorTickMark val="none"/>
        <c:tickLblPos val="none"/>
        <c:spPr>
          <a:ln w="3175">
            <a:noFill/>
          </a:ln>
        </c:spPr>
        <c:crossAx val="28203522"/>
        <c:crosses val="autoZero"/>
        <c:auto val="1"/>
        <c:lblOffset val="100"/>
        <c:tickLblSkip val="1"/>
        <c:noMultiLvlLbl val="0"/>
      </c:catAx>
      <c:valAx>
        <c:axId val="28203522"/>
        <c:scaling>
          <c:orientation val="minMax"/>
          <c:max val="1"/>
          <c:min val="0"/>
        </c:scaling>
        <c:axPos val="t"/>
        <c:delete val="0"/>
        <c:numFmt formatCode="General" sourceLinked="1"/>
        <c:majorTickMark val="none"/>
        <c:minorTickMark val="none"/>
        <c:tickLblPos val="none"/>
        <c:spPr>
          <a:ln w="3175">
            <a:noFill/>
          </a:ln>
        </c:spPr>
        <c:crossAx val="10590265"/>
        <c:crossesAt val="1"/>
        <c:crossBetween val="between"/>
        <c:dispUnits/>
        <c:majorUnit val="1"/>
      </c:valAx>
      <c:valAx>
        <c:axId val="52505107"/>
        <c:scaling>
          <c:orientation val="minMax"/>
          <c:max val="1"/>
          <c:min val="0"/>
        </c:scaling>
        <c:axPos val="t"/>
        <c:delete val="0"/>
        <c:numFmt formatCode="General" sourceLinked="1"/>
        <c:majorTickMark val="none"/>
        <c:minorTickMark val="none"/>
        <c:tickLblPos val="none"/>
        <c:spPr>
          <a:ln w="3175">
            <a:noFill/>
          </a:ln>
        </c:spPr>
        <c:crossAx val="2783916"/>
        <c:crosses val="max"/>
        <c:crossBetween val="midCat"/>
        <c:dispUnits/>
        <c:majorUnit val="0.1"/>
        <c:minorUnit val="0.020000000000000004"/>
      </c:valAx>
      <c:valAx>
        <c:axId val="2783916"/>
        <c:scaling>
          <c:orientation val="maxMin"/>
          <c:max val="29"/>
          <c:min val="0"/>
        </c:scaling>
        <c:axPos val="l"/>
        <c:delete val="0"/>
        <c:numFmt formatCode="General" sourceLinked="1"/>
        <c:majorTickMark val="none"/>
        <c:minorTickMark val="none"/>
        <c:tickLblPos val="none"/>
        <c:spPr>
          <a:ln w="3175">
            <a:noFill/>
          </a:ln>
        </c:spPr>
        <c:crossAx val="5250510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(F84624) ABNEY HOUSE MEDICAL CENTRE, CITY AND HACKNEY TEACHING PCT (5C3)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478</v>
      </c>
      <c r="Q3" s="65"/>
      <c r="R3" s="66"/>
      <c r="S3" s="66"/>
      <c r="T3" s="66"/>
      <c r="U3" s="66"/>
      <c r="V3" s="66"/>
      <c r="W3" s="66"/>
      <c r="X3" s="66"/>
      <c r="Y3" s="66"/>
      <c r="Z3" s="66"/>
      <c r="AA3" s="66"/>
      <c r="AB3" s="66"/>
      <c r="AC3" s="66"/>
    </row>
    <row r="4" spans="2:29" ht="18" customHeight="1">
      <c r="B4" s="319" t="s">
        <v>557</v>
      </c>
      <c r="C4" s="320"/>
      <c r="D4" s="320"/>
      <c r="E4" s="320"/>
      <c r="F4" s="320"/>
      <c r="G4" s="321"/>
      <c r="H4" s="112"/>
      <c r="I4" s="112"/>
      <c r="J4" s="112"/>
      <c r="K4" s="112"/>
      <c r="L4" s="113"/>
      <c r="M4" s="65"/>
      <c r="N4" s="65"/>
      <c r="O4" s="65"/>
      <c r="P4" s="134" t="s">
        <v>479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556</v>
      </c>
      <c r="C8" s="115"/>
      <c r="D8" s="115"/>
      <c r="E8" s="128">
        <f>VLOOKUP('Hide - Control'!A$3,'All practice data'!A:CA,4,FALSE)</f>
        <v>3379</v>
      </c>
      <c r="F8" s="310" t="str">
        <f>VLOOKUP('Hide - Control'!B4,'Hide - Calculation'!AY:BA,3,FALSE)</f>
        <v> </v>
      </c>
      <c r="G8" s="310"/>
      <c r="H8" s="310"/>
      <c r="I8" s="115"/>
      <c r="J8" s="115"/>
      <c r="K8" s="115"/>
      <c r="L8" s="115"/>
      <c r="M8" s="109"/>
      <c r="N8" s="314" t="s">
        <v>488</v>
      </c>
      <c r="O8" s="314"/>
      <c r="P8" s="314"/>
      <c r="Q8" s="314" t="s">
        <v>32</v>
      </c>
      <c r="R8" s="314"/>
      <c r="S8" s="314"/>
      <c r="T8" s="314" t="s">
        <v>560</v>
      </c>
      <c r="U8" s="314"/>
      <c r="V8" s="314" t="s">
        <v>33</v>
      </c>
      <c r="W8" s="314"/>
      <c r="X8" s="314"/>
      <c r="Y8" s="135"/>
      <c r="Z8" s="314" t="s">
        <v>481</v>
      </c>
      <c r="AA8" s="314"/>
      <c r="AB8" s="161"/>
      <c r="AC8" s="109"/>
    </row>
    <row r="9" spans="2:29" s="61" customFormat="1" ht="19.5" customHeight="1" thickBot="1">
      <c r="B9" s="114" t="s">
        <v>473</v>
      </c>
      <c r="C9" s="114"/>
      <c r="D9" s="114"/>
      <c r="E9" s="129">
        <f>VLOOKUP('Hide - Control'!B4,'Hide - Calculation'!AY:BB,4,FALSE)</f>
        <v>280095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451</v>
      </c>
      <c r="E11" s="317"/>
      <c r="F11" s="318"/>
      <c r="G11" s="263" t="s">
        <v>449</v>
      </c>
      <c r="H11" s="255" t="s">
        <v>450</v>
      </c>
      <c r="I11" s="255" t="s">
        <v>461</v>
      </c>
      <c r="J11" s="255" t="s">
        <v>462</v>
      </c>
      <c r="K11" s="255" t="s">
        <v>335</v>
      </c>
      <c r="L11" s="256" t="s">
        <v>375</v>
      </c>
      <c r="M11" s="257" t="s">
        <v>471</v>
      </c>
      <c r="N11" s="334" t="s">
        <v>469</v>
      </c>
      <c r="O11" s="334"/>
      <c r="P11" s="334"/>
      <c r="Q11" s="334"/>
      <c r="R11" s="334"/>
      <c r="S11" s="334"/>
      <c r="T11" s="334"/>
      <c r="U11" s="334"/>
      <c r="V11" s="334"/>
      <c r="W11" s="334"/>
      <c r="X11" s="334"/>
      <c r="Y11" s="334"/>
      <c r="Z11" s="334"/>
      <c r="AA11" s="258" t="s">
        <v>472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226</v>
      </c>
      <c r="H13" s="190">
        <f>IF(VLOOKUP('Hide - Control'!A$3,'All practice data'!A:CA,C13+30,FALSE)=" "," ",VLOOKUP('Hide - Control'!A$3,'All practice data'!A:CA,C13+30,FALSE))</f>
        <v>0.06688369340041432</v>
      </c>
      <c r="I13" s="191">
        <f>IF(LEFT(G13,1)=" "," n/a",+((2*G13+1.96^2-1.96*SQRT(1.96^2+4*G13*(1-G13/E$8)))/(2*(E$8+1.96^2))))</f>
        <v>0.05894252478927128</v>
      </c>
      <c r="J13" s="191">
        <f>IF(LEFT(G13,1)=" "," n/a",+((2*G13+1.96^2+1.96*SQRT(1.96^2+4*G13*(1-G13/E$8)))/(2*(E$8+1.96^2))))</f>
        <v>0.07580856731034105</v>
      </c>
      <c r="K13" s="190">
        <f>IF('Hide - Calculation'!N7="","",'Hide - Calculation'!N7)</f>
        <v>0.06837680072832432</v>
      </c>
      <c r="L13" s="192">
        <f>'Hide - Calculation'!O7</f>
        <v>0.1599882305185145</v>
      </c>
      <c r="M13" s="208">
        <f>IF(ISBLANK('Hide - Calculation'!K7),"",'Hide - Calculation'!U7)</f>
        <v>0.03560910373926163</v>
      </c>
      <c r="N13" s="173"/>
      <c r="O13" s="173"/>
      <c r="P13" s="173"/>
      <c r="Q13" s="173"/>
      <c r="R13" s="173"/>
      <c r="S13" s="173"/>
      <c r="T13" s="173"/>
      <c r="U13" s="173"/>
      <c r="V13" s="173"/>
      <c r="W13" s="173"/>
      <c r="X13" s="173"/>
      <c r="Y13" s="173"/>
      <c r="Z13" s="173"/>
      <c r="AA13" s="226">
        <f>IF(ISBLANK('Hide - Calculation'!K7),"",'Hide - Calculation'!T7)</f>
        <v>0.11895783245563507</v>
      </c>
      <c r="AB13" s="233" t="s">
        <v>554</v>
      </c>
      <c r="AC13" s="209" t="s">
        <v>555</v>
      </c>
    </row>
    <row r="14" spans="2:29" ht="33.75" customHeight="1">
      <c r="B14" s="306"/>
      <c r="C14" s="137">
        <v>2</v>
      </c>
      <c r="D14" s="132" t="s">
        <v>482</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0.25</v>
      </c>
      <c r="I14" s="120">
        <f>IF(LEFT(G14,1)=" "," n/a",+((2*H14*E8+1.96^2-1.96*SQRT(1.96^2+4*H14*E8*(1-H14*E8/E$8)))/(2*(E$8+1.96^2))))</f>
        <v>0.2356891063240409</v>
      </c>
      <c r="J14" s="120">
        <f>IF(LEFT(G14,1)=" "," n/a",+((2*H14*E8+1.96^2+1.96*SQRT(1.96^2+4*H14*E8*(1-H14*E8/E$8)))/(2*(E$8+1.96^2))))</f>
        <v>0.2648787003388546</v>
      </c>
      <c r="K14" s="119">
        <f>IF('Hide - Calculation'!N8="","",'Hide - Calculation'!N8)</f>
        <v>0.306689730270087</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0.3700000047683716</v>
      </c>
      <c r="AB14" s="234" t="s">
        <v>39</v>
      </c>
      <c r="AC14" s="130" t="s">
        <v>555</v>
      </c>
    </row>
    <row r="15" spans="2:39" s="63" customFormat="1" ht="33.75" customHeight="1">
      <c r="B15" s="306"/>
      <c r="C15" s="137">
        <v>3</v>
      </c>
      <c r="D15" s="132" t="s">
        <v>338</v>
      </c>
      <c r="E15" s="85"/>
      <c r="F15" s="85"/>
      <c r="G15" s="121">
        <f>IF(VLOOKUP('Hide - Control'!A$3,'All practice data'!A:CA,C15+4,FALSE)=" "," ",VLOOKUP('Hide - Control'!A$3,'All practice data'!A:CA,C15+4,FALSE))</f>
        <v>11</v>
      </c>
      <c r="H15" s="122">
        <f>IF(VLOOKUP('Hide - Control'!A$3,'All practice data'!A:CA,C15+30,FALSE)=" "," ",VLOOKUP('Hide - Control'!A$3,'All practice data'!A:CA,C15+30,FALSE))</f>
        <v>325.54010062148564</v>
      </c>
      <c r="I15" s="123">
        <f>IF(LEFT(G15,1)=" "," n/a",IF(G15&lt;5,100000*VLOOKUP(G15,'Hide - Calculation'!AQ:AR,2,FALSE)/$E$8,100000*(G15*(1-1/(9*G15)-1.96/(3*SQRT(G15)))^3)/$E$8))</f>
        <v>162.28514646317802</v>
      </c>
      <c r="J15" s="123">
        <f>IF(LEFT(G15,1)=" "," n/a",IF(G15&lt;5,100000*VLOOKUP(G15,'Hide - Calculation'!AQ:AS,3,FALSE)/$E$8,100000*((G15+1)*(1-1/(9*(G15+1))+1.96/(3*SQRT(G15+1)))^3)/$E$8))</f>
        <v>582.5217709207998</v>
      </c>
      <c r="K15" s="122">
        <f>IF('Hide - Calculation'!N9="","",'Hide - Calculation'!N9)</f>
        <v>247.41605526696299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595.78369140625</v>
      </c>
      <c r="AB15" s="234" t="s">
        <v>452</v>
      </c>
      <c r="AC15" s="131">
        <v>2009</v>
      </c>
      <c r="AD15" s="64"/>
      <c r="AE15" s="64"/>
      <c r="AF15" s="64"/>
      <c r="AG15" s="64"/>
      <c r="AH15" s="64"/>
      <c r="AI15" s="64"/>
      <c r="AJ15" s="64"/>
      <c r="AK15" s="64"/>
      <c r="AL15" s="64"/>
      <c r="AM15" s="64"/>
    </row>
    <row r="16" spans="2:29" s="63" customFormat="1" ht="33.75" customHeight="1">
      <c r="B16" s="306"/>
      <c r="C16" s="137">
        <v>4</v>
      </c>
      <c r="D16" s="132" t="s">
        <v>474</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103.53630018386619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362.23681640625</v>
      </c>
      <c r="AB16" s="234" t="s">
        <v>332</v>
      </c>
      <c r="AC16" s="131" t="s">
        <v>507</v>
      </c>
    </row>
    <row r="17" spans="2:29" s="63" customFormat="1" ht="33.75" customHeight="1" thickBot="1">
      <c r="B17" s="309"/>
      <c r="C17" s="180">
        <v>5</v>
      </c>
      <c r="D17" s="195" t="s">
        <v>337</v>
      </c>
      <c r="E17" s="182"/>
      <c r="F17" s="182"/>
      <c r="G17" s="140">
        <f>IF(VLOOKUP('Hide - Control'!A$3,'All practice data'!A:CA,C17+4,FALSE)=" "," ",VLOOKUP('Hide - Control'!A$3,'All practice data'!A:CA,C17+4,FALSE))</f>
        <v>26</v>
      </c>
      <c r="H17" s="141">
        <f>IF(VLOOKUP('Hide - Control'!A$3,'All practice data'!A:CA,C17+30,FALSE)=" "," ",VLOOKUP('Hide - Control'!A$3,'All practice data'!A:CA,C17+30,FALSE))</f>
        <v>0.008</v>
      </c>
      <c r="I17" s="142">
        <f>IF(LEFT(G17,1)=" "," n/a",+((2*G17+1.96^2-1.96*SQRT(1.96^2+4*G17*(1-G17/E$8)))/(2*(E$8+1.96^2))))</f>
        <v>0.005256421697281107</v>
      </c>
      <c r="J17" s="142">
        <f>IF(LEFT(G17,1)=" "," n/a",+((2*G17+1.96^2+1.96*SQRT(1.96^2+4*G17*(1-G17/E$8)))/(2*(E$8+1.96^2))))</f>
        <v>0.011250883876825586</v>
      </c>
      <c r="K17" s="141">
        <f>IF('Hide - Calculation'!N11="","",'Hide - Calculation'!N11)</f>
        <v>0.009136185936914261</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0.014999999664723873</v>
      </c>
      <c r="AB17" s="235" t="s">
        <v>475</v>
      </c>
      <c r="AC17" s="189" t="s">
        <v>507</v>
      </c>
    </row>
    <row r="18" spans="2:29" s="63" customFormat="1" ht="33.75" customHeight="1">
      <c r="B18" s="308" t="s">
        <v>13</v>
      </c>
      <c r="C18" s="163">
        <v>6</v>
      </c>
      <c r="D18" s="164" t="s">
        <v>483</v>
      </c>
      <c r="E18" s="165"/>
      <c r="F18" s="165"/>
      <c r="G18" s="219">
        <f>IF(OR(VLOOKUP('Hide - Control'!A$3,'All practice data'!A:CA,C18+4,FALSE)=" ",VLOOKUP('Hide - Control'!A$3,'All practice data'!A:CA,C18+52,FALSE)=0)," n/a",VLOOKUP('Hide - Control'!A$3,'All practice data'!A:CA,C18+4,FALSE))</f>
        <v>106</v>
      </c>
      <c r="H18" s="220">
        <f>IF(OR(VLOOKUP('Hide - Control'!A$3,'All practice data'!A:CA,C18+30,FALSE)=" ",VLOOKUP('Hide - Control'!A$3,'All practice data'!A:CA,C18+52,FALSE)=0)," n/a",VLOOKUP('Hide - Control'!A$3,'All practice data'!A:CA,C18+30,FALSE))</f>
        <v>0.524752</v>
      </c>
      <c r="I18" s="191">
        <f>IF(OR(LEFT(H18,1)=" ",VLOOKUP('Hide - Control'!A$3,'All practice data'!A:CA,C18+52,FALSE)=0)," n/a",+((2*G18+1.96^2-1.96*SQRT(1.96^2+4*G18*(1-G18/(VLOOKUP('Hide - Control'!A$3,'All practice data'!A:CA,C18+52,FALSE)))))/(2*(((VLOOKUP('Hide - Control'!A$3,'All practice data'!A:CA,C18+52,FALSE)))+1.96^2))))</f>
        <v>0.4560666082035837</v>
      </c>
      <c r="J18" s="191">
        <f>IF(OR(LEFT(H18,1)=" ",VLOOKUP('Hide - Control'!A$3,'All practice data'!A:CA,C18+52,FALSE)=0)," n/a",+((2*G18+1.96^2+1.96*SQRT(1.96^2+4*G18*(1-G18/(VLOOKUP('Hide - Control'!A$3,'All practice data'!A:CA,C18+52,FALSE)))))/(2*((VLOOKUP('Hide - Control'!A$3,'All practice data'!A:CA,C18+52,FALSE))+1.96^2))))</f>
        <v>0.5925144366386639</v>
      </c>
      <c r="K18" s="220">
        <f>IF('Hide - Calculation'!N12="","",'Hide - Calculation'!N12)</f>
        <v>0.5817869242048844</v>
      </c>
      <c r="L18" s="192">
        <f>'Hide - Calculation'!O12</f>
        <v>0.7248631360507991</v>
      </c>
      <c r="M18" s="193">
        <f>IF(ISBLANK('Hide - Calculation'!K12),"",'Hide - Calculation'!U12)</f>
        <v>0.4169740080833435</v>
      </c>
      <c r="N18" s="194"/>
      <c r="O18" s="173"/>
      <c r="P18" s="173"/>
      <c r="Q18" s="173"/>
      <c r="R18" s="173"/>
      <c r="S18" s="173"/>
      <c r="T18" s="173"/>
      <c r="U18" s="173"/>
      <c r="V18" s="173"/>
      <c r="W18" s="173"/>
      <c r="X18" s="173"/>
      <c r="Y18" s="173"/>
      <c r="Z18" s="174"/>
      <c r="AA18" s="193">
        <f>IF(ISBLANK('Hide - Calculation'!K12),"",'Hide - Calculation'!T12)</f>
        <v>0.6809920072555542</v>
      </c>
      <c r="AB18" s="233" t="s">
        <v>48</v>
      </c>
      <c r="AC18" s="175" t="s">
        <v>508</v>
      </c>
    </row>
    <row r="19" spans="2:29" s="63" customFormat="1" ht="33.75" customHeight="1">
      <c r="B19" s="306"/>
      <c r="C19" s="137">
        <v>7</v>
      </c>
      <c r="D19" s="132" t="s">
        <v>484</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0.5503830288744844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0.7692310214042664</v>
      </c>
      <c r="AB19" s="234" t="s">
        <v>48</v>
      </c>
      <c r="AC19" s="131" t="s">
        <v>507</v>
      </c>
    </row>
    <row r="20" spans="2:29" s="63" customFormat="1" ht="33.75" customHeight="1">
      <c r="B20" s="306"/>
      <c r="C20" s="137">
        <v>8</v>
      </c>
      <c r="D20" s="132" t="s">
        <v>485</v>
      </c>
      <c r="E20" s="85"/>
      <c r="F20" s="85"/>
      <c r="G20" s="221">
        <f>IF(OR(VLOOKUP('Hide - Control'!A$3,'All practice data'!A:CA,C20+4,FALSE)=" ",VLOOKUP('Hide - Control'!A$3,'All practice data'!A:CA,C20+52,FALSE)=0)," n/a",VLOOKUP('Hide - Control'!A$3,'All practice data'!A:CA,C20+4,FALSE))</f>
        <v>595</v>
      </c>
      <c r="H20" s="218">
        <f>IF(OR(VLOOKUP('Hide - Control'!A$3,'All practice data'!A:CA,C20+30,FALSE)=" ",VLOOKUP('Hide - Control'!A$3,'All practice data'!A:CA,C20+52,FALSE)=0)," n/a",VLOOKUP('Hide - Control'!A$3,'All practice data'!A:CA,C20+30,FALSE))</f>
        <v>0.581623</v>
      </c>
      <c r="I20" s="120">
        <f>IF(OR(LEFT(H20,1)=" ",VLOOKUP('Hide - Control'!A$3,'All practice data'!A:CA,C20+52,FALSE)=0)," n/a",+((2*G20+1.96^2-1.96*SQRT(1.96^2+4*G20*(1-G20/(VLOOKUP('Hide - Control'!A$3,'All practice data'!A:CA,C20+52,FALSE)))))/(2*(((VLOOKUP('Hide - Control'!A$3,'All practice data'!A:CA,C20+52,FALSE)))+1.96^2))))</f>
        <v>0.5511434221078717</v>
      </c>
      <c r="J20" s="120">
        <f>IF(OR(LEFT(H20,1)=" ",VLOOKUP('Hide - Control'!A$3,'All practice data'!A:CA,C20+52,FALSE)=0)," n/a",+((2*G20+1.96^2+1.96*SQRT(1.96^2+4*G20*(1-G20/(VLOOKUP('Hide - Control'!A$3,'All practice data'!A:CA,C20+52,FALSE)))))/(2*((VLOOKUP('Hide - Control'!A$3,'All practice data'!A:CA,C20+52,FALSE))+1.96^2))))</f>
        <v>0.6114912043038359</v>
      </c>
      <c r="K20" s="218">
        <f>IF('Hide - Calculation'!N14="","",'Hide - Calculation'!N14)</f>
        <v>0.6798675821481118</v>
      </c>
      <c r="L20" s="155">
        <f>'Hide - Calculation'!O14</f>
        <v>0.7559681673907895</v>
      </c>
      <c r="M20" s="152">
        <f>IF(ISBLANK('Hide - Calculation'!K14),"",'Hide - Calculation'!U14)</f>
        <v>0.4375</v>
      </c>
      <c r="N20" s="160"/>
      <c r="O20" s="84"/>
      <c r="P20" s="84"/>
      <c r="Q20" s="84"/>
      <c r="R20" s="84"/>
      <c r="S20" s="84"/>
      <c r="T20" s="84"/>
      <c r="U20" s="84"/>
      <c r="V20" s="84"/>
      <c r="W20" s="84"/>
      <c r="X20" s="84"/>
      <c r="Y20" s="84"/>
      <c r="Z20" s="88"/>
      <c r="AA20" s="152">
        <f>IF(ISBLANK('Hide - Calculation'!K14),"",'Hide - Calculation'!T14)</f>
        <v>0.7794119715690613</v>
      </c>
      <c r="AB20" s="234" t="s">
        <v>48</v>
      </c>
      <c r="AC20" s="131" t="s">
        <v>509</v>
      </c>
    </row>
    <row r="21" spans="2:29" s="63" customFormat="1" ht="33.75" customHeight="1">
      <c r="B21" s="306"/>
      <c r="C21" s="137">
        <v>9</v>
      </c>
      <c r="D21" s="132" t="s">
        <v>486</v>
      </c>
      <c r="E21" s="85"/>
      <c r="F21" s="85"/>
      <c r="G21" s="221">
        <f>IF(OR(VLOOKUP('Hide - Control'!A$3,'All practice data'!A:CA,C21+4,FALSE)=" ",VLOOKUP('Hide - Control'!A$3,'All practice data'!A:CA,C21+52,FALSE)=0)," n/a",VLOOKUP('Hide - Control'!A$3,'All practice data'!A:CA,C21+4,FALSE))</f>
        <v>47</v>
      </c>
      <c r="H21" s="218">
        <f>IF(OR(VLOOKUP('Hide - Control'!A$3,'All practice data'!A:CA,C21+30,FALSE)=" ",VLOOKUP('Hide - Control'!A$3,'All practice data'!A:CA,C21+52,FALSE)=0)," n/a",VLOOKUP('Hide - Control'!A$3,'All practice data'!A:CA,C21+30,FALSE))</f>
        <v>0.281437</v>
      </c>
      <c r="I21" s="120">
        <f>IF(OR(LEFT(H21,1)=" ",VLOOKUP('Hide - Control'!A$3,'All practice data'!A:CA,C21+52,FALSE)=0)," n/a",+((2*G21+1.96^2-1.96*SQRT(1.96^2+4*G21*(1-G21/(VLOOKUP('Hide - Control'!A$3,'All practice data'!A:CA,C21+52,FALSE)))))/(2*(((VLOOKUP('Hide - Control'!A$3,'All practice data'!A:CA,C21+52,FALSE)))+1.96^2))))</f>
        <v>0.21873841621514312</v>
      </c>
      <c r="J21" s="120">
        <f>IF(OR(LEFT(H21,1)=" ",VLOOKUP('Hide - Control'!A$3,'All practice data'!A:CA,C21+52,FALSE)=0)," n/a",+((2*G21+1.96^2+1.96*SQRT(1.96^2+4*G21*(1-G21/(VLOOKUP('Hide - Control'!A$3,'All practice data'!A:CA,C21+52,FALSE)))))/(2*((VLOOKUP('Hide - Control'!A$3,'All practice data'!A:CA,C21+52,FALSE))+1.96^2))))</f>
        <v>0.35396518759095563</v>
      </c>
      <c r="K21" s="218">
        <f>IF('Hide - Calculation'!N15="","",'Hide - Calculation'!N15)</f>
        <v>0.34930458970792766</v>
      </c>
      <c r="L21" s="155">
        <f>'Hide - Calculation'!O15</f>
        <v>0.5147293797466616</v>
      </c>
      <c r="M21" s="152">
        <f>IF(ISBLANK('Hide - Calculation'!K15),"",'Hide - Calculation'!U15)</f>
        <v>0.17808200418949127</v>
      </c>
      <c r="N21" s="160"/>
      <c r="O21" s="84"/>
      <c r="P21" s="84"/>
      <c r="Q21" s="84"/>
      <c r="R21" s="84"/>
      <c r="S21" s="84"/>
      <c r="T21" s="84"/>
      <c r="U21" s="84"/>
      <c r="V21" s="84"/>
      <c r="W21" s="84"/>
      <c r="X21" s="84"/>
      <c r="Y21" s="84"/>
      <c r="Z21" s="88"/>
      <c r="AA21" s="152">
        <f>IF(ISBLANK('Hide - Calculation'!K15),"",'Hide - Calculation'!T15)</f>
        <v>0.444148987531662</v>
      </c>
      <c r="AB21" s="234" t="s">
        <v>48</v>
      </c>
      <c r="AC21" s="131" t="s">
        <v>508</v>
      </c>
    </row>
    <row r="22" spans="2:29" s="63" customFormat="1" ht="33.75" customHeight="1" thickBot="1">
      <c r="B22" s="309"/>
      <c r="C22" s="180">
        <v>10</v>
      </c>
      <c r="D22" s="195" t="s">
        <v>487</v>
      </c>
      <c r="E22" s="182"/>
      <c r="F22" s="182"/>
      <c r="G22" s="222">
        <f>IF(OR(VLOOKUP('Hide - Control'!A$3,'All practice data'!A:CA,C22+4,FALSE)=" ",VLOOKUP('Hide - Control'!A$3,'All practice data'!A:CA,C22+52,FALSE)=0)," n/a",VLOOKUP('Hide - Control'!A$3,'All practice data'!A:CA,C22+4,FALSE))</f>
        <v>25</v>
      </c>
      <c r="H22" s="223">
        <f>IF(OR(VLOOKUP('Hide - Control'!A$3,'All practice data'!A:CA,C22+30,FALSE)=" ",VLOOKUP('Hide - Control'!A$3,'All practice data'!A:CA,C22+52,FALSE)=0)," n/a",VLOOKUP('Hide - Control'!A$3,'All practice data'!A:CA,C22+30,FALSE))</f>
        <v>0.304878</v>
      </c>
      <c r="I22" s="196">
        <f>IF(OR(LEFT(H22,1)=" ",VLOOKUP('Hide - Control'!A$3,'All practice data'!A:CA,C22+52,FALSE)=0)," n/a",+((2*G22+1.96^2-1.96*SQRT(1.96^2+4*G22*(1-G22/(VLOOKUP('Hide - Control'!A$3,'All practice data'!A:CA,C22+52,FALSE)))))/(2*(((VLOOKUP('Hide - Control'!A$3,'All practice data'!A:CA,C22+52,FALSE)))+1.96^2))))</f>
        <v>0.21583254094468945</v>
      </c>
      <c r="J22" s="196">
        <f>IF(OR(LEFT(H22,1)=" ",VLOOKUP('Hide - Control'!A$3,'All practice data'!A:CA,C22+52,FALSE)=0)," n/a",+((2*G22+1.96^2+1.96*SQRT(1.96^2+4*G22*(1-G22/(VLOOKUP('Hide - Control'!A$3,'All practice data'!A:CA,C22+52,FALSE)))))/(2*((VLOOKUP('Hide - Control'!A$3,'All practice data'!A:CA,C22+52,FALSE))+1.96^2))))</f>
        <v>0.4113878277343659</v>
      </c>
      <c r="K22" s="223">
        <f>IF('Hide - Calculation'!N16="","",'Hide - Calculation'!N16)</f>
        <v>0.373994070309191</v>
      </c>
      <c r="L22" s="197">
        <f>'Hide - Calculation'!O16</f>
        <v>0.5752927626212945</v>
      </c>
      <c r="M22" s="198">
        <f>IF(ISBLANK('Hide - Calculation'!K16),"",'Hide - Calculation'!U16)</f>
        <v>0.23749999701976776</v>
      </c>
      <c r="N22" s="199"/>
      <c r="O22" s="91"/>
      <c r="P22" s="91"/>
      <c r="Q22" s="91"/>
      <c r="R22" s="91"/>
      <c r="S22" s="91"/>
      <c r="T22" s="91"/>
      <c r="U22" s="91"/>
      <c r="V22" s="91"/>
      <c r="W22" s="91"/>
      <c r="X22" s="91"/>
      <c r="Y22" s="91"/>
      <c r="Z22" s="188"/>
      <c r="AA22" s="198">
        <f>IF(ISBLANK('Hide - Calculation'!K16),"",'Hide - Calculation'!T16)</f>
        <v>0.4850139915943146</v>
      </c>
      <c r="AB22" s="235" t="s">
        <v>48</v>
      </c>
      <c r="AC22" s="189" t="s">
        <v>507</v>
      </c>
    </row>
    <row r="23" spans="2:29" s="63" customFormat="1" ht="33.75" customHeight="1">
      <c r="B23" s="308" t="s">
        <v>327</v>
      </c>
      <c r="C23" s="163">
        <v>11</v>
      </c>
      <c r="D23" s="179" t="s">
        <v>339</v>
      </c>
      <c r="E23" s="165"/>
      <c r="F23" s="165"/>
      <c r="G23" s="118">
        <f>IF(VLOOKUP('Hide - Control'!A$3,'All practice data'!A:CA,C23+4,FALSE)=" "," ",VLOOKUP('Hide - Control'!A$3,'All practice data'!A:CA,C23+4,FALSE))</f>
        <v>50</v>
      </c>
      <c r="H23" s="216">
        <f>IF(VLOOKUP('Hide - Control'!A$3,'All practice data'!A:CA,C23+30,FALSE)=" "," ",VLOOKUP('Hide - Control'!A$3,'All practice data'!A:CA,C23+30,FALSE))</f>
        <v>1479.727730097662</v>
      </c>
      <c r="I23" s="215">
        <f>IF(LEFT(G23,1)=" "," n/a",IF(G23&lt;5,100000*VLOOKUP(G23,'Hide - Calculation'!AQ:AR,2,FALSE)/$E$8,100000*(G23*(1-1/(9*G23)-1.96/(3*SQRT(G23)))^3)/$E$8))</f>
        <v>1098.191525689099</v>
      </c>
      <c r="J23" s="215">
        <f>IF(LEFT(G23,1)=" "," n/a",IF(G23&lt;5,100000*VLOOKUP(G23,'Hide - Calculation'!AQ:AS,3,FALSE)/$E$8,100000*((G23+1)*(1-1/(9*(G23+1))+1.96/(3*SQRT(G23+1)))^3)/$E$8))</f>
        <v>1950.886708675812</v>
      </c>
      <c r="K23" s="216">
        <f>IF('Hide - Calculation'!N17="","",'Hide - Calculation'!N17)</f>
        <v>1162.462735857477</v>
      </c>
      <c r="L23" s="217">
        <f>'Hide - Calculation'!O17</f>
        <v>1812.1669120472948</v>
      </c>
      <c r="M23" s="170">
        <f>IF(ISBLANK('Hide - Calculation'!K17),"",'Hide - Calculation'!U17)</f>
        <v>128.76226806640625</v>
      </c>
      <c r="N23" s="171"/>
      <c r="O23" s="172"/>
      <c r="P23" s="172"/>
      <c r="Q23" s="172"/>
      <c r="R23" s="173"/>
      <c r="S23" s="173"/>
      <c r="T23" s="173"/>
      <c r="U23" s="173"/>
      <c r="V23" s="173"/>
      <c r="W23" s="173"/>
      <c r="X23" s="173"/>
      <c r="Y23" s="173"/>
      <c r="Z23" s="174"/>
      <c r="AA23" s="170">
        <f>IF(ISBLANK('Hide - Calculation'!K17),"",'Hide - Calculation'!T17)</f>
        <v>2834.149658203125</v>
      </c>
      <c r="AB23" s="233" t="s">
        <v>26</v>
      </c>
      <c r="AC23" s="175" t="s">
        <v>507</v>
      </c>
    </row>
    <row r="24" spans="2:29" s="63" customFormat="1" ht="33.75" customHeight="1">
      <c r="B24" s="306"/>
      <c r="C24" s="137">
        <v>12</v>
      </c>
      <c r="D24" s="147" t="s">
        <v>493</v>
      </c>
      <c r="E24" s="85"/>
      <c r="F24" s="85"/>
      <c r="G24" s="118">
        <f>IF(VLOOKUP('Hide - Control'!A$3,'All practice data'!A:CA,C24+4,FALSE)=" "," ",VLOOKUP('Hide - Control'!A$3,'All practice data'!A:CA,C24+4,FALSE))</f>
        <v>50</v>
      </c>
      <c r="H24" s="119">
        <f>IF(VLOOKUP('Hide - Control'!A$3,'All practice data'!A:CA,C24+30,FALSE)=" "," ",VLOOKUP('Hide - Control'!A$3,'All practice data'!A:CA,C24+30,FALSE))</f>
        <v>1.082408752</v>
      </c>
      <c r="I24" s="212">
        <f>IF(LEFT(VLOOKUP('Hide - Control'!A$3,'All practice data'!A:CA,C24+44,FALSE),1)=" "," n/a",VLOOKUP('Hide - Control'!A$3,'All practice data'!A:CA,C24+44,FALSE))</f>
        <v>0.8033846283</v>
      </c>
      <c r="J24" s="212">
        <f>IF(LEFT(VLOOKUP('Hide - Control'!A$3,'All practice data'!A:CA,C24+45,FALSE),1)=" "," n/a",VLOOKUP('Hide - Control'!A$3,'All practice data'!A:CA,C24+45,FALSE))</f>
        <v>1.427021027</v>
      </c>
      <c r="K24" s="152" t="s">
        <v>559</v>
      </c>
      <c r="L24" s="213">
        <v>1</v>
      </c>
      <c r="M24" s="152">
        <f>IF(ISBLANK('Hide - Calculation'!K18),"",'Hide - Calculation'!U18)</f>
        <v>0.09589454531669617</v>
      </c>
      <c r="N24" s="86"/>
      <c r="O24" s="87"/>
      <c r="P24" s="87"/>
      <c r="Q24" s="87"/>
      <c r="R24" s="84"/>
      <c r="S24" s="84"/>
      <c r="T24" s="84"/>
      <c r="U24" s="84"/>
      <c r="V24" s="84"/>
      <c r="W24" s="84"/>
      <c r="X24" s="84"/>
      <c r="Y24" s="84"/>
      <c r="Z24" s="88"/>
      <c r="AA24" s="152">
        <f>IF(ISBLANK('Hide - Calculation'!K18),"",'Hide - Calculation'!T18)</f>
        <v>2.02553129196167</v>
      </c>
      <c r="AB24" s="234" t="s">
        <v>26</v>
      </c>
      <c r="AC24" s="131" t="s">
        <v>507</v>
      </c>
    </row>
    <row r="25" spans="2:29" s="63" customFormat="1" ht="33.75" customHeight="1">
      <c r="B25" s="306"/>
      <c r="C25" s="137">
        <v>13</v>
      </c>
      <c r="D25" s="147" t="s">
        <v>334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0.09398034398034398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0.31578946113586426</v>
      </c>
      <c r="AB25" s="234" t="s">
        <v>26</v>
      </c>
      <c r="AC25" s="131" t="s">
        <v>507</v>
      </c>
    </row>
    <row r="26" spans="2:29" s="63" customFormat="1" ht="33.75" customHeight="1">
      <c r="B26" s="306"/>
      <c r="C26" s="137">
        <v>14</v>
      </c>
      <c r="D26" s="147" t="s">
        <v>476</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0.46504559270516715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0.7272727489471436</v>
      </c>
      <c r="AB26" s="234" t="s">
        <v>26</v>
      </c>
      <c r="AC26" s="131" t="s">
        <v>507</v>
      </c>
    </row>
    <row r="27" spans="2:29" s="63" customFormat="1" ht="33.75" customHeight="1">
      <c r="B27" s="306"/>
      <c r="C27" s="137">
        <v>15</v>
      </c>
      <c r="D27" s="147" t="s">
        <v>463</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272.05055427622773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839.748046875</v>
      </c>
      <c r="AB27" s="234" t="s">
        <v>26</v>
      </c>
      <c r="AC27" s="131" t="s">
        <v>507</v>
      </c>
    </row>
    <row r="28" spans="2:29" s="63" customFormat="1" ht="33.75" customHeight="1">
      <c r="B28" s="306"/>
      <c r="C28" s="137">
        <v>16</v>
      </c>
      <c r="D28" s="147" t="s">
        <v>464</v>
      </c>
      <c r="E28" s="85"/>
      <c r="F28" s="85"/>
      <c r="G28" s="121">
        <f>IF(VLOOKUP('Hide - Control'!A$3,'All practice data'!A:CA,C28+4,FALSE)=" "," ",VLOOKUP('Hide - Control'!A$3,'All practice data'!A:CA,C28+4,FALSE))</f>
        <v>10</v>
      </c>
      <c r="H28" s="122">
        <f>IF(VLOOKUP('Hide - Control'!A$3,'All practice data'!A:CA,C28+30,FALSE)=" "," ",VLOOKUP('Hide - Control'!A$3,'All practice data'!A:CA,C28+30,FALSE))</f>
        <v>295.9455460195324</v>
      </c>
      <c r="I28" s="123">
        <f>IF(LEFT(G28,1)=" "," n/a",IF(G28&lt;5,100000*VLOOKUP(G28,'Hide - Calculation'!AQ:AR,2,FALSE)/$E$8,100000*(G28*(1-1/(9*G28)-1.96/(3*SQRT(G28)))^3)/$E$8))</f>
        <v>141.68038518891984</v>
      </c>
      <c r="J28" s="123">
        <f>IF(LEFT(G28,1)=" "," n/a",IF(G28&lt;5,100000*VLOOKUP(G28,'Hide - Calculation'!AQ:AS,3,FALSE)/$E$8,100000*((G28+1)*(1-1/(9*(G28+1))+1.96/(3*SQRT(G28+1)))^3)/$E$8))</f>
        <v>544.2920057428387</v>
      </c>
      <c r="K28" s="122">
        <f>IF('Hide - Calculation'!N22="","",'Hide - Calculation'!N22)</f>
        <v>143.52273335832484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325.5365295410156</v>
      </c>
      <c r="AB28" s="234" t="s">
        <v>26</v>
      </c>
      <c r="AC28" s="131" t="s">
        <v>507</v>
      </c>
    </row>
    <row r="29" spans="2:29" s="63" customFormat="1" ht="33.75" customHeight="1">
      <c r="B29" s="306"/>
      <c r="C29" s="137">
        <v>17</v>
      </c>
      <c r="D29" s="147" t="s">
        <v>465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49.26899801852943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141.30946350097656</v>
      </c>
      <c r="AB29" s="234" t="s">
        <v>26</v>
      </c>
      <c r="AC29" s="131" t="s">
        <v>507</v>
      </c>
    </row>
    <row r="30" spans="2:29" s="63" customFormat="1" ht="33.75" customHeight="1" thickBot="1">
      <c r="B30" s="309"/>
      <c r="C30" s="180">
        <v>18</v>
      </c>
      <c r="D30" s="181" t="s">
        <v>466</v>
      </c>
      <c r="E30" s="182"/>
      <c r="F30" s="182"/>
      <c r="G30" s="183">
        <f>IF(VLOOKUP('Hide - Control'!A$3,'All practice data'!A:CA,C30+4,FALSE)=" "," ",VLOOKUP('Hide - Control'!A$3,'All practice data'!A:CA,C30+4,FALSE))</f>
        <v>11</v>
      </c>
      <c r="H30" s="184">
        <f>IF(VLOOKUP('Hide - Control'!A$3,'All practice data'!A:CA,C30+30,FALSE)=" "," ",VLOOKUP('Hide - Control'!A$3,'All practice data'!A:CA,C30+30,FALSE))</f>
        <v>325.54010062148564</v>
      </c>
      <c r="I30" s="185">
        <f>IF(LEFT(G30,1)=" "," n/a",IF(G30&lt;5,100000*VLOOKUP(G30,'Hide - Calculation'!AQ:AR,2,FALSE)/$E$8,100000*(G30*(1-1/(9*G30)-1.96/(3*SQRT(G30)))^3)/$E$8))</f>
        <v>162.28514646317802</v>
      </c>
      <c r="J30" s="185">
        <f>IF(LEFT(G30,1)=" "," n/a",IF(G30&lt;5,100000*VLOOKUP(G30,'Hide - Calculation'!AQ:AS,3,FALSE)/$E$8,100000*((G30+1)*(1-1/(9*(G30+1))+1.96/(3*SQRT(G30+1)))^3)/$E$8))</f>
        <v>582.5217709207998</v>
      </c>
      <c r="K30" s="184">
        <f>IF('Hide - Calculation'!N24="","",'Hide - Calculation'!N24)</f>
        <v>206.71557864296042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634.920654296875</v>
      </c>
      <c r="AB30" s="235" t="s">
        <v>26</v>
      </c>
      <c r="AC30" s="189" t="s">
        <v>507</v>
      </c>
    </row>
    <row r="31" spans="2:29" s="63" customFormat="1" ht="33.75" customHeight="1">
      <c r="B31" s="304" t="s">
        <v>336</v>
      </c>
      <c r="C31" s="163">
        <v>19</v>
      </c>
      <c r="D31" s="164" t="s">
        <v>340</v>
      </c>
      <c r="E31" s="165"/>
      <c r="F31" s="165"/>
      <c r="G31" s="166">
        <f>IF(VLOOKUP('Hide - Control'!A$3,'All practice data'!A:CA,C31+4,FALSE)=" "," ",VLOOKUP('Hide - Control'!A$3,'All practice data'!A:CA,C31+4,FALSE))</f>
        <v>8</v>
      </c>
      <c r="H31" s="167">
        <f>IF(VLOOKUP('Hide - Control'!A$3,'All practice data'!A:CA,C31+30,FALSE)=" "," ",VLOOKUP('Hide - Control'!A$3,'All practice data'!A:CA,C31+30,FALSE))</f>
        <v>236.75643681562593</v>
      </c>
      <c r="I31" s="168">
        <f>IF(LEFT(G31,1)=" "," n/a",IF(G31&lt;5,100000*VLOOKUP(G31,'Hide - Calculation'!AQ:AR,2,FALSE)/$E$8,100000*(G31*(1-1/(9*G31)-1.96/(3*SQRT(G31)))^3)/$E$8))</f>
        <v>101.94236648889358</v>
      </c>
      <c r="J31" s="168">
        <f>IF(LEFT(G31,1)=" "," n/a",IF(G31&lt;5,100000*VLOOKUP(G31,'Hide - Calculation'!AQ:AS,3,FALSE)/$E$8,100000*((G31+1)*(1-1/(9*(G31+1))+1.96/(3*SQRT(G31+1)))^3)/$E$8))</f>
        <v>466.533219650229</v>
      </c>
      <c r="K31" s="167">
        <f>IF('Hide - Calculation'!N25="","",'Hide - Calculation'!N25)</f>
        <v>357.0217247719524</v>
      </c>
      <c r="L31" s="169">
        <f>'Hide - Calculation'!O25</f>
        <v>562.6134400960308</v>
      </c>
      <c r="M31" s="170">
        <f>IF(ISBLANK('Hide - Calculation'!K25),"",'Hide - Calculation'!U25)</f>
        <v>154.79876708984375</v>
      </c>
      <c r="N31" s="171"/>
      <c r="O31" s="172"/>
      <c r="P31" s="172"/>
      <c r="Q31" s="172"/>
      <c r="R31" s="173"/>
      <c r="S31" s="173"/>
      <c r="T31" s="173"/>
      <c r="U31" s="173"/>
      <c r="V31" s="173"/>
      <c r="W31" s="173"/>
      <c r="X31" s="173"/>
      <c r="Y31" s="173"/>
      <c r="Z31" s="174"/>
      <c r="AA31" s="170">
        <f>IF(ISBLANK('Hide - Calculation'!K25),"",'Hide - Calculation'!T25)</f>
        <v>575.93212890625</v>
      </c>
      <c r="AB31" s="233" t="s">
        <v>47</v>
      </c>
      <c r="AC31" s="175" t="s">
        <v>507</v>
      </c>
    </row>
    <row r="32" spans="2:29" s="63" customFormat="1" ht="33.75" customHeight="1">
      <c r="B32" s="305"/>
      <c r="C32" s="137">
        <v>20</v>
      </c>
      <c r="D32" s="132" t="s">
        <v>341</v>
      </c>
      <c r="E32" s="85"/>
      <c r="F32" s="85"/>
      <c r="G32" s="121">
        <f>IF(VLOOKUP('Hide - Control'!A$3,'All practice data'!A:CA,C32+4,FALSE)=" "," ",VLOOKUP('Hide - Control'!A$3,'All practice data'!A:CA,C32+4,FALSE))</f>
        <v>7</v>
      </c>
      <c r="H32" s="122">
        <f>IF(VLOOKUP('Hide - Control'!A$3,'All practice data'!A:CA,C32+30,FALSE)=" "," ",VLOOKUP('Hide - Control'!A$3,'All practice data'!A:CA,C32+30,FALSE))</f>
        <v>207.1618822136727</v>
      </c>
      <c r="I32" s="123">
        <f>IF(LEFT(G32,1)=" "," n/a",IF(G32&lt;5,100000*VLOOKUP(G32,'Hide - Calculation'!AQ:AR,2,FALSE)/$E$8,100000*(G32*(1-1/(9*G32)-1.96/(3*SQRT(G32)))^3)/$E$8))</f>
        <v>82.99434449773361</v>
      </c>
      <c r="J32" s="123">
        <f>IF(LEFT(G32,1)=" "," n/a",IF(G32&lt;5,100000*VLOOKUP(G32,'Hide - Calculation'!AQ:AS,3,FALSE)/$E$8,100000*((G32+1)*(1-1/(9*(G32+1))+1.96/(3*SQRT(G32+1)))^3)/$E$8))</f>
        <v>426.8544971378562</v>
      </c>
      <c r="K32" s="122">
        <f>IF('Hide - Calculation'!N26="","",'Hide - Calculation'!N26)</f>
        <v>209.92877416590798</v>
      </c>
      <c r="L32" s="156">
        <f>'Hide - Calculation'!O26</f>
        <v>405.57105879375996</v>
      </c>
      <c r="M32" s="148">
        <f>IF(ISBLANK('Hide - Calculation'!K26),"",'Hide - Calculation'!U26)</f>
        <v>101.40274047851562</v>
      </c>
      <c r="N32" s="86"/>
      <c r="O32" s="87"/>
      <c r="P32" s="87"/>
      <c r="Q32" s="87"/>
      <c r="R32" s="84"/>
      <c r="S32" s="84"/>
      <c r="T32" s="84"/>
      <c r="U32" s="84"/>
      <c r="V32" s="84"/>
      <c r="W32" s="84"/>
      <c r="X32" s="84"/>
      <c r="Y32" s="84"/>
      <c r="Z32" s="88"/>
      <c r="AA32" s="148">
        <f>IF(ISBLANK('Hide - Calculation'!K26),"",'Hide - Calculation'!T26)</f>
        <v>363.74658203125</v>
      </c>
      <c r="AB32" s="234" t="s">
        <v>47</v>
      </c>
      <c r="AC32" s="131" t="s">
        <v>507</v>
      </c>
    </row>
    <row r="33" spans="2:29" s="63" customFormat="1" ht="33.75" customHeight="1">
      <c r="B33" s="305"/>
      <c r="C33" s="137">
        <v>21</v>
      </c>
      <c r="D33" s="132" t="s">
        <v>343</v>
      </c>
      <c r="E33" s="85"/>
      <c r="F33" s="85"/>
      <c r="G33" s="121">
        <f>IF(VLOOKUP('Hide - Control'!A$3,'All practice data'!A:CA,C33+4,FALSE)=" "," ",VLOOKUP('Hide - Control'!A$3,'All practice data'!A:CA,C33+4,FALSE))</f>
        <v>22</v>
      </c>
      <c r="H33" s="122">
        <f>IF(VLOOKUP('Hide - Control'!A$3,'All practice data'!A:CA,C33+30,FALSE)=" "," ",VLOOKUP('Hide - Control'!A$3,'All practice data'!A:CA,C33+30,FALSE))</f>
        <v>651.0802012429713</v>
      </c>
      <c r="I33" s="123">
        <f>IF(LEFT(G33,1)=" "," n/a",IF(G33&lt;5,100000*VLOOKUP(G33,'Hide - Calculation'!AQ:AR,2,FALSE)/$E$8,100000*(G33*(1-1/(9*G33)-1.96/(3*SQRT(G33)))^3)/$E$8))</f>
        <v>407.8830734176014</v>
      </c>
      <c r="J33" s="123">
        <f>IF(LEFT(G33,1)=" "," n/a",IF(G33&lt;5,100000*VLOOKUP(G33,'Hide - Calculation'!AQ:AS,3,FALSE)/$E$8,100000*((G33+1)*(1-1/(9*(G33+1))+1.96/(3*SQRT(G33+1)))^3)/$E$8))</f>
        <v>985.7946101414055</v>
      </c>
      <c r="K33" s="122">
        <f>IF('Hide - Calculation'!N27="","",'Hide - Calculation'!N27)</f>
        <v>744.0332744247487</v>
      </c>
      <c r="L33" s="156">
        <f>'Hide - Calculation'!O27</f>
        <v>1059.3522061277838</v>
      </c>
      <c r="M33" s="148">
        <f>IF(ISBLANK('Hide - Calculation'!K27),"",'Hide - Calculation'!U27)</f>
        <v>358.0729064941406</v>
      </c>
      <c r="N33" s="86"/>
      <c r="O33" s="87"/>
      <c r="P33" s="87"/>
      <c r="Q33" s="87"/>
      <c r="R33" s="84"/>
      <c r="S33" s="84"/>
      <c r="T33" s="84"/>
      <c r="U33" s="84"/>
      <c r="V33" s="84"/>
      <c r="W33" s="84"/>
      <c r="X33" s="84"/>
      <c r="Y33" s="84"/>
      <c r="Z33" s="88"/>
      <c r="AA33" s="148">
        <f>IF(ISBLANK('Hide - Calculation'!K27),"",'Hide - Calculation'!T27)</f>
        <v>1727.7962646484375</v>
      </c>
      <c r="AB33" s="234" t="s">
        <v>47</v>
      </c>
      <c r="AC33" s="131" t="s">
        <v>507</v>
      </c>
    </row>
    <row r="34" spans="2:29" s="63" customFormat="1" ht="33.75" customHeight="1">
      <c r="B34" s="305"/>
      <c r="C34" s="137">
        <v>22</v>
      </c>
      <c r="D34" s="132" t="s">
        <v>342</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513.0402184972955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1318.8883056640625</v>
      </c>
      <c r="AB34" s="234" t="s">
        <v>47</v>
      </c>
      <c r="AC34" s="131" t="s">
        <v>507</v>
      </c>
    </row>
    <row r="35" spans="2:29" s="63" customFormat="1" ht="33.75" customHeight="1">
      <c r="B35" s="305"/>
      <c r="C35" s="137">
        <v>23</v>
      </c>
      <c r="D35" s="138" t="s">
        <v>467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468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558</v>
      </c>
      <c r="C39" s="244"/>
      <c r="D39" s="244"/>
      <c r="E39" s="303" t="s">
        <v>562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492</v>
      </c>
      <c r="BE2" s="341"/>
      <c r="BF2" s="341"/>
      <c r="BG2" s="341"/>
      <c r="BH2" s="341"/>
      <c r="BI2" s="341"/>
      <c r="BJ2" s="342"/>
    </row>
    <row r="3" spans="1:82" s="72" customFormat="1" ht="76.5" customHeight="1">
      <c r="A3" s="266" t="s">
        <v>276</v>
      </c>
      <c r="B3" s="275" t="s">
        <v>277</v>
      </c>
      <c r="C3" s="276" t="s">
        <v>49</v>
      </c>
      <c r="D3" s="274" t="s">
        <v>477</v>
      </c>
      <c r="E3" s="267" t="s">
        <v>349</v>
      </c>
      <c r="F3" s="267" t="s">
        <v>460</v>
      </c>
      <c r="G3" s="267" t="s">
        <v>351</v>
      </c>
      <c r="H3" s="267" t="s">
        <v>352</v>
      </c>
      <c r="I3" s="267" t="s">
        <v>353</v>
      </c>
      <c r="J3" s="267" t="s">
        <v>501</v>
      </c>
      <c r="K3" s="267" t="s">
        <v>502</v>
      </c>
      <c r="L3" s="267" t="s">
        <v>503</v>
      </c>
      <c r="M3" s="267" t="s">
        <v>354</v>
      </c>
      <c r="N3" s="267" t="s">
        <v>355</v>
      </c>
      <c r="O3" s="267" t="s">
        <v>356</v>
      </c>
      <c r="P3" s="267" t="s">
        <v>491</v>
      </c>
      <c r="Q3" s="267" t="s">
        <v>357</v>
      </c>
      <c r="R3" s="267" t="s">
        <v>358</v>
      </c>
      <c r="S3" s="267" t="s">
        <v>359</v>
      </c>
      <c r="T3" s="267" t="s">
        <v>360</v>
      </c>
      <c r="U3" s="267" t="s">
        <v>361</v>
      </c>
      <c r="V3" s="267" t="s">
        <v>362</v>
      </c>
      <c r="W3" s="267" t="s">
        <v>363</v>
      </c>
      <c r="X3" s="267" t="s">
        <v>364</v>
      </c>
      <c r="Y3" s="267" t="s">
        <v>365</v>
      </c>
      <c r="Z3" s="267" t="s">
        <v>366</v>
      </c>
      <c r="AA3" s="267" t="s">
        <v>367</v>
      </c>
      <c r="AB3" s="267" t="s">
        <v>368</v>
      </c>
      <c r="AC3" s="267" t="s">
        <v>369</v>
      </c>
      <c r="AD3" s="268" t="s">
        <v>370</v>
      </c>
      <c r="AE3" s="268" t="s">
        <v>349</v>
      </c>
      <c r="AF3" s="269" t="s">
        <v>350</v>
      </c>
      <c r="AG3" s="268" t="s">
        <v>351</v>
      </c>
      <c r="AH3" s="268" t="s">
        <v>352</v>
      </c>
      <c r="AI3" s="268" t="s">
        <v>353</v>
      </c>
      <c r="AJ3" s="268" t="s">
        <v>501</v>
      </c>
      <c r="AK3" s="268" t="s">
        <v>502</v>
      </c>
      <c r="AL3" s="268" t="s">
        <v>503</v>
      </c>
      <c r="AM3" s="268" t="s">
        <v>354</v>
      </c>
      <c r="AN3" s="268" t="s">
        <v>355</v>
      </c>
      <c r="AO3" s="268" t="s">
        <v>356</v>
      </c>
      <c r="AP3" s="268" t="s">
        <v>491</v>
      </c>
      <c r="AQ3" s="268" t="s">
        <v>357</v>
      </c>
      <c r="AR3" s="268" t="s">
        <v>358</v>
      </c>
      <c r="AS3" s="268" t="s">
        <v>359</v>
      </c>
      <c r="AT3" s="268" t="s">
        <v>360</v>
      </c>
      <c r="AU3" s="268" t="s">
        <v>361</v>
      </c>
      <c r="AV3" s="268" t="s">
        <v>362</v>
      </c>
      <c r="AW3" s="268" t="s">
        <v>363</v>
      </c>
      <c r="AX3" s="268" t="s">
        <v>364</v>
      </c>
      <c r="AY3" s="270" t="s">
        <v>365</v>
      </c>
      <c r="AZ3" s="271" t="s">
        <v>366</v>
      </c>
      <c r="BA3" s="271" t="s">
        <v>367</v>
      </c>
      <c r="BB3" s="271" t="s">
        <v>368</v>
      </c>
      <c r="BC3" s="272" t="s">
        <v>369</v>
      </c>
      <c r="BD3" s="273" t="s">
        <v>489</v>
      </c>
      <c r="BE3" s="273" t="s">
        <v>490</v>
      </c>
      <c r="BF3" s="273" t="s">
        <v>497</v>
      </c>
      <c r="BG3" s="273" t="s">
        <v>498</v>
      </c>
      <c r="BH3" s="273" t="s">
        <v>496</v>
      </c>
      <c r="BI3" s="273" t="s">
        <v>499</v>
      </c>
      <c r="BJ3" s="273" t="s">
        <v>500</v>
      </c>
      <c r="BK3" s="73"/>
      <c r="BL3" s="73"/>
      <c r="BM3" s="73"/>
      <c r="BN3" s="73"/>
      <c r="BO3" s="73"/>
      <c r="BP3" s="73"/>
      <c r="BQ3" s="73"/>
      <c r="BR3" s="73"/>
      <c r="BS3" s="73"/>
      <c r="BT3" s="73"/>
      <c r="BU3" s="73"/>
      <c r="BV3" s="73"/>
      <c r="BW3" s="73"/>
      <c r="BX3" s="73"/>
      <c r="BY3" s="73"/>
      <c r="BZ3" s="73"/>
      <c r="CA3" s="73"/>
      <c r="CB3" s="73"/>
      <c r="CC3" s="73"/>
      <c r="CD3" s="73"/>
    </row>
    <row r="4" spans="1:66" ht="12.75">
      <c r="A4" s="79" t="s">
        <v>537</v>
      </c>
      <c r="B4" s="79" t="s">
        <v>309</v>
      </c>
      <c r="C4" s="79" t="s">
        <v>74</v>
      </c>
      <c r="D4" s="99">
        <v>3379</v>
      </c>
      <c r="E4" s="99">
        <v>226</v>
      </c>
      <c r="F4" s="99" t="s">
        <v>347</v>
      </c>
      <c r="G4" s="99">
        <v>11</v>
      </c>
      <c r="H4" s="99" t="s">
        <v>561</v>
      </c>
      <c r="I4" s="99">
        <v>26</v>
      </c>
      <c r="J4" s="99">
        <v>106</v>
      </c>
      <c r="K4" s="99" t="s">
        <v>561</v>
      </c>
      <c r="L4" s="99">
        <v>595</v>
      </c>
      <c r="M4" s="99">
        <v>47</v>
      </c>
      <c r="N4" s="99">
        <v>25</v>
      </c>
      <c r="O4" s="99">
        <v>50</v>
      </c>
      <c r="P4" s="159">
        <v>50</v>
      </c>
      <c r="Q4" s="99" t="s">
        <v>561</v>
      </c>
      <c r="R4" s="99" t="s">
        <v>561</v>
      </c>
      <c r="S4" s="99" t="s">
        <v>561</v>
      </c>
      <c r="T4" s="99">
        <v>10</v>
      </c>
      <c r="U4" s="99" t="s">
        <v>561</v>
      </c>
      <c r="V4" s="99">
        <v>11</v>
      </c>
      <c r="W4" s="99">
        <v>8</v>
      </c>
      <c r="X4" s="99">
        <v>7</v>
      </c>
      <c r="Y4" s="99">
        <v>22</v>
      </c>
      <c r="Z4" s="99" t="s">
        <v>561</v>
      </c>
      <c r="AA4" s="99" t="s">
        <v>561</v>
      </c>
      <c r="AB4" s="99" t="s">
        <v>561</v>
      </c>
      <c r="AC4" s="99" t="s">
        <v>561</v>
      </c>
      <c r="AD4" s="98" t="s">
        <v>326</v>
      </c>
      <c r="AE4" s="100">
        <v>0.06688369340041432</v>
      </c>
      <c r="AF4" s="100">
        <v>0.25</v>
      </c>
      <c r="AG4" s="98">
        <v>325.54010062148564</v>
      </c>
      <c r="AH4" s="98" t="s">
        <v>561</v>
      </c>
      <c r="AI4" s="100">
        <v>0.008</v>
      </c>
      <c r="AJ4" s="100">
        <v>0.524752</v>
      </c>
      <c r="AK4" s="100" t="s">
        <v>561</v>
      </c>
      <c r="AL4" s="100">
        <v>0.581623</v>
      </c>
      <c r="AM4" s="100">
        <v>0.281437</v>
      </c>
      <c r="AN4" s="100">
        <v>0.304878</v>
      </c>
      <c r="AO4" s="98">
        <v>1479.727730097662</v>
      </c>
      <c r="AP4" s="158">
        <v>1.082408752</v>
      </c>
      <c r="AQ4" s="100" t="s">
        <v>561</v>
      </c>
      <c r="AR4" s="100" t="s">
        <v>561</v>
      </c>
      <c r="AS4" s="98" t="s">
        <v>561</v>
      </c>
      <c r="AT4" s="98">
        <v>295.9455460195324</v>
      </c>
      <c r="AU4" s="98" t="s">
        <v>561</v>
      </c>
      <c r="AV4" s="98">
        <v>325.54010062148564</v>
      </c>
      <c r="AW4" s="98">
        <v>236.75643681562593</v>
      </c>
      <c r="AX4" s="98">
        <v>207.1618822136727</v>
      </c>
      <c r="AY4" s="98">
        <v>651.0802012429713</v>
      </c>
      <c r="AZ4" s="98" t="s">
        <v>561</v>
      </c>
      <c r="BA4" s="100" t="s">
        <v>561</v>
      </c>
      <c r="BB4" s="100" t="s">
        <v>561</v>
      </c>
      <c r="BC4" s="100" t="s">
        <v>561</v>
      </c>
      <c r="BD4" s="158">
        <v>0.8033846283</v>
      </c>
      <c r="BE4" s="158">
        <v>1.427021027</v>
      </c>
      <c r="BF4" s="162">
        <v>202</v>
      </c>
      <c r="BG4" s="162" t="s">
        <v>561</v>
      </c>
      <c r="BH4" s="162">
        <v>1023</v>
      </c>
      <c r="BI4" s="162">
        <v>167</v>
      </c>
      <c r="BJ4" s="162">
        <v>82</v>
      </c>
      <c r="BK4" s="97"/>
      <c r="BL4" s="97"/>
      <c r="BM4" s="97"/>
      <c r="BN4" s="97"/>
    </row>
    <row r="5" spans="1:66" ht="12.75">
      <c r="A5" s="79" t="s">
        <v>523</v>
      </c>
      <c r="B5" s="79" t="s">
        <v>295</v>
      </c>
      <c r="C5" s="79" t="s">
        <v>74</v>
      </c>
      <c r="D5" s="99">
        <v>5536</v>
      </c>
      <c r="E5" s="99">
        <v>375</v>
      </c>
      <c r="F5" s="99" t="s">
        <v>347</v>
      </c>
      <c r="G5" s="99">
        <v>13</v>
      </c>
      <c r="H5" s="99" t="s">
        <v>561</v>
      </c>
      <c r="I5" s="99">
        <v>40</v>
      </c>
      <c r="J5" s="99">
        <v>225</v>
      </c>
      <c r="K5" s="99">
        <v>10</v>
      </c>
      <c r="L5" s="99">
        <v>1058</v>
      </c>
      <c r="M5" s="99">
        <v>78</v>
      </c>
      <c r="N5" s="99">
        <v>45</v>
      </c>
      <c r="O5" s="99">
        <v>46</v>
      </c>
      <c r="P5" s="159">
        <v>46</v>
      </c>
      <c r="Q5" s="99" t="s">
        <v>561</v>
      </c>
      <c r="R5" s="99">
        <v>9</v>
      </c>
      <c r="S5" s="99">
        <v>16</v>
      </c>
      <c r="T5" s="99" t="s">
        <v>561</v>
      </c>
      <c r="U5" s="99" t="s">
        <v>561</v>
      </c>
      <c r="V5" s="99">
        <v>6</v>
      </c>
      <c r="W5" s="99">
        <v>15</v>
      </c>
      <c r="X5" s="99">
        <v>13</v>
      </c>
      <c r="Y5" s="99">
        <v>33</v>
      </c>
      <c r="Z5" s="99">
        <v>29</v>
      </c>
      <c r="AA5" s="99" t="s">
        <v>561</v>
      </c>
      <c r="AB5" s="99" t="s">
        <v>561</v>
      </c>
      <c r="AC5" s="99" t="s">
        <v>561</v>
      </c>
      <c r="AD5" s="98" t="s">
        <v>326</v>
      </c>
      <c r="AE5" s="100">
        <v>0.06773843930635838</v>
      </c>
      <c r="AF5" s="100">
        <v>0.31</v>
      </c>
      <c r="AG5" s="98">
        <v>234.82658959537574</v>
      </c>
      <c r="AH5" s="98" t="s">
        <v>561</v>
      </c>
      <c r="AI5" s="100">
        <v>0.006999999999999999</v>
      </c>
      <c r="AJ5" s="100">
        <v>0.623269</v>
      </c>
      <c r="AK5" s="100">
        <v>0.769231</v>
      </c>
      <c r="AL5" s="100">
        <v>0.665828</v>
      </c>
      <c r="AM5" s="100">
        <v>0.359447</v>
      </c>
      <c r="AN5" s="100">
        <v>0.401786</v>
      </c>
      <c r="AO5" s="98">
        <v>830.9248554913295</v>
      </c>
      <c r="AP5" s="158">
        <v>0.6460339355000001</v>
      </c>
      <c r="AQ5" s="100" t="s">
        <v>561</v>
      </c>
      <c r="AR5" s="100" t="s">
        <v>561</v>
      </c>
      <c r="AS5" s="98">
        <v>289.01734104046244</v>
      </c>
      <c r="AT5" s="98" t="s">
        <v>561</v>
      </c>
      <c r="AU5" s="98" t="s">
        <v>561</v>
      </c>
      <c r="AV5" s="98">
        <v>108.38150289017341</v>
      </c>
      <c r="AW5" s="98">
        <v>270.95375722543355</v>
      </c>
      <c r="AX5" s="98">
        <v>234.82658959537574</v>
      </c>
      <c r="AY5" s="98">
        <v>596.0982658959538</v>
      </c>
      <c r="AZ5" s="98">
        <v>523.8439306358382</v>
      </c>
      <c r="BA5" s="100" t="s">
        <v>561</v>
      </c>
      <c r="BB5" s="100" t="s">
        <v>561</v>
      </c>
      <c r="BC5" s="100" t="s">
        <v>561</v>
      </c>
      <c r="BD5" s="158">
        <v>0.47297801970000003</v>
      </c>
      <c r="BE5" s="158">
        <v>0.8617186737</v>
      </c>
      <c r="BF5" s="162">
        <v>361</v>
      </c>
      <c r="BG5" s="162">
        <v>13</v>
      </c>
      <c r="BH5" s="162">
        <v>1589</v>
      </c>
      <c r="BI5" s="162">
        <v>217</v>
      </c>
      <c r="BJ5" s="162">
        <v>112</v>
      </c>
      <c r="BK5" s="97"/>
      <c r="BL5" s="97"/>
      <c r="BM5" s="97"/>
      <c r="BN5" s="97"/>
    </row>
    <row r="6" spans="1:66" ht="12.75">
      <c r="A6" s="79" t="s">
        <v>511</v>
      </c>
      <c r="B6" s="79" t="s">
        <v>283</v>
      </c>
      <c r="C6" s="79" t="s">
        <v>74</v>
      </c>
      <c r="D6" s="99">
        <v>12523</v>
      </c>
      <c r="E6" s="99">
        <v>902</v>
      </c>
      <c r="F6" s="99" t="s">
        <v>347</v>
      </c>
      <c r="G6" s="99">
        <v>36</v>
      </c>
      <c r="H6" s="99">
        <v>19</v>
      </c>
      <c r="I6" s="99">
        <v>159</v>
      </c>
      <c r="J6" s="99">
        <v>649</v>
      </c>
      <c r="K6" s="99">
        <v>18</v>
      </c>
      <c r="L6" s="99">
        <v>2994</v>
      </c>
      <c r="M6" s="99">
        <v>280</v>
      </c>
      <c r="N6" s="99">
        <v>158</v>
      </c>
      <c r="O6" s="99">
        <v>200</v>
      </c>
      <c r="P6" s="159">
        <v>200</v>
      </c>
      <c r="Q6" s="99">
        <v>15</v>
      </c>
      <c r="R6" s="99">
        <v>37</v>
      </c>
      <c r="S6" s="99">
        <v>58</v>
      </c>
      <c r="T6" s="99">
        <v>30</v>
      </c>
      <c r="U6" s="99">
        <v>7</v>
      </c>
      <c r="V6" s="99">
        <v>46</v>
      </c>
      <c r="W6" s="99">
        <v>66</v>
      </c>
      <c r="X6" s="99">
        <v>32</v>
      </c>
      <c r="Y6" s="99">
        <v>99</v>
      </c>
      <c r="Z6" s="99">
        <v>82</v>
      </c>
      <c r="AA6" s="99" t="s">
        <v>561</v>
      </c>
      <c r="AB6" s="99" t="s">
        <v>561</v>
      </c>
      <c r="AC6" s="99" t="s">
        <v>561</v>
      </c>
      <c r="AD6" s="98" t="s">
        <v>326</v>
      </c>
      <c r="AE6" s="100">
        <v>0.07202746945620059</v>
      </c>
      <c r="AF6" s="100">
        <v>0.24</v>
      </c>
      <c r="AG6" s="98">
        <v>287.47105326199795</v>
      </c>
      <c r="AH6" s="98">
        <v>151.72083366605446</v>
      </c>
      <c r="AI6" s="100">
        <v>0.013000000000000001</v>
      </c>
      <c r="AJ6" s="100">
        <v>0.635651</v>
      </c>
      <c r="AK6" s="100">
        <v>0.4</v>
      </c>
      <c r="AL6" s="100">
        <v>0.764556</v>
      </c>
      <c r="AM6" s="100">
        <v>0.41979</v>
      </c>
      <c r="AN6" s="100">
        <v>0.459302</v>
      </c>
      <c r="AO6" s="98">
        <v>1597.0614070110996</v>
      </c>
      <c r="AP6" s="158">
        <v>1.134373093</v>
      </c>
      <c r="AQ6" s="100">
        <v>0.075</v>
      </c>
      <c r="AR6" s="100">
        <v>0.40540540540540543</v>
      </c>
      <c r="AS6" s="98">
        <v>463.1478080332189</v>
      </c>
      <c r="AT6" s="98">
        <v>239.55921105166493</v>
      </c>
      <c r="AU6" s="98">
        <v>55.89714924538848</v>
      </c>
      <c r="AV6" s="98">
        <v>367.3241236125529</v>
      </c>
      <c r="AW6" s="98">
        <v>527.0302643136629</v>
      </c>
      <c r="AX6" s="98">
        <v>255.52982512177593</v>
      </c>
      <c r="AY6" s="98">
        <v>790.5453964704943</v>
      </c>
      <c r="AZ6" s="98">
        <v>654.7951768745509</v>
      </c>
      <c r="BA6" s="100" t="s">
        <v>561</v>
      </c>
      <c r="BB6" s="100" t="s">
        <v>561</v>
      </c>
      <c r="BC6" s="100" t="s">
        <v>561</v>
      </c>
      <c r="BD6" s="158">
        <v>0.9825990295</v>
      </c>
      <c r="BE6" s="158">
        <v>1.302952271</v>
      </c>
      <c r="BF6" s="162">
        <v>1021</v>
      </c>
      <c r="BG6" s="162">
        <v>45</v>
      </c>
      <c r="BH6" s="162">
        <v>3916</v>
      </c>
      <c r="BI6" s="162">
        <v>667</v>
      </c>
      <c r="BJ6" s="162">
        <v>344</v>
      </c>
      <c r="BK6" s="97"/>
      <c r="BL6" s="97"/>
      <c r="BM6" s="97"/>
      <c r="BN6" s="97"/>
    </row>
    <row r="7" spans="1:66" ht="12.75">
      <c r="A7" s="79" t="s">
        <v>519</v>
      </c>
      <c r="B7" s="79" t="s">
        <v>291</v>
      </c>
      <c r="C7" s="79" t="s">
        <v>74</v>
      </c>
      <c r="D7" s="99">
        <v>3299</v>
      </c>
      <c r="E7" s="99">
        <v>290</v>
      </c>
      <c r="F7" s="99" t="s">
        <v>347</v>
      </c>
      <c r="G7" s="99">
        <v>10</v>
      </c>
      <c r="H7" s="99" t="s">
        <v>561</v>
      </c>
      <c r="I7" s="99">
        <v>27</v>
      </c>
      <c r="J7" s="99">
        <v>135</v>
      </c>
      <c r="K7" s="99" t="s">
        <v>561</v>
      </c>
      <c r="L7" s="99">
        <v>665</v>
      </c>
      <c r="M7" s="99">
        <v>66</v>
      </c>
      <c r="N7" s="99">
        <v>37</v>
      </c>
      <c r="O7" s="99">
        <v>22</v>
      </c>
      <c r="P7" s="159">
        <v>22</v>
      </c>
      <c r="Q7" s="99" t="s">
        <v>561</v>
      </c>
      <c r="R7" s="99" t="s">
        <v>561</v>
      </c>
      <c r="S7" s="99" t="s">
        <v>561</v>
      </c>
      <c r="T7" s="99">
        <v>8</v>
      </c>
      <c r="U7" s="99" t="s">
        <v>561</v>
      </c>
      <c r="V7" s="99" t="s">
        <v>561</v>
      </c>
      <c r="W7" s="99">
        <v>19</v>
      </c>
      <c r="X7" s="99">
        <v>12</v>
      </c>
      <c r="Y7" s="99">
        <v>57</v>
      </c>
      <c r="Z7" s="99">
        <v>38</v>
      </c>
      <c r="AA7" s="99" t="s">
        <v>561</v>
      </c>
      <c r="AB7" s="99" t="s">
        <v>561</v>
      </c>
      <c r="AC7" s="99" t="s">
        <v>561</v>
      </c>
      <c r="AD7" s="98" t="s">
        <v>326</v>
      </c>
      <c r="AE7" s="100">
        <v>0.08790542588663232</v>
      </c>
      <c r="AF7" s="100">
        <v>0.31</v>
      </c>
      <c r="AG7" s="98">
        <v>303.12215822976657</v>
      </c>
      <c r="AH7" s="98" t="s">
        <v>561</v>
      </c>
      <c r="AI7" s="100">
        <v>0.008</v>
      </c>
      <c r="AJ7" s="100">
        <v>0.521236</v>
      </c>
      <c r="AK7" s="100" t="s">
        <v>561</v>
      </c>
      <c r="AL7" s="100">
        <v>0.714286</v>
      </c>
      <c r="AM7" s="100">
        <v>0.312796</v>
      </c>
      <c r="AN7" s="100">
        <v>0.352381</v>
      </c>
      <c r="AO7" s="98">
        <v>666.8687481054865</v>
      </c>
      <c r="AP7" s="158">
        <v>0.45777976989999997</v>
      </c>
      <c r="AQ7" s="100" t="s">
        <v>561</v>
      </c>
      <c r="AR7" s="100" t="s">
        <v>561</v>
      </c>
      <c r="AS7" s="98" t="s">
        <v>561</v>
      </c>
      <c r="AT7" s="98">
        <v>242.4977265838133</v>
      </c>
      <c r="AU7" s="98" t="s">
        <v>561</v>
      </c>
      <c r="AV7" s="98" t="s">
        <v>561</v>
      </c>
      <c r="AW7" s="98">
        <v>575.9321006365566</v>
      </c>
      <c r="AX7" s="98">
        <v>363.7465898757199</v>
      </c>
      <c r="AY7" s="98">
        <v>1727.7963019096696</v>
      </c>
      <c r="AZ7" s="98">
        <v>1151.8642012731132</v>
      </c>
      <c r="BA7" s="100" t="s">
        <v>561</v>
      </c>
      <c r="BB7" s="100" t="s">
        <v>561</v>
      </c>
      <c r="BC7" s="100" t="s">
        <v>561</v>
      </c>
      <c r="BD7" s="158">
        <v>0.2868881607</v>
      </c>
      <c r="BE7" s="158">
        <v>0.6930841064000001</v>
      </c>
      <c r="BF7" s="162">
        <v>259</v>
      </c>
      <c r="BG7" s="162" t="s">
        <v>561</v>
      </c>
      <c r="BH7" s="162">
        <v>931</v>
      </c>
      <c r="BI7" s="162">
        <v>211</v>
      </c>
      <c r="BJ7" s="162">
        <v>105</v>
      </c>
      <c r="BK7" s="97"/>
      <c r="BL7" s="97"/>
      <c r="BM7" s="97"/>
      <c r="BN7" s="97"/>
    </row>
    <row r="8" spans="1:66" ht="12.75">
      <c r="A8" s="79" t="s">
        <v>526</v>
      </c>
      <c r="B8" s="79" t="s">
        <v>298</v>
      </c>
      <c r="C8" s="79" t="s">
        <v>74</v>
      </c>
      <c r="D8" s="99">
        <v>4323</v>
      </c>
      <c r="E8" s="99">
        <v>287</v>
      </c>
      <c r="F8" s="99" t="s">
        <v>347</v>
      </c>
      <c r="G8" s="99">
        <v>11</v>
      </c>
      <c r="H8" s="99" t="s">
        <v>561</v>
      </c>
      <c r="I8" s="99">
        <v>43</v>
      </c>
      <c r="J8" s="99">
        <v>125</v>
      </c>
      <c r="K8" s="99">
        <v>12</v>
      </c>
      <c r="L8" s="99">
        <v>1095</v>
      </c>
      <c r="M8" s="99">
        <v>59</v>
      </c>
      <c r="N8" s="99">
        <v>28</v>
      </c>
      <c r="O8" s="99">
        <v>26</v>
      </c>
      <c r="P8" s="159">
        <v>26</v>
      </c>
      <c r="Q8" s="99">
        <v>7</v>
      </c>
      <c r="R8" s="99">
        <v>13</v>
      </c>
      <c r="S8" s="99" t="s">
        <v>561</v>
      </c>
      <c r="T8" s="99" t="s">
        <v>561</v>
      </c>
      <c r="U8" s="99" t="s">
        <v>561</v>
      </c>
      <c r="V8" s="99" t="s">
        <v>561</v>
      </c>
      <c r="W8" s="99" t="s">
        <v>561</v>
      </c>
      <c r="X8" s="99">
        <v>7</v>
      </c>
      <c r="Y8" s="99">
        <v>27</v>
      </c>
      <c r="Z8" s="99">
        <v>9</v>
      </c>
      <c r="AA8" s="99" t="s">
        <v>561</v>
      </c>
      <c r="AB8" s="99" t="s">
        <v>561</v>
      </c>
      <c r="AC8" s="99" t="s">
        <v>561</v>
      </c>
      <c r="AD8" s="98" t="s">
        <v>326</v>
      </c>
      <c r="AE8" s="100">
        <v>0.06638908165625723</v>
      </c>
      <c r="AF8" s="100">
        <v>0.26</v>
      </c>
      <c r="AG8" s="98">
        <v>254.4529262086514</v>
      </c>
      <c r="AH8" s="98" t="s">
        <v>561</v>
      </c>
      <c r="AI8" s="100">
        <v>0.01</v>
      </c>
      <c r="AJ8" s="100">
        <v>0.612745</v>
      </c>
      <c r="AK8" s="100">
        <v>0.48</v>
      </c>
      <c r="AL8" s="100">
        <v>0.736382</v>
      </c>
      <c r="AM8" s="100">
        <v>0.378205</v>
      </c>
      <c r="AN8" s="100">
        <v>0.411765</v>
      </c>
      <c r="AO8" s="98">
        <v>601.4341892204487</v>
      </c>
      <c r="AP8" s="158">
        <v>0.47668170930000003</v>
      </c>
      <c r="AQ8" s="100">
        <v>0.2692307692307692</v>
      </c>
      <c r="AR8" s="100">
        <v>0.5384615384615384</v>
      </c>
      <c r="AS8" s="98" t="s">
        <v>561</v>
      </c>
      <c r="AT8" s="98" t="s">
        <v>561</v>
      </c>
      <c r="AU8" s="98" t="s">
        <v>561</v>
      </c>
      <c r="AV8" s="98" t="s">
        <v>561</v>
      </c>
      <c r="AW8" s="98" t="s">
        <v>561</v>
      </c>
      <c r="AX8" s="98">
        <v>161.92458940550543</v>
      </c>
      <c r="AY8" s="98">
        <v>624.5662734212352</v>
      </c>
      <c r="AZ8" s="98">
        <v>208.18875780707842</v>
      </c>
      <c r="BA8" s="100" t="s">
        <v>561</v>
      </c>
      <c r="BB8" s="100" t="s">
        <v>561</v>
      </c>
      <c r="BC8" s="100" t="s">
        <v>561</v>
      </c>
      <c r="BD8" s="158">
        <v>0.3113843155</v>
      </c>
      <c r="BE8" s="158">
        <v>0.6984490967000001</v>
      </c>
      <c r="BF8" s="162">
        <v>204</v>
      </c>
      <c r="BG8" s="162">
        <v>25</v>
      </c>
      <c r="BH8" s="162">
        <v>1487</v>
      </c>
      <c r="BI8" s="162">
        <v>156</v>
      </c>
      <c r="BJ8" s="162">
        <v>68</v>
      </c>
      <c r="BK8" s="97"/>
      <c r="BL8" s="97"/>
      <c r="BM8" s="97"/>
      <c r="BN8" s="97"/>
    </row>
    <row r="9" spans="1:66" ht="12.75">
      <c r="A9" s="79" t="s">
        <v>533</v>
      </c>
      <c r="B9" s="79" t="s">
        <v>305</v>
      </c>
      <c r="C9" s="79" t="s">
        <v>74</v>
      </c>
      <c r="D9" s="99">
        <v>5717</v>
      </c>
      <c r="E9" s="99">
        <v>363</v>
      </c>
      <c r="F9" s="99" t="s">
        <v>347</v>
      </c>
      <c r="G9" s="99">
        <v>13</v>
      </c>
      <c r="H9" s="99" t="s">
        <v>561</v>
      </c>
      <c r="I9" s="99">
        <v>36</v>
      </c>
      <c r="J9" s="99">
        <v>210</v>
      </c>
      <c r="K9" s="99" t="s">
        <v>561</v>
      </c>
      <c r="L9" s="99">
        <v>1215</v>
      </c>
      <c r="M9" s="99">
        <v>86</v>
      </c>
      <c r="N9" s="99">
        <v>40</v>
      </c>
      <c r="O9" s="99">
        <v>79</v>
      </c>
      <c r="P9" s="159">
        <v>79</v>
      </c>
      <c r="Q9" s="99">
        <v>10</v>
      </c>
      <c r="R9" s="99">
        <v>16</v>
      </c>
      <c r="S9" s="99">
        <v>14</v>
      </c>
      <c r="T9" s="99">
        <v>6</v>
      </c>
      <c r="U9" s="99" t="s">
        <v>561</v>
      </c>
      <c r="V9" s="99">
        <v>15</v>
      </c>
      <c r="W9" s="99">
        <v>21</v>
      </c>
      <c r="X9" s="99">
        <v>12</v>
      </c>
      <c r="Y9" s="99">
        <v>26</v>
      </c>
      <c r="Z9" s="99">
        <v>25</v>
      </c>
      <c r="AA9" s="99" t="s">
        <v>561</v>
      </c>
      <c r="AB9" s="99" t="s">
        <v>561</v>
      </c>
      <c r="AC9" s="99" t="s">
        <v>561</v>
      </c>
      <c r="AD9" s="98" t="s">
        <v>326</v>
      </c>
      <c r="AE9" s="100">
        <v>0.06349483995102326</v>
      </c>
      <c r="AF9" s="100">
        <v>0.33</v>
      </c>
      <c r="AG9" s="98">
        <v>227.39198880531748</v>
      </c>
      <c r="AH9" s="98" t="s">
        <v>561</v>
      </c>
      <c r="AI9" s="100">
        <v>0.006</v>
      </c>
      <c r="AJ9" s="100">
        <v>0.625</v>
      </c>
      <c r="AK9" s="100" t="s">
        <v>561</v>
      </c>
      <c r="AL9" s="100">
        <v>0.701096</v>
      </c>
      <c r="AM9" s="100">
        <v>0.37069</v>
      </c>
      <c r="AN9" s="100">
        <v>0.412371</v>
      </c>
      <c r="AO9" s="98">
        <v>1381.8436242784678</v>
      </c>
      <c r="AP9" s="158">
        <v>1.077307968</v>
      </c>
      <c r="AQ9" s="100">
        <v>0.12658227848101267</v>
      </c>
      <c r="AR9" s="100">
        <v>0.625</v>
      </c>
      <c r="AS9" s="98">
        <v>244.88368025188035</v>
      </c>
      <c r="AT9" s="98">
        <v>104.95014867937729</v>
      </c>
      <c r="AU9" s="98" t="s">
        <v>561</v>
      </c>
      <c r="AV9" s="98">
        <v>262.37537169844325</v>
      </c>
      <c r="AW9" s="98">
        <v>367.3255203778205</v>
      </c>
      <c r="AX9" s="98">
        <v>209.90029735875459</v>
      </c>
      <c r="AY9" s="98">
        <v>454.78397761063496</v>
      </c>
      <c r="AZ9" s="98">
        <v>437.29228616407204</v>
      </c>
      <c r="BA9" s="101" t="s">
        <v>561</v>
      </c>
      <c r="BB9" s="101" t="s">
        <v>561</v>
      </c>
      <c r="BC9" s="101" t="s">
        <v>561</v>
      </c>
      <c r="BD9" s="158">
        <v>0.8529148102</v>
      </c>
      <c r="BE9" s="158">
        <v>1.342647095</v>
      </c>
      <c r="BF9" s="162">
        <v>336</v>
      </c>
      <c r="BG9" s="162" t="s">
        <v>561</v>
      </c>
      <c r="BH9" s="162">
        <v>1733</v>
      </c>
      <c r="BI9" s="162">
        <v>232</v>
      </c>
      <c r="BJ9" s="162">
        <v>97</v>
      </c>
      <c r="BK9" s="97"/>
      <c r="BL9" s="97"/>
      <c r="BM9" s="97"/>
      <c r="BN9" s="97"/>
    </row>
    <row r="10" spans="1:66" ht="12.75">
      <c r="A10" s="79" t="s">
        <v>527</v>
      </c>
      <c r="B10" s="79" t="s">
        <v>299</v>
      </c>
      <c r="C10" s="79" t="s">
        <v>74</v>
      </c>
      <c r="D10" s="99">
        <v>5049</v>
      </c>
      <c r="E10" s="99">
        <v>451</v>
      </c>
      <c r="F10" s="99" t="s">
        <v>347</v>
      </c>
      <c r="G10" s="99">
        <v>19</v>
      </c>
      <c r="H10" s="99">
        <v>8</v>
      </c>
      <c r="I10" s="99">
        <v>61</v>
      </c>
      <c r="J10" s="99">
        <v>227</v>
      </c>
      <c r="K10" s="99">
        <v>11</v>
      </c>
      <c r="L10" s="99">
        <v>781</v>
      </c>
      <c r="M10" s="99">
        <v>97</v>
      </c>
      <c r="N10" s="99">
        <v>54</v>
      </c>
      <c r="O10" s="99">
        <v>19</v>
      </c>
      <c r="P10" s="159">
        <v>19</v>
      </c>
      <c r="Q10" s="99" t="s">
        <v>561</v>
      </c>
      <c r="R10" s="99">
        <v>10</v>
      </c>
      <c r="S10" s="99">
        <v>8</v>
      </c>
      <c r="T10" s="99" t="s">
        <v>561</v>
      </c>
      <c r="U10" s="99" t="s">
        <v>561</v>
      </c>
      <c r="V10" s="99" t="s">
        <v>561</v>
      </c>
      <c r="W10" s="99">
        <v>16</v>
      </c>
      <c r="X10" s="99" t="s">
        <v>561</v>
      </c>
      <c r="Y10" s="99">
        <v>30</v>
      </c>
      <c r="Z10" s="99">
        <v>33</v>
      </c>
      <c r="AA10" s="99" t="s">
        <v>561</v>
      </c>
      <c r="AB10" s="99" t="s">
        <v>561</v>
      </c>
      <c r="AC10" s="99" t="s">
        <v>561</v>
      </c>
      <c r="AD10" s="98" t="s">
        <v>326</v>
      </c>
      <c r="AE10" s="100">
        <v>0.08932461873638345</v>
      </c>
      <c r="AF10" s="100">
        <v>0.3</v>
      </c>
      <c r="AG10" s="98">
        <v>376.3121410180234</v>
      </c>
      <c r="AH10" s="98">
        <v>158.44721727074668</v>
      </c>
      <c r="AI10" s="100">
        <v>0.012</v>
      </c>
      <c r="AJ10" s="100">
        <v>0.529138</v>
      </c>
      <c r="AK10" s="100">
        <v>0.5</v>
      </c>
      <c r="AL10" s="100">
        <v>0.610156</v>
      </c>
      <c r="AM10" s="100">
        <v>0.315961</v>
      </c>
      <c r="AN10" s="100">
        <v>0.335404</v>
      </c>
      <c r="AO10" s="98">
        <v>376.3121410180234</v>
      </c>
      <c r="AP10" s="158">
        <v>0.2757630157</v>
      </c>
      <c r="AQ10" s="100" t="s">
        <v>561</v>
      </c>
      <c r="AR10" s="100" t="s">
        <v>561</v>
      </c>
      <c r="AS10" s="98">
        <v>158.44721727074668</v>
      </c>
      <c r="AT10" s="98" t="s">
        <v>561</v>
      </c>
      <c r="AU10" s="98" t="s">
        <v>561</v>
      </c>
      <c r="AV10" s="98" t="s">
        <v>561</v>
      </c>
      <c r="AW10" s="98">
        <v>316.89443454149335</v>
      </c>
      <c r="AX10" s="98" t="s">
        <v>561</v>
      </c>
      <c r="AY10" s="98">
        <v>594.1770647653001</v>
      </c>
      <c r="AZ10" s="98">
        <v>653.59477124183</v>
      </c>
      <c r="BA10" s="100" t="s">
        <v>561</v>
      </c>
      <c r="BB10" s="100" t="s">
        <v>561</v>
      </c>
      <c r="BC10" s="100" t="s">
        <v>561</v>
      </c>
      <c r="BD10" s="158">
        <v>0.1660273552</v>
      </c>
      <c r="BE10" s="158">
        <v>0.4306381226</v>
      </c>
      <c r="BF10" s="162">
        <v>429</v>
      </c>
      <c r="BG10" s="162">
        <v>22</v>
      </c>
      <c r="BH10" s="162">
        <v>1280</v>
      </c>
      <c r="BI10" s="162">
        <v>307</v>
      </c>
      <c r="BJ10" s="162">
        <v>161</v>
      </c>
      <c r="BK10" s="97"/>
      <c r="BL10" s="97"/>
      <c r="BM10" s="97"/>
      <c r="BN10" s="97"/>
    </row>
    <row r="11" spans="1:66" ht="12.75">
      <c r="A11" s="79" t="s">
        <v>550</v>
      </c>
      <c r="B11" s="79" t="s">
        <v>322</v>
      </c>
      <c r="C11" s="79" t="s">
        <v>74</v>
      </c>
      <c r="D11" s="99">
        <v>6213</v>
      </c>
      <c r="E11" s="99">
        <v>501</v>
      </c>
      <c r="F11" s="99" t="s">
        <v>347</v>
      </c>
      <c r="G11" s="99">
        <v>17</v>
      </c>
      <c r="H11" s="99" t="s">
        <v>561</v>
      </c>
      <c r="I11" s="99">
        <v>48</v>
      </c>
      <c r="J11" s="99">
        <v>289</v>
      </c>
      <c r="K11" s="99" t="s">
        <v>561</v>
      </c>
      <c r="L11" s="99">
        <v>1116</v>
      </c>
      <c r="M11" s="99">
        <v>129</v>
      </c>
      <c r="N11" s="99">
        <v>72</v>
      </c>
      <c r="O11" s="99">
        <v>8</v>
      </c>
      <c r="P11" s="159">
        <v>8</v>
      </c>
      <c r="Q11" s="99" t="s">
        <v>561</v>
      </c>
      <c r="R11" s="99">
        <v>12</v>
      </c>
      <c r="S11" s="99" t="s">
        <v>561</v>
      </c>
      <c r="T11" s="99" t="s">
        <v>561</v>
      </c>
      <c r="U11" s="99" t="s">
        <v>561</v>
      </c>
      <c r="V11" s="99" t="s">
        <v>561</v>
      </c>
      <c r="W11" s="99">
        <v>27</v>
      </c>
      <c r="X11" s="99">
        <v>12</v>
      </c>
      <c r="Y11" s="99">
        <v>49</v>
      </c>
      <c r="Z11" s="99">
        <v>16</v>
      </c>
      <c r="AA11" s="99" t="s">
        <v>561</v>
      </c>
      <c r="AB11" s="99" t="s">
        <v>561</v>
      </c>
      <c r="AC11" s="99" t="s">
        <v>561</v>
      </c>
      <c r="AD11" s="98" t="s">
        <v>326</v>
      </c>
      <c r="AE11" s="100">
        <v>0.08063737324963785</v>
      </c>
      <c r="AF11" s="100">
        <v>0.34</v>
      </c>
      <c r="AG11" s="98">
        <v>273.61982938998875</v>
      </c>
      <c r="AH11" s="98" t="s">
        <v>561</v>
      </c>
      <c r="AI11" s="100">
        <v>0.008</v>
      </c>
      <c r="AJ11" s="100">
        <v>0.550476</v>
      </c>
      <c r="AK11" s="100" t="s">
        <v>561</v>
      </c>
      <c r="AL11" s="100">
        <v>0.729889</v>
      </c>
      <c r="AM11" s="100">
        <v>0.330769</v>
      </c>
      <c r="AN11" s="100">
        <v>0.344498</v>
      </c>
      <c r="AO11" s="98">
        <v>128.76227265411234</v>
      </c>
      <c r="AP11" s="158">
        <v>0.09589454651000001</v>
      </c>
      <c r="AQ11" s="100" t="s">
        <v>561</v>
      </c>
      <c r="AR11" s="100" t="s">
        <v>561</v>
      </c>
      <c r="AS11" s="98" t="s">
        <v>561</v>
      </c>
      <c r="AT11" s="98" t="s">
        <v>561</v>
      </c>
      <c r="AU11" s="98" t="s">
        <v>561</v>
      </c>
      <c r="AV11" s="98" t="s">
        <v>561</v>
      </c>
      <c r="AW11" s="98">
        <v>434.5726702076292</v>
      </c>
      <c r="AX11" s="98">
        <v>193.1434089811685</v>
      </c>
      <c r="AY11" s="98">
        <v>788.6689200064382</v>
      </c>
      <c r="AZ11" s="98">
        <v>257.5245453082247</v>
      </c>
      <c r="BA11" s="100" t="s">
        <v>561</v>
      </c>
      <c r="BB11" s="100" t="s">
        <v>561</v>
      </c>
      <c r="BC11" s="100" t="s">
        <v>561</v>
      </c>
      <c r="BD11" s="158">
        <v>0.0414004612</v>
      </c>
      <c r="BE11" s="158">
        <v>0.1889504814</v>
      </c>
      <c r="BF11" s="162">
        <v>525</v>
      </c>
      <c r="BG11" s="162" t="s">
        <v>561</v>
      </c>
      <c r="BH11" s="162">
        <v>1529</v>
      </c>
      <c r="BI11" s="162">
        <v>390</v>
      </c>
      <c r="BJ11" s="162">
        <v>209</v>
      </c>
      <c r="BK11" s="97"/>
      <c r="BL11" s="97"/>
      <c r="BM11" s="97"/>
      <c r="BN11" s="97"/>
    </row>
    <row r="12" spans="1:66" ht="12.75">
      <c r="A12" s="79" t="s">
        <v>513</v>
      </c>
      <c r="B12" s="79" t="s">
        <v>285</v>
      </c>
      <c r="C12" s="79" t="s">
        <v>74</v>
      </c>
      <c r="D12" s="99">
        <v>5725</v>
      </c>
      <c r="E12" s="99">
        <v>435</v>
      </c>
      <c r="F12" s="99" t="s">
        <v>347</v>
      </c>
      <c r="G12" s="99">
        <v>12</v>
      </c>
      <c r="H12" s="99">
        <v>9</v>
      </c>
      <c r="I12" s="99">
        <v>58</v>
      </c>
      <c r="J12" s="99">
        <v>269</v>
      </c>
      <c r="K12" s="99">
        <v>10</v>
      </c>
      <c r="L12" s="99">
        <v>991</v>
      </c>
      <c r="M12" s="99">
        <v>104</v>
      </c>
      <c r="N12" s="99">
        <v>51</v>
      </c>
      <c r="O12" s="99">
        <v>60</v>
      </c>
      <c r="P12" s="159">
        <v>60</v>
      </c>
      <c r="Q12" s="99" t="s">
        <v>561</v>
      </c>
      <c r="R12" s="99">
        <v>12</v>
      </c>
      <c r="S12" s="99">
        <v>31</v>
      </c>
      <c r="T12" s="99">
        <v>6</v>
      </c>
      <c r="U12" s="99" t="s">
        <v>561</v>
      </c>
      <c r="V12" s="99">
        <v>9</v>
      </c>
      <c r="W12" s="99">
        <v>31</v>
      </c>
      <c r="X12" s="99">
        <v>19</v>
      </c>
      <c r="Y12" s="99">
        <v>48</v>
      </c>
      <c r="Z12" s="99">
        <v>49</v>
      </c>
      <c r="AA12" s="99" t="s">
        <v>561</v>
      </c>
      <c r="AB12" s="99" t="s">
        <v>561</v>
      </c>
      <c r="AC12" s="99" t="s">
        <v>561</v>
      </c>
      <c r="AD12" s="98" t="s">
        <v>326</v>
      </c>
      <c r="AE12" s="100">
        <v>0.07598253275109171</v>
      </c>
      <c r="AF12" s="100">
        <v>0.36</v>
      </c>
      <c r="AG12" s="98">
        <v>209.6069868995633</v>
      </c>
      <c r="AH12" s="98">
        <v>157.2052401746725</v>
      </c>
      <c r="AI12" s="100">
        <v>0.01</v>
      </c>
      <c r="AJ12" s="100">
        <v>0.577253</v>
      </c>
      <c r="AK12" s="100">
        <v>0.526316</v>
      </c>
      <c r="AL12" s="100">
        <v>0.715523</v>
      </c>
      <c r="AM12" s="100">
        <v>0.290503</v>
      </c>
      <c r="AN12" s="100">
        <v>0.284916</v>
      </c>
      <c r="AO12" s="98">
        <v>1048.0349344978165</v>
      </c>
      <c r="AP12" s="158">
        <v>0.7709505463</v>
      </c>
      <c r="AQ12" s="100" t="s">
        <v>561</v>
      </c>
      <c r="AR12" s="100" t="s">
        <v>561</v>
      </c>
      <c r="AS12" s="98">
        <v>541.4847161572052</v>
      </c>
      <c r="AT12" s="98">
        <v>104.80349344978166</v>
      </c>
      <c r="AU12" s="98" t="s">
        <v>561</v>
      </c>
      <c r="AV12" s="98">
        <v>157.2052401746725</v>
      </c>
      <c r="AW12" s="98">
        <v>541.4847161572052</v>
      </c>
      <c r="AX12" s="98">
        <v>331.87772925764193</v>
      </c>
      <c r="AY12" s="98">
        <v>838.4279475982532</v>
      </c>
      <c r="AZ12" s="98">
        <v>855.8951965065502</v>
      </c>
      <c r="BA12" s="100" t="s">
        <v>561</v>
      </c>
      <c r="BB12" s="100" t="s">
        <v>561</v>
      </c>
      <c r="BC12" s="100" t="s">
        <v>561</v>
      </c>
      <c r="BD12" s="158">
        <v>0.5883164978</v>
      </c>
      <c r="BE12" s="158">
        <v>0.9923662567</v>
      </c>
      <c r="BF12" s="162">
        <v>466</v>
      </c>
      <c r="BG12" s="162">
        <v>19</v>
      </c>
      <c r="BH12" s="162">
        <v>1385</v>
      </c>
      <c r="BI12" s="162">
        <v>358</v>
      </c>
      <c r="BJ12" s="162">
        <v>179</v>
      </c>
      <c r="BK12" s="97"/>
      <c r="BL12" s="97"/>
      <c r="BM12" s="97"/>
      <c r="BN12" s="97"/>
    </row>
    <row r="13" spans="1:66" ht="12.75">
      <c r="A13" s="79" t="s">
        <v>549</v>
      </c>
      <c r="B13" s="79" t="s">
        <v>321</v>
      </c>
      <c r="C13" s="79" t="s">
        <v>74</v>
      </c>
      <c r="D13" s="99">
        <v>4417</v>
      </c>
      <c r="E13" s="99">
        <v>520</v>
      </c>
      <c r="F13" s="99" t="s">
        <v>347</v>
      </c>
      <c r="G13" s="99">
        <v>15</v>
      </c>
      <c r="H13" s="99">
        <v>16</v>
      </c>
      <c r="I13" s="99">
        <v>43</v>
      </c>
      <c r="J13" s="99">
        <v>154</v>
      </c>
      <c r="K13" s="99" t="s">
        <v>561</v>
      </c>
      <c r="L13" s="99">
        <v>820</v>
      </c>
      <c r="M13" s="99">
        <v>63</v>
      </c>
      <c r="N13" s="99">
        <v>36</v>
      </c>
      <c r="O13" s="99">
        <v>14</v>
      </c>
      <c r="P13" s="159">
        <v>14</v>
      </c>
      <c r="Q13" s="99" t="s">
        <v>561</v>
      </c>
      <c r="R13" s="99">
        <v>11</v>
      </c>
      <c r="S13" s="99" t="s">
        <v>561</v>
      </c>
      <c r="T13" s="99" t="s">
        <v>561</v>
      </c>
      <c r="U13" s="99" t="s">
        <v>561</v>
      </c>
      <c r="V13" s="99" t="s">
        <v>561</v>
      </c>
      <c r="W13" s="99" t="s">
        <v>561</v>
      </c>
      <c r="X13" s="99">
        <v>8</v>
      </c>
      <c r="Y13" s="99">
        <v>22</v>
      </c>
      <c r="Z13" s="99">
        <v>24</v>
      </c>
      <c r="AA13" s="99" t="s">
        <v>561</v>
      </c>
      <c r="AB13" s="99" t="s">
        <v>561</v>
      </c>
      <c r="AC13" s="99" t="s">
        <v>561</v>
      </c>
      <c r="AD13" s="98" t="s">
        <v>326</v>
      </c>
      <c r="AE13" s="100">
        <v>0.11772696400271677</v>
      </c>
      <c r="AF13" s="100">
        <v>0.35</v>
      </c>
      <c r="AG13" s="98">
        <v>339.5970115462984</v>
      </c>
      <c r="AH13" s="98">
        <v>362.2368123160516</v>
      </c>
      <c r="AI13" s="100">
        <v>0.01</v>
      </c>
      <c r="AJ13" s="100">
        <v>0.496774</v>
      </c>
      <c r="AK13" s="100" t="s">
        <v>561</v>
      </c>
      <c r="AL13" s="100">
        <v>0.75576</v>
      </c>
      <c r="AM13" s="100">
        <v>0.253012</v>
      </c>
      <c r="AN13" s="100">
        <v>0.258993</v>
      </c>
      <c r="AO13" s="98">
        <v>316.95721077654514</v>
      </c>
      <c r="AP13" s="158">
        <v>0.2052316666</v>
      </c>
      <c r="AQ13" s="100" t="s">
        <v>561</v>
      </c>
      <c r="AR13" s="100" t="s">
        <v>561</v>
      </c>
      <c r="AS13" s="98" t="s">
        <v>561</v>
      </c>
      <c r="AT13" s="98" t="s">
        <v>561</v>
      </c>
      <c r="AU13" s="98" t="s">
        <v>561</v>
      </c>
      <c r="AV13" s="98" t="s">
        <v>561</v>
      </c>
      <c r="AW13" s="98" t="s">
        <v>561</v>
      </c>
      <c r="AX13" s="98">
        <v>181.1184061580258</v>
      </c>
      <c r="AY13" s="98">
        <v>498.075616934571</v>
      </c>
      <c r="AZ13" s="98">
        <v>543.3552184740774</v>
      </c>
      <c r="BA13" s="100" t="s">
        <v>561</v>
      </c>
      <c r="BB13" s="100" t="s">
        <v>561</v>
      </c>
      <c r="BC13" s="100" t="s">
        <v>561</v>
      </c>
      <c r="BD13" s="158">
        <v>0.1122020626</v>
      </c>
      <c r="BE13" s="158">
        <v>0.34434387209999995</v>
      </c>
      <c r="BF13" s="162">
        <v>310</v>
      </c>
      <c r="BG13" s="162" t="s">
        <v>561</v>
      </c>
      <c r="BH13" s="162">
        <v>1085</v>
      </c>
      <c r="BI13" s="162">
        <v>249</v>
      </c>
      <c r="BJ13" s="162">
        <v>139</v>
      </c>
      <c r="BK13" s="97"/>
      <c r="BL13" s="97"/>
      <c r="BM13" s="97"/>
      <c r="BN13" s="97"/>
    </row>
    <row r="14" spans="1:66" ht="12.75">
      <c r="A14" s="79" t="s">
        <v>515</v>
      </c>
      <c r="B14" s="79" t="s">
        <v>287</v>
      </c>
      <c r="C14" s="79" t="s">
        <v>74</v>
      </c>
      <c r="D14" s="99">
        <v>8700</v>
      </c>
      <c r="E14" s="99">
        <v>453</v>
      </c>
      <c r="F14" s="99" t="s">
        <v>347</v>
      </c>
      <c r="G14" s="99">
        <v>27</v>
      </c>
      <c r="H14" s="99">
        <v>7</v>
      </c>
      <c r="I14" s="99">
        <v>80</v>
      </c>
      <c r="J14" s="99">
        <v>335</v>
      </c>
      <c r="K14" s="99">
        <v>6</v>
      </c>
      <c r="L14" s="99">
        <v>2120</v>
      </c>
      <c r="M14" s="99">
        <v>151</v>
      </c>
      <c r="N14" s="99">
        <v>76</v>
      </c>
      <c r="O14" s="99">
        <v>119</v>
      </c>
      <c r="P14" s="159">
        <v>119</v>
      </c>
      <c r="Q14" s="99">
        <v>10</v>
      </c>
      <c r="R14" s="99">
        <v>20</v>
      </c>
      <c r="S14" s="99">
        <v>29</v>
      </c>
      <c r="T14" s="99">
        <v>10</v>
      </c>
      <c r="U14" s="99" t="s">
        <v>561</v>
      </c>
      <c r="V14" s="99">
        <v>32</v>
      </c>
      <c r="W14" s="99">
        <v>32</v>
      </c>
      <c r="X14" s="99">
        <v>20</v>
      </c>
      <c r="Y14" s="99">
        <v>43</v>
      </c>
      <c r="Z14" s="99">
        <v>48</v>
      </c>
      <c r="AA14" s="99" t="s">
        <v>561</v>
      </c>
      <c r="AB14" s="99" t="s">
        <v>561</v>
      </c>
      <c r="AC14" s="99" t="s">
        <v>561</v>
      </c>
      <c r="AD14" s="98" t="s">
        <v>326</v>
      </c>
      <c r="AE14" s="100">
        <v>0.052068965517241377</v>
      </c>
      <c r="AF14" s="100">
        <v>0.32</v>
      </c>
      <c r="AG14" s="98">
        <v>310.3448275862069</v>
      </c>
      <c r="AH14" s="98">
        <v>80.45977011494253</v>
      </c>
      <c r="AI14" s="100">
        <v>0.009000000000000001</v>
      </c>
      <c r="AJ14" s="100">
        <v>0.641762</v>
      </c>
      <c r="AK14" s="100">
        <v>0.6</v>
      </c>
      <c r="AL14" s="100">
        <v>0.714045</v>
      </c>
      <c r="AM14" s="100">
        <v>0.413699</v>
      </c>
      <c r="AN14" s="100">
        <v>0.408602</v>
      </c>
      <c r="AO14" s="98">
        <v>1367.816091954023</v>
      </c>
      <c r="AP14" s="158">
        <v>1.078800507</v>
      </c>
      <c r="AQ14" s="100">
        <v>0.08403361344537816</v>
      </c>
      <c r="AR14" s="100">
        <v>0.5</v>
      </c>
      <c r="AS14" s="98">
        <v>333.3333333333333</v>
      </c>
      <c r="AT14" s="98">
        <v>114.94252873563218</v>
      </c>
      <c r="AU14" s="98" t="s">
        <v>561</v>
      </c>
      <c r="AV14" s="98">
        <v>367.81609195402297</v>
      </c>
      <c r="AW14" s="98">
        <v>367.81609195402297</v>
      </c>
      <c r="AX14" s="98">
        <v>229.88505747126436</v>
      </c>
      <c r="AY14" s="98">
        <v>494.2528735632184</v>
      </c>
      <c r="AZ14" s="98">
        <v>551.7241379310345</v>
      </c>
      <c r="BA14" s="100" t="s">
        <v>561</v>
      </c>
      <c r="BB14" s="100" t="s">
        <v>561</v>
      </c>
      <c r="BC14" s="100" t="s">
        <v>561</v>
      </c>
      <c r="BD14" s="158">
        <v>0.8936968231</v>
      </c>
      <c r="BE14" s="158">
        <v>1.29094574</v>
      </c>
      <c r="BF14" s="162">
        <v>522</v>
      </c>
      <c r="BG14" s="162">
        <v>10</v>
      </c>
      <c r="BH14" s="162">
        <v>2969</v>
      </c>
      <c r="BI14" s="162">
        <v>365</v>
      </c>
      <c r="BJ14" s="162">
        <v>186</v>
      </c>
      <c r="BK14" s="97"/>
      <c r="BL14" s="97"/>
      <c r="BM14" s="97"/>
      <c r="BN14" s="97"/>
    </row>
    <row r="15" spans="1:66" ht="12.75">
      <c r="A15" s="79" t="s">
        <v>510</v>
      </c>
      <c r="B15" s="79" t="s">
        <v>282</v>
      </c>
      <c r="C15" s="79" t="s">
        <v>74</v>
      </c>
      <c r="D15" s="99">
        <v>11693</v>
      </c>
      <c r="E15" s="99">
        <v>805</v>
      </c>
      <c r="F15" s="99" t="s">
        <v>347</v>
      </c>
      <c r="G15" s="99">
        <v>30</v>
      </c>
      <c r="H15" s="99">
        <v>10</v>
      </c>
      <c r="I15" s="99">
        <v>139</v>
      </c>
      <c r="J15" s="99">
        <v>675</v>
      </c>
      <c r="K15" s="99">
        <v>315</v>
      </c>
      <c r="L15" s="99">
        <v>2660</v>
      </c>
      <c r="M15" s="99">
        <v>266</v>
      </c>
      <c r="N15" s="99">
        <v>122</v>
      </c>
      <c r="O15" s="99">
        <v>203</v>
      </c>
      <c r="P15" s="159">
        <v>203</v>
      </c>
      <c r="Q15" s="99">
        <v>15</v>
      </c>
      <c r="R15" s="99">
        <v>26</v>
      </c>
      <c r="S15" s="99">
        <v>52</v>
      </c>
      <c r="T15" s="99">
        <v>20</v>
      </c>
      <c r="U15" s="99" t="s">
        <v>561</v>
      </c>
      <c r="V15" s="99">
        <v>31</v>
      </c>
      <c r="W15" s="99">
        <v>34</v>
      </c>
      <c r="X15" s="99">
        <v>27</v>
      </c>
      <c r="Y15" s="99">
        <v>96</v>
      </c>
      <c r="Z15" s="99">
        <v>60</v>
      </c>
      <c r="AA15" s="99" t="s">
        <v>561</v>
      </c>
      <c r="AB15" s="99" t="s">
        <v>561</v>
      </c>
      <c r="AC15" s="99" t="s">
        <v>561</v>
      </c>
      <c r="AD15" s="98" t="s">
        <v>326</v>
      </c>
      <c r="AE15" s="100">
        <v>0.06884460788505943</v>
      </c>
      <c r="AF15" s="100">
        <v>0.31</v>
      </c>
      <c r="AG15" s="98">
        <v>256.5637560933892</v>
      </c>
      <c r="AH15" s="98">
        <v>85.52125203112973</v>
      </c>
      <c r="AI15" s="100">
        <v>0.012</v>
      </c>
      <c r="AJ15" s="100">
        <v>0.637394</v>
      </c>
      <c r="AK15" s="100">
        <v>0.544983</v>
      </c>
      <c r="AL15" s="100">
        <v>0.700738</v>
      </c>
      <c r="AM15" s="100">
        <v>0.384949</v>
      </c>
      <c r="AN15" s="100">
        <v>0.384858</v>
      </c>
      <c r="AO15" s="98">
        <v>1736.0814162319336</v>
      </c>
      <c r="AP15" s="158">
        <v>1.254963379</v>
      </c>
      <c r="AQ15" s="100">
        <v>0.07389162561576355</v>
      </c>
      <c r="AR15" s="100">
        <v>0.5769230769230769</v>
      </c>
      <c r="AS15" s="98">
        <v>444.7105105618746</v>
      </c>
      <c r="AT15" s="98">
        <v>171.04250406225947</v>
      </c>
      <c r="AU15" s="98" t="s">
        <v>561</v>
      </c>
      <c r="AV15" s="98">
        <v>265.11588129650215</v>
      </c>
      <c r="AW15" s="98">
        <v>290.7722569058411</v>
      </c>
      <c r="AX15" s="98">
        <v>230.9073804840503</v>
      </c>
      <c r="AY15" s="98">
        <v>821.0040194988454</v>
      </c>
      <c r="AZ15" s="98">
        <v>513.1275121867784</v>
      </c>
      <c r="BA15" s="100" t="s">
        <v>561</v>
      </c>
      <c r="BB15" s="100" t="s">
        <v>561</v>
      </c>
      <c r="BC15" s="100" t="s">
        <v>561</v>
      </c>
      <c r="BD15" s="158">
        <v>1.08825531</v>
      </c>
      <c r="BE15" s="158">
        <v>1.4399850459999999</v>
      </c>
      <c r="BF15" s="162">
        <v>1059</v>
      </c>
      <c r="BG15" s="162">
        <v>578</v>
      </c>
      <c r="BH15" s="162">
        <v>3796</v>
      </c>
      <c r="BI15" s="162">
        <v>691</v>
      </c>
      <c r="BJ15" s="162">
        <v>317</v>
      </c>
      <c r="BK15" s="97"/>
      <c r="BL15" s="97"/>
      <c r="BM15" s="97"/>
      <c r="BN15" s="97"/>
    </row>
    <row r="16" spans="1:66" ht="12.75">
      <c r="A16" s="79" t="s">
        <v>531</v>
      </c>
      <c r="B16" s="79" t="s">
        <v>303</v>
      </c>
      <c r="C16" s="79" t="s">
        <v>74</v>
      </c>
      <c r="D16" s="99">
        <v>8101</v>
      </c>
      <c r="E16" s="99">
        <v>601</v>
      </c>
      <c r="F16" s="99" t="s">
        <v>347</v>
      </c>
      <c r="G16" s="99">
        <v>25</v>
      </c>
      <c r="H16" s="99">
        <v>11</v>
      </c>
      <c r="I16" s="99">
        <v>96</v>
      </c>
      <c r="J16" s="99">
        <v>426</v>
      </c>
      <c r="K16" s="99" t="s">
        <v>561</v>
      </c>
      <c r="L16" s="99">
        <v>1889</v>
      </c>
      <c r="M16" s="99">
        <v>168</v>
      </c>
      <c r="N16" s="99">
        <v>97</v>
      </c>
      <c r="O16" s="99">
        <v>143</v>
      </c>
      <c r="P16" s="159">
        <v>143</v>
      </c>
      <c r="Q16" s="99">
        <v>11</v>
      </c>
      <c r="R16" s="99">
        <v>22</v>
      </c>
      <c r="S16" s="99">
        <v>23</v>
      </c>
      <c r="T16" s="99">
        <v>8</v>
      </c>
      <c r="U16" s="99" t="s">
        <v>561</v>
      </c>
      <c r="V16" s="99">
        <v>34</v>
      </c>
      <c r="W16" s="99">
        <v>30</v>
      </c>
      <c r="X16" s="99">
        <v>18</v>
      </c>
      <c r="Y16" s="99">
        <v>64</v>
      </c>
      <c r="Z16" s="99">
        <v>36</v>
      </c>
      <c r="AA16" s="99" t="s">
        <v>561</v>
      </c>
      <c r="AB16" s="99" t="s">
        <v>561</v>
      </c>
      <c r="AC16" s="99" t="s">
        <v>561</v>
      </c>
      <c r="AD16" s="98" t="s">
        <v>326</v>
      </c>
      <c r="AE16" s="100">
        <v>0.07418837180594988</v>
      </c>
      <c r="AF16" s="100">
        <v>0.32</v>
      </c>
      <c r="AG16" s="98">
        <v>308.6038760646834</v>
      </c>
      <c r="AH16" s="98">
        <v>135.7857054684607</v>
      </c>
      <c r="AI16" s="100">
        <v>0.012</v>
      </c>
      <c r="AJ16" s="100">
        <v>0.637725</v>
      </c>
      <c r="AK16" s="100" t="s">
        <v>561</v>
      </c>
      <c r="AL16" s="100">
        <v>0.68816</v>
      </c>
      <c r="AM16" s="100">
        <v>0.385321</v>
      </c>
      <c r="AN16" s="100">
        <v>0.433036</v>
      </c>
      <c r="AO16" s="98">
        <v>1765.214171089989</v>
      </c>
      <c r="AP16" s="158">
        <v>1.233370514</v>
      </c>
      <c r="AQ16" s="100">
        <v>0.07692307692307693</v>
      </c>
      <c r="AR16" s="100">
        <v>0.5</v>
      </c>
      <c r="AS16" s="98">
        <v>283.9155659795087</v>
      </c>
      <c r="AT16" s="98">
        <v>98.75324034069868</v>
      </c>
      <c r="AU16" s="98" t="s">
        <v>561</v>
      </c>
      <c r="AV16" s="98">
        <v>419.70127144796936</v>
      </c>
      <c r="AW16" s="98">
        <v>370.32465127762003</v>
      </c>
      <c r="AX16" s="98">
        <v>222.19479076657203</v>
      </c>
      <c r="AY16" s="98">
        <v>790.0259227255895</v>
      </c>
      <c r="AZ16" s="98">
        <v>444.38958153314405</v>
      </c>
      <c r="BA16" s="100" t="s">
        <v>561</v>
      </c>
      <c r="BB16" s="100" t="s">
        <v>561</v>
      </c>
      <c r="BC16" s="100" t="s">
        <v>561</v>
      </c>
      <c r="BD16" s="158">
        <v>1.039509506</v>
      </c>
      <c r="BE16" s="158">
        <v>1.452892761</v>
      </c>
      <c r="BF16" s="162">
        <v>668</v>
      </c>
      <c r="BG16" s="162" t="s">
        <v>561</v>
      </c>
      <c r="BH16" s="162">
        <v>2745</v>
      </c>
      <c r="BI16" s="162">
        <v>436</v>
      </c>
      <c r="BJ16" s="162">
        <v>224</v>
      </c>
      <c r="BK16" s="97"/>
      <c r="BL16" s="97"/>
      <c r="BM16" s="97"/>
      <c r="BN16" s="97"/>
    </row>
    <row r="17" spans="1:66" ht="12.75">
      <c r="A17" s="79" t="s">
        <v>517</v>
      </c>
      <c r="B17" s="79" t="s">
        <v>289</v>
      </c>
      <c r="C17" s="79" t="s">
        <v>74</v>
      </c>
      <c r="D17" s="99">
        <v>4085</v>
      </c>
      <c r="E17" s="99">
        <v>284</v>
      </c>
      <c r="F17" s="99" t="s">
        <v>347</v>
      </c>
      <c r="G17" s="99">
        <v>9</v>
      </c>
      <c r="H17" s="99" t="s">
        <v>561</v>
      </c>
      <c r="I17" s="99">
        <v>44</v>
      </c>
      <c r="J17" s="99">
        <v>174</v>
      </c>
      <c r="K17" s="99" t="s">
        <v>561</v>
      </c>
      <c r="L17" s="99">
        <v>843</v>
      </c>
      <c r="M17" s="99">
        <v>76</v>
      </c>
      <c r="N17" s="99">
        <v>49</v>
      </c>
      <c r="O17" s="99">
        <v>36</v>
      </c>
      <c r="P17" s="159">
        <v>36</v>
      </c>
      <c r="Q17" s="99" t="s">
        <v>561</v>
      </c>
      <c r="R17" s="99">
        <v>13</v>
      </c>
      <c r="S17" s="99">
        <v>6</v>
      </c>
      <c r="T17" s="99">
        <v>8</v>
      </c>
      <c r="U17" s="99" t="s">
        <v>561</v>
      </c>
      <c r="V17" s="99" t="s">
        <v>561</v>
      </c>
      <c r="W17" s="99">
        <v>12</v>
      </c>
      <c r="X17" s="99" t="s">
        <v>561</v>
      </c>
      <c r="Y17" s="99">
        <v>28</v>
      </c>
      <c r="Z17" s="99">
        <v>9</v>
      </c>
      <c r="AA17" s="99" t="s">
        <v>561</v>
      </c>
      <c r="AB17" s="99" t="s">
        <v>561</v>
      </c>
      <c r="AC17" s="99" t="s">
        <v>561</v>
      </c>
      <c r="AD17" s="98" t="s">
        <v>326</v>
      </c>
      <c r="AE17" s="100">
        <v>0.06952264381884946</v>
      </c>
      <c r="AF17" s="100">
        <v>0.3</v>
      </c>
      <c r="AG17" s="98">
        <v>220.31823745410037</v>
      </c>
      <c r="AH17" s="98" t="s">
        <v>561</v>
      </c>
      <c r="AI17" s="100">
        <v>0.011000000000000001</v>
      </c>
      <c r="AJ17" s="100">
        <v>0.635036</v>
      </c>
      <c r="AK17" s="100" t="s">
        <v>561</v>
      </c>
      <c r="AL17" s="100">
        <v>0.740773</v>
      </c>
      <c r="AM17" s="100">
        <v>0.365385</v>
      </c>
      <c r="AN17" s="100">
        <v>0.457944</v>
      </c>
      <c r="AO17" s="98">
        <v>881.2729498164015</v>
      </c>
      <c r="AP17" s="158">
        <v>0.6527508545</v>
      </c>
      <c r="AQ17" s="100" t="s">
        <v>561</v>
      </c>
      <c r="AR17" s="100" t="s">
        <v>561</v>
      </c>
      <c r="AS17" s="98">
        <v>146.87882496940026</v>
      </c>
      <c r="AT17" s="98">
        <v>195.83843329253367</v>
      </c>
      <c r="AU17" s="98" t="s">
        <v>561</v>
      </c>
      <c r="AV17" s="98" t="s">
        <v>561</v>
      </c>
      <c r="AW17" s="98">
        <v>293.7576499388005</v>
      </c>
      <c r="AX17" s="98" t="s">
        <v>561</v>
      </c>
      <c r="AY17" s="98">
        <v>685.4345165238678</v>
      </c>
      <c r="AZ17" s="98">
        <v>220.31823745410037</v>
      </c>
      <c r="BA17" s="100" t="s">
        <v>561</v>
      </c>
      <c r="BB17" s="100" t="s">
        <v>561</v>
      </c>
      <c r="BC17" s="100" t="s">
        <v>561</v>
      </c>
      <c r="BD17" s="158">
        <v>0.457178688</v>
      </c>
      <c r="BE17" s="158">
        <v>0.9036824036</v>
      </c>
      <c r="BF17" s="162">
        <v>274</v>
      </c>
      <c r="BG17" s="162" t="s">
        <v>561</v>
      </c>
      <c r="BH17" s="162">
        <v>1138</v>
      </c>
      <c r="BI17" s="162">
        <v>208</v>
      </c>
      <c r="BJ17" s="162">
        <v>107</v>
      </c>
      <c r="BK17" s="97"/>
      <c r="BL17" s="97"/>
      <c r="BM17" s="97"/>
      <c r="BN17" s="97"/>
    </row>
    <row r="18" spans="1:66" ht="12.75">
      <c r="A18" s="79" t="s">
        <v>547</v>
      </c>
      <c r="B18" s="79" t="s">
        <v>319</v>
      </c>
      <c r="C18" s="79" t="s">
        <v>74</v>
      </c>
      <c r="D18" s="99">
        <v>2123</v>
      </c>
      <c r="E18" s="99">
        <v>157</v>
      </c>
      <c r="F18" s="99" t="s">
        <v>347</v>
      </c>
      <c r="G18" s="99" t="s">
        <v>561</v>
      </c>
      <c r="H18" s="99" t="s">
        <v>561</v>
      </c>
      <c r="I18" s="99">
        <v>14</v>
      </c>
      <c r="J18" s="99">
        <v>95</v>
      </c>
      <c r="K18" s="99">
        <v>7</v>
      </c>
      <c r="L18" s="99">
        <v>320</v>
      </c>
      <c r="M18" s="99">
        <v>50</v>
      </c>
      <c r="N18" s="99">
        <v>22</v>
      </c>
      <c r="O18" s="99" t="s">
        <v>561</v>
      </c>
      <c r="P18" s="159" t="s">
        <v>561</v>
      </c>
      <c r="Q18" s="99" t="s">
        <v>561</v>
      </c>
      <c r="R18" s="99" t="s">
        <v>561</v>
      </c>
      <c r="S18" s="99" t="s">
        <v>561</v>
      </c>
      <c r="T18" s="99" t="s">
        <v>561</v>
      </c>
      <c r="U18" s="99" t="s">
        <v>561</v>
      </c>
      <c r="V18" s="99" t="s">
        <v>561</v>
      </c>
      <c r="W18" s="99">
        <v>6</v>
      </c>
      <c r="X18" s="99">
        <v>6</v>
      </c>
      <c r="Y18" s="99">
        <v>12</v>
      </c>
      <c r="Z18" s="99">
        <v>28</v>
      </c>
      <c r="AA18" s="99" t="s">
        <v>561</v>
      </c>
      <c r="AB18" s="99" t="s">
        <v>561</v>
      </c>
      <c r="AC18" s="99" t="s">
        <v>561</v>
      </c>
      <c r="AD18" s="98" t="s">
        <v>326</v>
      </c>
      <c r="AE18" s="100">
        <v>0.07395195478097033</v>
      </c>
      <c r="AF18" s="100">
        <v>0.32</v>
      </c>
      <c r="AG18" s="98" t="s">
        <v>561</v>
      </c>
      <c r="AH18" s="98" t="s">
        <v>561</v>
      </c>
      <c r="AI18" s="100">
        <v>0.006999999999999999</v>
      </c>
      <c r="AJ18" s="100">
        <v>0.492228</v>
      </c>
      <c r="AK18" s="100">
        <v>0.5</v>
      </c>
      <c r="AL18" s="100">
        <v>0.57971</v>
      </c>
      <c r="AM18" s="100">
        <v>0.352113</v>
      </c>
      <c r="AN18" s="100">
        <v>0.354839</v>
      </c>
      <c r="AO18" s="98" t="s">
        <v>561</v>
      </c>
      <c r="AP18" s="158" t="s">
        <v>561</v>
      </c>
      <c r="AQ18" s="100" t="s">
        <v>561</v>
      </c>
      <c r="AR18" s="100" t="s">
        <v>561</v>
      </c>
      <c r="AS18" s="98" t="s">
        <v>561</v>
      </c>
      <c r="AT18" s="98" t="s">
        <v>561</v>
      </c>
      <c r="AU18" s="98" t="s">
        <v>561</v>
      </c>
      <c r="AV18" s="98" t="s">
        <v>561</v>
      </c>
      <c r="AW18" s="98">
        <v>282.6189354686764</v>
      </c>
      <c r="AX18" s="98">
        <v>282.6189354686764</v>
      </c>
      <c r="AY18" s="98">
        <v>565.2378709373528</v>
      </c>
      <c r="AZ18" s="98">
        <v>1318.88836552049</v>
      </c>
      <c r="BA18" s="100" t="s">
        <v>561</v>
      </c>
      <c r="BB18" s="100" t="s">
        <v>561</v>
      </c>
      <c r="BC18" s="100" t="s">
        <v>561</v>
      </c>
      <c r="BD18" s="158" t="s">
        <v>561</v>
      </c>
      <c r="BE18" s="158" t="s">
        <v>561</v>
      </c>
      <c r="BF18" s="162">
        <v>193</v>
      </c>
      <c r="BG18" s="162">
        <v>14</v>
      </c>
      <c r="BH18" s="162">
        <v>552</v>
      </c>
      <c r="BI18" s="162">
        <v>142</v>
      </c>
      <c r="BJ18" s="162">
        <v>62</v>
      </c>
      <c r="BK18" s="97"/>
      <c r="BL18" s="97"/>
      <c r="BM18" s="97"/>
      <c r="BN18" s="97"/>
    </row>
    <row r="19" spans="1:66" ht="12.75">
      <c r="A19" s="79" t="s">
        <v>536</v>
      </c>
      <c r="B19" s="79" t="s">
        <v>308</v>
      </c>
      <c r="C19" s="79" t="s">
        <v>74</v>
      </c>
      <c r="D19" s="99">
        <v>4522</v>
      </c>
      <c r="E19" s="99">
        <v>362</v>
      </c>
      <c r="F19" s="99" t="s">
        <v>347</v>
      </c>
      <c r="G19" s="99">
        <v>12</v>
      </c>
      <c r="H19" s="99" t="s">
        <v>561</v>
      </c>
      <c r="I19" s="99">
        <v>41</v>
      </c>
      <c r="J19" s="99">
        <v>204</v>
      </c>
      <c r="K19" s="99" t="s">
        <v>561</v>
      </c>
      <c r="L19" s="99">
        <v>836</v>
      </c>
      <c r="M19" s="99">
        <v>65</v>
      </c>
      <c r="N19" s="99">
        <v>31</v>
      </c>
      <c r="O19" s="99">
        <v>19</v>
      </c>
      <c r="P19" s="159">
        <v>19</v>
      </c>
      <c r="Q19" s="99" t="s">
        <v>561</v>
      </c>
      <c r="R19" s="99">
        <v>13</v>
      </c>
      <c r="S19" s="99" t="s">
        <v>561</v>
      </c>
      <c r="T19" s="99" t="s">
        <v>561</v>
      </c>
      <c r="U19" s="99" t="s">
        <v>561</v>
      </c>
      <c r="V19" s="99" t="s">
        <v>561</v>
      </c>
      <c r="W19" s="99">
        <v>7</v>
      </c>
      <c r="X19" s="99">
        <v>14</v>
      </c>
      <c r="Y19" s="99">
        <v>29</v>
      </c>
      <c r="Z19" s="99">
        <v>48</v>
      </c>
      <c r="AA19" s="99" t="s">
        <v>561</v>
      </c>
      <c r="AB19" s="99" t="s">
        <v>561</v>
      </c>
      <c r="AC19" s="99" t="s">
        <v>561</v>
      </c>
      <c r="AD19" s="98" t="s">
        <v>326</v>
      </c>
      <c r="AE19" s="100">
        <v>0.0800530738611234</v>
      </c>
      <c r="AF19" s="100">
        <v>0.34</v>
      </c>
      <c r="AG19" s="98">
        <v>265.36930561698364</v>
      </c>
      <c r="AH19" s="98" t="s">
        <v>561</v>
      </c>
      <c r="AI19" s="100">
        <v>0.009000000000000001</v>
      </c>
      <c r="AJ19" s="100">
        <v>0.582857</v>
      </c>
      <c r="AK19" s="100" t="s">
        <v>561</v>
      </c>
      <c r="AL19" s="100">
        <v>0.643572</v>
      </c>
      <c r="AM19" s="100">
        <v>0.285088</v>
      </c>
      <c r="AN19" s="100">
        <v>0.258333</v>
      </c>
      <c r="AO19" s="98">
        <v>420.16806722689074</v>
      </c>
      <c r="AP19" s="158">
        <v>0.2994020653</v>
      </c>
      <c r="AQ19" s="100" t="s">
        <v>561</v>
      </c>
      <c r="AR19" s="100" t="s">
        <v>561</v>
      </c>
      <c r="AS19" s="98" t="s">
        <v>561</v>
      </c>
      <c r="AT19" s="98" t="s">
        <v>561</v>
      </c>
      <c r="AU19" s="98" t="s">
        <v>561</v>
      </c>
      <c r="AV19" s="98" t="s">
        <v>561</v>
      </c>
      <c r="AW19" s="98">
        <v>154.79876160990713</v>
      </c>
      <c r="AX19" s="98">
        <v>309.59752321981426</v>
      </c>
      <c r="AY19" s="98">
        <v>641.3091552410438</v>
      </c>
      <c r="AZ19" s="98">
        <v>1061.4772224679346</v>
      </c>
      <c r="BA19" s="100" t="s">
        <v>561</v>
      </c>
      <c r="BB19" s="100" t="s">
        <v>561</v>
      </c>
      <c r="BC19" s="100" t="s">
        <v>561</v>
      </c>
      <c r="BD19" s="158">
        <v>0.1802596092</v>
      </c>
      <c r="BE19" s="158">
        <v>0.46755340580000004</v>
      </c>
      <c r="BF19" s="162">
        <v>350</v>
      </c>
      <c r="BG19" s="162" t="s">
        <v>561</v>
      </c>
      <c r="BH19" s="162">
        <v>1299</v>
      </c>
      <c r="BI19" s="162">
        <v>228</v>
      </c>
      <c r="BJ19" s="162">
        <v>120</v>
      </c>
      <c r="BK19" s="97"/>
      <c r="BL19" s="97"/>
      <c r="BM19" s="97"/>
      <c r="BN19" s="97"/>
    </row>
    <row r="20" spans="1:66" ht="12.75">
      <c r="A20" s="79" t="s">
        <v>538</v>
      </c>
      <c r="B20" s="79" t="s">
        <v>310</v>
      </c>
      <c r="C20" s="79" t="s">
        <v>74</v>
      </c>
      <c r="D20" s="99">
        <v>6750</v>
      </c>
      <c r="E20" s="99">
        <v>401</v>
      </c>
      <c r="F20" s="99" t="s">
        <v>347</v>
      </c>
      <c r="G20" s="99">
        <v>13</v>
      </c>
      <c r="H20" s="99">
        <v>8</v>
      </c>
      <c r="I20" s="99">
        <v>57</v>
      </c>
      <c r="J20" s="99">
        <v>219</v>
      </c>
      <c r="K20" s="99" t="s">
        <v>561</v>
      </c>
      <c r="L20" s="99">
        <v>1509</v>
      </c>
      <c r="M20" s="99">
        <v>99</v>
      </c>
      <c r="N20" s="99">
        <v>45</v>
      </c>
      <c r="O20" s="99">
        <v>76</v>
      </c>
      <c r="P20" s="159">
        <v>76</v>
      </c>
      <c r="Q20" s="99">
        <v>6</v>
      </c>
      <c r="R20" s="99">
        <v>19</v>
      </c>
      <c r="S20" s="99">
        <v>18</v>
      </c>
      <c r="T20" s="99">
        <v>9</v>
      </c>
      <c r="U20" s="99" t="s">
        <v>561</v>
      </c>
      <c r="V20" s="99">
        <v>20</v>
      </c>
      <c r="W20" s="99">
        <v>28</v>
      </c>
      <c r="X20" s="99">
        <v>9</v>
      </c>
      <c r="Y20" s="99">
        <v>53</v>
      </c>
      <c r="Z20" s="99">
        <v>46</v>
      </c>
      <c r="AA20" s="99" t="s">
        <v>561</v>
      </c>
      <c r="AB20" s="99" t="s">
        <v>561</v>
      </c>
      <c r="AC20" s="99" t="s">
        <v>561</v>
      </c>
      <c r="AD20" s="98" t="s">
        <v>326</v>
      </c>
      <c r="AE20" s="100">
        <v>0.05940740740740741</v>
      </c>
      <c r="AF20" s="100">
        <v>0.32</v>
      </c>
      <c r="AG20" s="98">
        <v>192.59259259259258</v>
      </c>
      <c r="AH20" s="98">
        <v>118.51851851851852</v>
      </c>
      <c r="AI20" s="100">
        <v>0.008</v>
      </c>
      <c r="AJ20" s="100">
        <v>0.642229</v>
      </c>
      <c r="AK20" s="100" t="s">
        <v>561</v>
      </c>
      <c r="AL20" s="100">
        <v>0.719599</v>
      </c>
      <c r="AM20" s="100">
        <v>0.353571</v>
      </c>
      <c r="AN20" s="100">
        <v>0.357143</v>
      </c>
      <c r="AO20" s="98">
        <v>1125.9259259259259</v>
      </c>
      <c r="AP20" s="158">
        <v>0.9079185486</v>
      </c>
      <c r="AQ20" s="100">
        <v>0.07894736842105263</v>
      </c>
      <c r="AR20" s="100">
        <v>0.3157894736842105</v>
      </c>
      <c r="AS20" s="98">
        <v>266.6666666666667</v>
      </c>
      <c r="AT20" s="98">
        <v>133.33333333333334</v>
      </c>
      <c r="AU20" s="98" t="s">
        <v>561</v>
      </c>
      <c r="AV20" s="98">
        <v>296.2962962962963</v>
      </c>
      <c r="AW20" s="98">
        <v>414.81481481481484</v>
      </c>
      <c r="AX20" s="98">
        <v>133.33333333333334</v>
      </c>
      <c r="AY20" s="98">
        <v>785.1851851851852</v>
      </c>
      <c r="AZ20" s="98">
        <v>681.4814814814815</v>
      </c>
      <c r="BA20" s="100" t="s">
        <v>561</v>
      </c>
      <c r="BB20" s="100" t="s">
        <v>561</v>
      </c>
      <c r="BC20" s="100" t="s">
        <v>561</v>
      </c>
      <c r="BD20" s="158">
        <v>0.7153365326</v>
      </c>
      <c r="BE20" s="158">
        <v>1.136395493</v>
      </c>
      <c r="BF20" s="162">
        <v>341</v>
      </c>
      <c r="BG20" s="162" t="s">
        <v>561</v>
      </c>
      <c r="BH20" s="162">
        <v>2097</v>
      </c>
      <c r="BI20" s="162">
        <v>280</v>
      </c>
      <c r="BJ20" s="162">
        <v>126</v>
      </c>
      <c r="BK20" s="97"/>
      <c r="BL20" s="97"/>
      <c r="BM20" s="97"/>
      <c r="BN20" s="97"/>
    </row>
    <row r="21" spans="1:66" ht="12.75">
      <c r="A21" s="79" t="s">
        <v>516</v>
      </c>
      <c r="B21" s="79" t="s">
        <v>288</v>
      </c>
      <c r="C21" s="79" t="s">
        <v>74</v>
      </c>
      <c r="D21" s="99">
        <v>10697</v>
      </c>
      <c r="E21" s="99">
        <v>669</v>
      </c>
      <c r="F21" s="99" t="s">
        <v>347</v>
      </c>
      <c r="G21" s="99">
        <v>16</v>
      </c>
      <c r="H21" s="99">
        <v>10</v>
      </c>
      <c r="I21" s="99">
        <v>103</v>
      </c>
      <c r="J21" s="99">
        <v>467</v>
      </c>
      <c r="K21" s="99">
        <v>10</v>
      </c>
      <c r="L21" s="99">
        <v>2489</v>
      </c>
      <c r="M21" s="99">
        <v>199</v>
      </c>
      <c r="N21" s="99">
        <v>106</v>
      </c>
      <c r="O21" s="99">
        <v>118</v>
      </c>
      <c r="P21" s="159">
        <v>118</v>
      </c>
      <c r="Q21" s="99">
        <v>13</v>
      </c>
      <c r="R21" s="99">
        <v>28</v>
      </c>
      <c r="S21" s="99">
        <v>25</v>
      </c>
      <c r="T21" s="99">
        <v>12</v>
      </c>
      <c r="U21" s="99" t="s">
        <v>561</v>
      </c>
      <c r="V21" s="99">
        <v>27</v>
      </c>
      <c r="W21" s="99">
        <v>41</v>
      </c>
      <c r="X21" s="99">
        <v>16</v>
      </c>
      <c r="Y21" s="99">
        <v>109</v>
      </c>
      <c r="Z21" s="99">
        <v>48</v>
      </c>
      <c r="AA21" s="99" t="s">
        <v>561</v>
      </c>
      <c r="AB21" s="99" t="s">
        <v>561</v>
      </c>
      <c r="AC21" s="99" t="s">
        <v>561</v>
      </c>
      <c r="AD21" s="98" t="s">
        <v>326</v>
      </c>
      <c r="AE21" s="100">
        <v>0.06254089931756568</v>
      </c>
      <c r="AF21" s="100">
        <v>0.31</v>
      </c>
      <c r="AG21" s="98">
        <v>149.574647097317</v>
      </c>
      <c r="AH21" s="98">
        <v>93.48415443582313</v>
      </c>
      <c r="AI21" s="100">
        <v>0.01</v>
      </c>
      <c r="AJ21" s="100">
        <v>0.626005</v>
      </c>
      <c r="AK21" s="100">
        <v>0.555556</v>
      </c>
      <c r="AL21" s="100">
        <v>0.732705</v>
      </c>
      <c r="AM21" s="100">
        <v>0.374765</v>
      </c>
      <c r="AN21" s="100">
        <v>0.391144</v>
      </c>
      <c r="AO21" s="98">
        <v>1103.1130223427128</v>
      </c>
      <c r="AP21" s="158">
        <v>0.8338122559</v>
      </c>
      <c r="AQ21" s="100">
        <v>0.11016949152542373</v>
      </c>
      <c r="AR21" s="100">
        <v>0.4642857142857143</v>
      </c>
      <c r="AS21" s="98">
        <v>233.71038608955783</v>
      </c>
      <c r="AT21" s="98">
        <v>112.18098532298775</v>
      </c>
      <c r="AU21" s="98" t="s">
        <v>561</v>
      </c>
      <c r="AV21" s="98">
        <v>252.40721697672245</v>
      </c>
      <c r="AW21" s="98">
        <v>383.28503318687484</v>
      </c>
      <c r="AX21" s="98">
        <v>149.574647097317</v>
      </c>
      <c r="AY21" s="98">
        <v>1018.9772833504721</v>
      </c>
      <c r="AZ21" s="98">
        <v>448.723941291951</v>
      </c>
      <c r="BA21" s="100" t="s">
        <v>561</v>
      </c>
      <c r="BB21" s="100" t="s">
        <v>561</v>
      </c>
      <c r="BC21" s="100" t="s">
        <v>561</v>
      </c>
      <c r="BD21" s="158">
        <v>0.6901683807000001</v>
      </c>
      <c r="BE21" s="158">
        <v>0.9985362244</v>
      </c>
      <c r="BF21" s="162">
        <v>746</v>
      </c>
      <c r="BG21" s="162">
        <v>18</v>
      </c>
      <c r="BH21" s="162">
        <v>3397</v>
      </c>
      <c r="BI21" s="162">
        <v>531</v>
      </c>
      <c r="BJ21" s="162">
        <v>271</v>
      </c>
      <c r="BK21" s="97"/>
      <c r="BL21" s="97"/>
      <c r="BM21" s="97"/>
      <c r="BN21" s="97"/>
    </row>
    <row r="22" spans="1:66" ht="12.75">
      <c r="A22" s="79" t="s">
        <v>520</v>
      </c>
      <c r="B22" s="79" t="s">
        <v>292</v>
      </c>
      <c r="C22" s="79" t="s">
        <v>74</v>
      </c>
      <c r="D22" s="99">
        <v>6900</v>
      </c>
      <c r="E22" s="99">
        <v>572</v>
      </c>
      <c r="F22" s="99" t="s">
        <v>347</v>
      </c>
      <c r="G22" s="99">
        <v>23</v>
      </c>
      <c r="H22" s="99">
        <v>6</v>
      </c>
      <c r="I22" s="99">
        <v>59</v>
      </c>
      <c r="J22" s="99">
        <v>316</v>
      </c>
      <c r="K22" s="99">
        <v>12</v>
      </c>
      <c r="L22" s="99">
        <v>1195</v>
      </c>
      <c r="M22" s="99">
        <v>129</v>
      </c>
      <c r="N22" s="99">
        <v>70</v>
      </c>
      <c r="O22" s="99">
        <v>35</v>
      </c>
      <c r="P22" s="159">
        <v>35</v>
      </c>
      <c r="Q22" s="99" t="s">
        <v>561</v>
      </c>
      <c r="R22" s="99">
        <v>16</v>
      </c>
      <c r="S22" s="99">
        <v>19</v>
      </c>
      <c r="T22" s="99" t="s">
        <v>561</v>
      </c>
      <c r="U22" s="99" t="s">
        <v>561</v>
      </c>
      <c r="V22" s="99" t="s">
        <v>561</v>
      </c>
      <c r="W22" s="99">
        <v>21</v>
      </c>
      <c r="X22" s="99">
        <v>13</v>
      </c>
      <c r="Y22" s="99">
        <v>49</v>
      </c>
      <c r="Z22" s="99">
        <v>33</v>
      </c>
      <c r="AA22" s="99" t="s">
        <v>561</v>
      </c>
      <c r="AB22" s="99" t="s">
        <v>561</v>
      </c>
      <c r="AC22" s="99" t="s">
        <v>561</v>
      </c>
      <c r="AD22" s="98" t="s">
        <v>326</v>
      </c>
      <c r="AE22" s="100">
        <v>0.08289855072463768</v>
      </c>
      <c r="AF22" s="100">
        <v>0.31</v>
      </c>
      <c r="AG22" s="98">
        <v>333.3333333333333</v>
      </c>
      <c r="AH22" s="98">
        <v>86.95652173913044</v>
      </c>
      <c r="AI22" s="100">
        <v>0.009000000000000001</v>
      </c>
      <c r="AJ22" s="100">
        <v>0.564286</v>
      </c>
      <c r="AK22" s="100">
        <v>0.363636</v>
      </c>
      <c r="AL22" s="100">
        <v>0.644552</v>
      </c>
      <c r="AM22" s="100">
        <v>0.292517</v>
      </c>
      <c r="AN22" s="100">
        <v>0.292887</v>
      </c>
      <c r="AO22" s="98">
        <v>507.2463768115942</v>
      </c>
      <c r="AP22" s="158">
        <v>0.35638183589999994</v>
      </c>
      <c r="AQ22" s="100" t="s">
        <v>561</v>
      </c>
      <c r="AR22" s="100" t="s">
        <v>561</v>
      </c>
      <c r="AS22" s="98">
        <v>275.3623188405797</v>
      </c>
      <c r="AT22" s="98" t="s">
        <v>561</v>
      </c>
      <c r="AU22" s="98" t="s">
        <v>561</v>
      </c>
      <c r="AV22" s="98" t="s">
        <v>561</v>
      </c>
      <c r="AW22" s="98">
        <v>304.3478260869565</v>
      </c>
      <c r="AX22" s="98">
        <v>188.40579710144928</v>
      </c>
      <c r="AY22" s="98">
        <v>710.1449275362319</v>
      </c>
      <c r="AZ22" s="98">
        <v>478.2608695652174</v>
      </c>
      <c r="BA22" s="100" t="s">
        <v>561</v>
      </c>
      <c r="BB22" s="100" t="s">
        <v>561</v>
      </c>
      <c r="BC22" s="100" t="s">
        <v>561</v>
      </c>
      <c r="BD22" s="158">
        <v>0.2482329941</v>
      </c>
      <c r="BE22" s="158">
        <v>0.4956408691</v>
      </c>
      <c r="BF22" s="162">
        <v>560</v>
      </c>
      <c r="BG22" s="162">
        <v>33</v>
      </c>
      <c r="BH22" s="162">
        <v>1854</v>
      </c>
      <c r="BI22" s="162">
        <v>441</v>
      </c>
      <c r="BJ22" s="162">
        <v>239</v>
      </c>
      <c r="BK22" s="97"/>
      <c r="BL22" s="97"/>
      <c r="BM22" s="97"/>
      <c r="BN22" s="97"/>
    </row>
    <row r="23" spans="1:66" ht="12.75">
      <c r="A23" s="79" t="s">
        <v>512</v>
      </c>
      <c r="B23" s="79" t="s">
        <v>284</v>
      </c>
      <c r="C23" s="79" t="s">
        <v>74</v>
      </c>
      <c r="D23" s="99">
        <v>14473</v>
      </c>
      <c r="E23" s="99">
        <v>819</v>
      </c>
      <c r="F23" s="99" t="s">
        <v>347</v>
      </c>
      <c r="G23" s="99">
        <v>19</v>
      </c>
      <c r="H23" s="99">
        <v>18</v>
      </c>
      <c r="I23" s="99">
        <v>111</v>
      </c>
      <c r="J23" s="99">
        <v>473</v>
      </c>
      <c r="K23" s="99">
        <v>6</v>
      </c>
      <c r="L23" s="99">
        <v>1798</v>
      </c>
      <c r="M23" s="99">
        <v>238</v>
      </c>
      <c r="N23" s="99">
        <v>124</v>
      </c>
      <c r="O23" s="99">
        <v>152</v>
      </c>
      <c r="P23" s="159">
        <v>152</v>
      </c>
      <c r="Q23" s="99">
        <v>18</v>
      </c>
      <c r="R23" s="99">
        <v>34</v>
      </c>
      <c r="S23" s="99">
        <v>32</v>
      </c>
      <c r="T23" s="99">
        <v>27</v>
      </c>
      <c r="U23" s="99">
        <v>9</v>
      </c>
      <c r="V23" s="99">
        <v>12</v>
      </c>
      <c r="W23" s="99">
        <v>50</v>
      </c>
      <c r="X23" s="99">
        <v>30</v>
      </c>
      <c r="Y23" s="99">
        <v>88</v>
      </c>
      <c r="Z23" s="99">
        <v>83</v>
      </c>
      <c r="AA23" s="99" t="s">
        <v>561</v>
      </c>
      <c r="AB23" s="99" t="s">
        <v>561</v>
      </c>
      <c r="AC23" s="99" t="s">
        <v>561</v>
      </c>
      <c r="AD23" s="98" t="s">
        <v>326</v>
      </c>
      <c r="AE23" s="100">
        <v>0.05658812962067298</v>
      </c>
      <c r="AF23" s="100">
        <v>0.32</v>
      </c>
      <c r="AG23" s="98">
        <v>131.27893318593243</v>
      </c>
      <c r="AH23" s="98">
        <v>124.36951564983072</v>
      </c>
      <c r="AI23" s="100">
        <v>0.008</v>
      </c>
      <c r="AJ23" s="100">
        <v>0.542431</v>
      </c>
      <c r="AK23" s="100">
        <v>0.315789</v>
      </c>
      <c r="AL23" s="100">
        <v>0.586432</v>
      </c>
      <c r="AM23" s="100">
        <v>0.357357</v>
      </c>
      <c r="AN23" s="100">
        <v>0.370149</v>
      </c>
      <c r="AO23" s="98">
        <v>1050.2314654874594</v>
      </c>
      <c r="AP23" s="158">
        <v>1.0159966280000001</v>
      </c>
      <c r="AQ23" s="100">
        <v>0.11842105263157894</v>
      </c>
      <c r="AR23" s="100">
        <v>0.5294117647058824</v>
      </c>
      <c r="AS23" s="98">
        <v>221.1013611552546</v>
      </c>
      <c r="AT23" s="98">
        <v>186.55427347474608</v>
      </c>
      <c r="AU23" s="98">
        <v>62.18475782491536</v>
      </c>
      <c r="AV23" s="98">
        <v>82.91301043322048</v>
      </c>
      <c r="AW23" s="98">
        <v>345.4708768050853</v>
      </c>
      <c r="AX23" s="98">
        <v>207.2825260830512</v>
      </c>
      <c r="AY23" s="98">
        <v>608.0287431769502</v>
      </c>
      <c r="AZ23" s="98">
        <v>573.4816554964417</v>
      </c>
      <c r="BA23" s="100" t="s">
        <v>561</v>
      </c>
      <c r="BB23" s="100" t="s">
        <v>561</v>
      </c>
      <c r="BC23" s="100" t="s">
        <v>561</v>
      </c>
      <c r="BD23" s="158">
        <v>0.8609005737</v>
      </c>
      <c r="BE23" s="158">
        <v>1.190963593</v>
      </c>
      <c r="BF23" s="162">
        <v>872</v>
      </c>
      <c r="BG23" s="162">
        <v>19</v>
      </c>
      <c r="BH23" s="162">
        <v>3066</v>
      </c>
      <c r="BI23" s="162">
        <v>666</v>
      </c>
      <c r="BJ23" s="162">
        <v>335</v>
      </c>
      <c r="BK23" s="97"/>
      <c r="BL23" s="97"/>
      <c r="BM23" s="97"/>
      <c r="BN23" s="97"/>
    </row>
    <row r="24" spans="1:66" ht="12.75">
      <c r="A24" s="79" t="s">
        <v>548</v>
      </c>
      <c r="B24" s="79" t="s">
        <v>320</v>
      </c>
      <c r="C24" s="79" t="s">
        <v>74</v>
      </c>
      <c r="D24" s="99">
        <v>4555</v>
      </c>
      <c r="E24" s="99">
        <v>320</v>
      </c>
      <c r="F24" s="99" t="s">
        <v>347</v>
      </c>
      <c r="G24" s="99">
        <v>12</v>
      </c>
      <c r="H24" s="99">
        <v>7</v>
      </c>
      <c r="I24" s="99">
        <v>49</v>
      </c>
      <c r="J24" s="99">
        <v>122</v>
      </c>
      <c r="K24" s="99">
        <v>109</v>
      </c>
      <c r="L24" s="99">
        <v>564</v>
      </c>
      <c r="M24" s="99">
        <v>66</v>
      </c>
      <c r="N24" s="99">
        <v>35</v>
      </c>
      <c r="O24" s="99">
        <v>33</v>
      </c>
      <c r="P24" s="159">
        <v>33</v>
      </c>
      <c r="Q24" s="99" t="s">
        <v>561</v>
      </c>
      <c r="R24" s="99">
        <v>10</v>
      </c>
      <c r="S24" s="99" t="s">
        <v>561</v>
      </c>
      <c r="T24" s="99" t="s">
        <v>561</v>
      </c>
      <c r="U24" s="99" t="s">
        <v>561</v>
      </c>
      <c r="V24" s="99">
        <v>13</v>
      </c>
      <c r="W24" s="99">
        <v>14</v>
      </c>
      <c r="X24" s="99">
        <v>9</v>
      </c>
      <c r="Y24" s="99">
        <v>35</v>
      </c>
      <c r="Z24" s="99">
        <v>20</v>
      </c>
      <c r="AA24" s="99" t="s">
        <v>561</v>
      </c>
      <c r="AB24" s="99" t="s">
        <v>561</v>
      </c>
      <c r="AC24" s="99" t="s">
        <v>561</v>
      </c>
      <c r="AD24" s="98" t="s">
        <v>326</v>
      </c>
      <c r="AE24" s="100">
        <v>0.07025246981339188</v>
      </c>
      <c r="AF24" s="100">
        <v>0.31</v>
      </c>
      <c r="AG24" s="98">
        <v>263.4467618002195</v>
      </c>
      <c r="AH24" s="98">
        <v>153.67727771679472</v>
      </c>
      <c r="AI24" s="100">
        <v>0.011000000000000001</v>
      </c>
      <c r="AJ24" s="100">
        <v>0.51046</v>
      </c>
      <c r="AK24" s="100">
        <v>0.490991</v>
      </c>
      <c r="AL24" s="100">
        <v>0.577277</v>
      </c>
      <c r="AM24" s="100">
        <v>0.335025</v>
      </c>
      <c r="AN24" s="100">
        <v>0.393258</v>
      </c>
      <c r="AO24" s="98">
        <v>724.4785949506037</v>
      </c>
      <c r="AP24" s="158">
        <v>0.657412796</v>
      </c>
      <c r="AQ24" s="100" t="s">
        <v>561</v>
      </c>
      <c r="AR24" s="100" t="s">
        <v>561</v>
      </c>
      <c r="AS24" s="98" t="s">
        <v>561</v>
      </c>
      <c r="AT24" s="98" t="s">
        <v>561</v>
      </c>
      <c r="AU24" s="98" t="s">
        <v>561</v>
      </c>
      <c r="AV24" s="98">
        <v>285.4006586169045</v>
      </c>
      <c r="AW24" s="98">
        <v>307.35455543358944</v>
      </c>
      <c r="AX24" s="98">
        <v>197.58507135016467</v>
      </c>
      <c r="AY24" s="98">
        <v>768.3863885839736</v>
      </c>
      <c r="AZ24" s="98">
        <v>439.07793633369926</v>
      </c>
      <c r="BA24" s="100" t="s">
        <v>561</v>
      </c>
      <c r="BB24" s="100" t="s">
        <v>561</v>
      </c>
      <c r="BC24" s="100" t="s">
        <v>561</v>
      </c>
      <c r="BD24" s="158">
        <v>0.4525327301</v>
      </c>
      <c r="BE24" s="158">
        <v>0.9232520294</v>
      </c>
      <c r="BF24" s="162">
        <v>239</v>
      </c>
      <c r="BG24" s="162">
        <v>222</v>
      </c>
      <c r="BH24" s="162">
        <v>977</v>
      </c>
      <c r="BI24" s="162">
        <v>197</v>
      </c>
      <c r="BJ24" s="162">
        <v>89</v>
      </c>
      <c r="BK24" s="97"/>
      <c r="BL24" s="97"/>
      <c r="BM24" s="97"/>
      <c r="BN24" s="97"/>
    </row>
    <row r="25" spans="1:66" ht="12.75">
      <c r="A25" s="79" t="s">
        <v>518</v>
      </c>
      <c r="B25" s="79" t="s">
        <v>290</v>
      </c>
      <c r="C25" s="79" t="s">
        <v>74</v>
      </c>
      <c r="D25" s="99">
        <v>6615</v>
      </c>
      <c r="E25" s="99">
        <v>390</v>
      </c>
      <c r="F25" s="99" t="s">
        <v>347</v>
      </c>
      <c r="G25" s="99">
        <v>20</v>
      </c>
      <c r="H25" s="99" t="s">
        <v>561</v>
      </c>
      <c r="I25" s="99">
        <v>56</v>
      </c>
      <c r="J25" s="99">
        <v>273</v>
      </c>
      <c r="K25" s="99">
        <v>29</v>
      </c>
      <c r="L25" s="99">
        <v>1402</v>
      </c>
      <c r="M25" s="99">
        <v>133</v>
      </c>
      <c r="N25" s="99">
        <v>65</v>
      </c>
      <c r="O25" s="99">
        <v>180</v>
      </c>
      <c r="P25" s="159">
        <v>180</v>
      </c>
      <c r="Q25" s="99">
        <v>8</v>
      </c>
      <c r="R25" s="99">
        <v>17</v>
      </c>
      <c r="S25" s="99">
        <v>50</v>
      </c>
      <c r="T25" s="99">
        <v>18</v>
      </c>
      <c r="U25" s="99">
        <v>6</v>
      </c>
      <c r="V25" s="99">
        <v>42</v>
      </c>
      <c r="W25" s="99">
        <v>33</v>
      </c>
      <c r="X25" s="99">
        <v>20</v>
      </c>
      <c r="Y25" s="99">
        <v>59</v>
      </c>
      <c r="Z25" s="99">
        <v>16</v>
      </c>
      <c r="AA25" s="99" t="s">
        <v>561</v>
      </c>
      <c r="AB25" s="99" t="s">
        <v>561</v>
      </c>
      <c r="AC25" s="99" t="s">
        <v>561</v>
      </c>
      <c r="AD25" s="98" t="s">
        <v>326</v>
      </c>
      <c r="AE25" s="100">
        <v>0.05895691609977324</v>
      </c>
      <c r="AF25" s="100">
        <v>0.29</v>
      </c>
      <c r="AG25" s="98">
        <v>302.34315948601665</v>
      </c>
      <c r="AH25" s="98" t="s">
        <v>561</v>
      </c>
      <c r="AI25" s="100">
        <v>0.008</v>
      </c>
      <c r="AJ25" s="100">
        <v>0.527027</v>
      </c>
      <c r="AK25" s="100">
        <v>0.644444</v>
      </c>
      <c r="AL25" s="100">
        <v>0.617077</v>
      </c>
      <c r="AM25" s="100">
        <v>0.361413</v>
      </c>
      <c r="AN25" s="100">
        <v>0.365169</v>
      </c>
      <c r="AO25" s="98">
        <v>2721.08843537415</v>
      </c>
      <c r="AP25" s="158">
        <v>1.974649506</v>
      </c>
      <c r="AQ25" s="100">
        <v>0.044444444444444446</v>
      </c>
      <c r="AR25" s="100">
        <v>0.47058823529411764</v>
      </c>
      <c r="AS25" s="98">
        <v>755.8578987150415</v>
      </c>
      <c r="AT25" s="98">
        <v>272.10884353741494</v>
      </c>
      <c r="AU25" s="98">
        <v>90.70294784580499</v>
      </c>
      <c r="AV25" s="98">
        <v>634.9206349206349</v>
      </c>
      <c r="AW25" s="98">
        <v>498.8662131519274</v>
      </c>
      <c r="AX25" s="98">
        <v>302.34315948601665</v>
      </c>
      <c r="AY25" s="98">
        <v>891.912320483749</v>
      </c>
      <c r="AZ25" s="98">
        <v>241.8745275888133</v>
      </c>
      <c r="BA25" s="100" t="s">
        <v>561</v>
      </c>
      <c r="BB25" s="100" t="s">
        <v>561</v>
      </c>
      <c r="BC25" s="100" t="s">
        <v>561</v>
      </c>
      <c r="BD25" s="158">
        <v>1.696705627</v>
      </c>
      <c r="BE25" s="158">
        <v>2.285137177</v>
      </c>
      <c r="BF25" s="162">
        <v>518</v>
      </c>
      <c r="BG25" s="162">
        <v>45</v>
      </c>
      <c r="BH25" s="162">
        <v>2272</v>
      </c>
      <c r="BI25" s="162">
        <v>368</v>
      </c>
      <c r="BJ25" s="162">
        <v>178</v>
      </c>
      <c r="BK25" s="97"/>
      <c r="BL25" s="97"/>
      <c r="BM25" s="97"/>
      <c r="BN25" s="97"/>
    </row>
    <row r="26" spans="1:66" ht="12.75">
      <c r="A26" s="79" t="s">
        <v>542</v>
      </c>
      <c r="B26" s="79" t="s">
        <v>314</v>
      </c>
      <c r="C26" s="79" t="s">
        <v>74</v>
      </c>
      <c r="D26" s="99">
        <v>6755</v>
      </c>
      <c r="E26" s="99">
        <v>288</v>
      </c>
      <c r="F26" s="99" t="s">
        <v>347</v>
      </c>
      <c r="G26" s="99">
        <v>10</v>
      </c>
      <c r="H26" s="99" t="s">
        <v>561</v>
      </c>
      <c r="I26" s="99">
        <v>45</v>
      </c>
      <c r="J26" s="99">
        <v>156</v>
      </c>
      <c r="K26" s="99" t="s">
        <v>561</v>
      </c>
      <c r="L26" s="99">
        <v>868</v>
      </c>
      <c r="M26" s="99">
        <v>79</v>
      </c>
      <c r="N26" s="99">
        <v>38</v>
      </c>
      <c r="O26" s="99">
        <v>27</v>
      </c>
      <c r="P26" s="159">
        <v>27</v>
      </c>
      <c r="Q26" s="99" t="s">
        <v>561</v>
      </c>
      <c r="R26" s="99">
        <v>8</v>
      </c>
      <c r="S26" s="99">
        <v>13</v>
      </c>
      <c r="T26" s="99" t="s">
        <v>561</v>
      </c>
      <c r="U26" s="99" t="s">
        <v>561</v>
      </c>
      <c r="V26" s="99" t="s">
        <v>561</v>
      </c>
      <c r="W26" s="99">
        <v>21</v>
      </c>
      <c r="X26" s="99">
        <v>11</v>
      </c>
      <c r="Y26" s="99">
        <v>30</v>
      </c>
      <c r="Z26" s="99">
        <v>13</v>
      </c>
      <c r="AA26" s="99" t="s">
        <v>561</v>
      </c>
      <c r="AB26" s="99" t="s">
        <v>561</v>
      </c>
      <c r="AC26" s="99" t="s">
        <v>561</v>
      </c>
      <c r="AD26" s="98" t="s">
        <v>326</v>
      </c>
      <c r="AE26" s="100">
        <v>0.04263508512213175</v>
      </c>
      <c r="AF26" s="100">
        <v>0.34</v>
      </c>
      <c r="AG26" s="98">
        <v>148.03849000740192</v>
      </c>
      <c r="AH26" s="98" t="s">
        <v>561</v>
      </c>
      <c r="AI26" s="100">
        <v>0.006999999999999999</v>
      </c>
      <c r="AJ26" s="100">
        <v>0.506494</v>
      </c>
      <c r="AK26" s="100" t="s">
        <v>561</v>
      </c>
      <c r="AL26" s="100">
        <v>0.685624</v>
      </c>
      <c r="AM26" s="100">
        <v>0.321138</v>
      </c>
      <c r="AN26" s="100">
        <v>0.319328</v>
      </c>
      <c r="AO26" s="98">
        <v>399.7039230199852</v>
      </c>
      <c r="AP26" s="158">
        <v>0.44548774719999995</v>
      </c>
      <c r="AQ26" s="100" t="s">
        <v>561</v>
      </c>
      <c r="AR26" s="100" t="s">
        <v>561</v>
      </c>
      <c r="AS26" s="98">
        <v>192.4500370096225</v>
      </c>
      <c r="AT26" s="98" t="s">
        <v>561</v>
      </c>
      <c r="AU26" s="98" t="s">
        <v>561</v>
      </c>
      <c r="AV26" s="98" t="s">
        <v>561</v>
      </c>
      <c r="AW26" s="98">
        <v>310.88082901554407</v>
      </c>
      <c r="AX26" s="98">
        <v>162.84233900814212</v>
      </c>
      <c r="AY26" s="98">
        <v>444.1154700222058</v>
      </c>
      <c r="AZ26" s="98">
        <v>192.4500370096225</v>
      </c>
      <c r="BA26" s="100" t="s">
        <v>561</v>
      </c>
      <c r="BB26" s="100" t="s">
        <v>561</v>
      </c>
      <c r="BC26" s="100" t="s">
        <v>561</v>
      </c>
      <c r="BD26" s="158">
        <v>0.2935792351</v>
      </c>
      <c r="BE26" s="158">
        <v>0.6481613158999999</v>
      </c>
      <c r="BF26" s="162">
        <v>308</v>
      </c>
      <c r="BG26" s="162" t="s">
        <v>561</v>
      </c>
      <c r="BH26" s="162">
        <v>1266</v>
      </c>
      <c r="BI26" s="162">
        <v>246</v>
      </c>
      <c r="BJ26" s="162">
        <v>119</v>
      </c>
      <c r="BK26" s="97"/>
      <c r="BL26" s="97"/>
      <c r="BM26" s="97"/>
      <c r="BN26" s="97"/>
    </row>
    <row r="27" spans="1:66" ht="12.75">
      <c r="A27" s="79" t="s">
        <v>524</v>
      </c>
      <c r="B27" s="79" t="s">
        <v>296</v>
      </c>
      <c r="C27" s="79" t="s">
        <v>74</v>
      </c>
      <c r="D27" s="99">
        <v>7009</v>
      </c>
      <c r="E27" s="99">
        <v>441</v>
      </c>
      <c r="F27" s="99" t="s">
        <v>347</v>
      </c>
      <c r="G27" s="99">
        <v>13</v>
      </c>
      <c r="H27" s="99">
        <v>6</v>
      </c>
      <c r="I27" s="99">
        <v>40</v>
      </c>
      <c r="J27" s="99">
        <v>288</v>
      </c>
      <c r="K27" s="99" t="s">
        <v>561</v>
      </c>
      <c r="L27" s="99">
        <v>1524</v>
      </c>
      <c r="M27" s="99">
        <v>107</v>
      </c>
      <c r="N27" s="99">
        <v>62</v>
      </c>
      <c r="O27" s="99">
        <v>47</v>
      </c>
      <c r="P27" s="159">
        <v>47</v>
      </c>
      <c r="Q27" s="99">
        <v>8</v>
      </c>
      <c r="R27" s="99">
        <v>12</v>
      </c>
      <c r="S27" s="99">
        <v>8</v>
      </c>
      <c r="T27" s="99" t="s">
        <v>561</v>
      </c>
      <c r="U27" s="99" t="s">
        <v>561</v>
      </c>
      <c r="V27" s="99" t="s">
        <v>561</v>
      </c>
      <c r="W27" s="99">
        <v>18</v>
      </c>
      <c r="X27" s="99">
        <v>12</v>
      </c>
      <c r="Y27" s="99">
        <v>42</v>
      </c>
      <c r="Z27" s="99">
        <v>31</v>
      </c>
      <c r="AA27" s="99" t="s">
        <v>561</v>
      </c>
      <c r="AB27" s="99" t="s">
        <v>561</v>
      </c>
      <c r="AC27" s="99" t="s">
        <v>561</v>
      </c>
      <c r="AD27" s="98" t="s">
        <v>326</v>
      </c>
      <c r="AE27" s="100">
        <v>0.06291910400913112</v>
      </c>
      <c r="AF27" s="100">
        <v>0.33</v>
      </c>
      <c r="AG27" s="98">
        <v>185.47581680696248</v>
      </c>
      <c r="AH27" s="98">
        <v>85.60422314167499</v>
      </c>
      <c r="AI27" s="100">
        <v>0.006</v>
      </c>
      <c r="AJ27" s="100">
        <v>0.610169</v>
      </c>
      <c r="AK27" s="100" t="s">
        <v>561</v>
      </c>
      <c r="AL27" s="100">
        <v>0.695573</v>
      </c>
      <c r="AM27" s="100">
        <v>0.312865</v>
      </c>
      <c r="AN27" s="100">
        <v>0.344444</v>
      </c>
      <c r="AO27" s="98">
        <v>670.5664146097874</v>
      </c>
      <c r="AP27" s="158">
        <v>0.5054183197</v>
      </c>
      <c r="AQ27" s="100">
        <v>0.1702127659574468</v>
      </c>
      <c r="AR27" s="100">
        <v>0.6666666666666666</v>
      </c>
      <c r="AS27" s="98">
        <v>114.13896418889999</v>
      </c>
      <c r="AT27" s="98" t="s">
        <v>561</v>
      </c>
      <c r="AU27" s="98" t="s">
        <v>561</v>
      </c>
      <c r="AV27" s="98" t="s">
        <v>561</v>
      </c>
      <c r="AW27" s="98">
        <v>256.812669425025</v>
      </c>
      <c r="AX27" s="98">
        <v>171.20844628334999</v>
      </c>
      <c r="AY27" s="98">
        <v>599.229561991725</v>
      </c>
      <c r="AZ27" s="98">
        <v>442.28848623198746</v>
      </c>
      <c r="BA27" s="100" t="s">
        <v>561</v>
      </c>
      <c r="BB27" s="100" t="s">
        <v>561</v>
      </c>
      <c r="BC27" s="100" t="s">
        <v>561</v>
      </c>
      <c r="BD27" s="158">
        <v>0.37136234279999997</v>
      </c>
      <c r="BE27" s="158">
        <v>0.6720992279</v>
      </c>
      <c r="BF27" s="162">
        <v>472</v>
      </c>
      <c r="BG27" s="162" t="s">
        <v>561</v>
      </c>
      <c r="BH27" s="162">
        <v>2191</v>
      </c>
      <c r="BI27" s="162">
        <v>342</v>
      </c>
      <c r="BJ27" s="162">
        <v>180</v>
      </c>
      <c r="BK27" s="97"/>
      <c r="BL27" s="97"/>
      <c r="BM27" s="97"/>
      <c r="BN27" s="97"/>
    </row>
    <row r="28" spans="1:66" ht="12.75">
      <c r="A28" s="79" t="s">
        <v>543</v>
      </c>
      <c r="B28" s="79" t="s">
        <v>315</v>
      </c>
      <c r="C28" s="79" t="s">
        <v>74</v>
      </c>
      <c r="D28" s="99">
        <v>2858</v>
      </c>
      <c r="E28" s="99">
        <v>170</v>
      </c>
      <c r="F28" s="99" t="s">
        <v>347</v>
      </c>
      <c r="G28" s="99" t="s">
        <v>561</v>
      </c>
      <c r="H28" s="99" t="s">
        <v>561</v>
      </c>
      <c r="I28" s="99">
        <v>25</v>
      </c>
      <c r="J28" s="99">
        <v>129</v>
      </c>
      <c r="K28" s="99" t="s">
        <v>561</v>
      </c>
      <c r="L28" s="99">
        <v>625</v>
      </c>
      <c r="M28" s="99">
        <v>56</v>
      </c>
      <c r="N28" s="99">
        <v>37</v>
      </c>
      <c r="O28" s="99">
        <v>81</v>
      </c>
      <c r="P28" s="159">
        <v>81</v>
      </c>
      <c r="Q28" s="99" t="s">
        <v>561</v>
      </c>
      <c r="R28" s="99" t="s">
        <v>561</v>
      </c>
      <c r="S28" s="99">
        <v>24</v>
      </c>
      <c r="T28" s="99">
        <v>8</v>
      </c>
      <c r="U28" s="99" t="s">
        <v>561</v>
      </c>
      <c r="V28" s="99">
        <v>15</v>
      </c>
      <c r="W28" s="99">
        <v>7</v>
      </c>
      <c r="X28" s="99">
        <v>10</v>
      </c>
      <c r="Y28" s="99">
        <v>31</v>
      </c>
      <c r="Z28" s="99" t="s">
        <v>561</v>
      </c>
      <c r="AA28" s="99" t="s">
        <v>561</v>
      </c>
      <c r="AB28" s="99" t="s">
        <v>561</v>
      </c>
      <c r="AC28" s="99" t="s">
        <v>561</v>
      </c>
      <c r="AD28" s="98" t="s">
        <v>326</v>
      </c>
      <c r="AE28" s="100">
        <v>0.05948215535339398</v>
      </c>
      <c r="AF28" s="100">
        <v>0.29</v>
      </c>
      <c r="AG28" s="98" t="s">
        <v>561</v>
      </c>
      <c r="AH28" s="98" t="s">
        <v>561</v>
      </c>
      <c r="AI28" s="100">
        <v>0.009000000000000001</v>
      </c>
      <c r="AJ28" s="100">
        <v>0.488636</v>
      </c>
      <c r="AK28" s="100" t="s">
        <v>561</v>
      </c>
      <c r="AL28" s="100">
        <v>0.677874</v>
      </c>
      <c r="AM28" s="100">
        <v>0.383562</v>
      </c>
      <c r="AN28" s="100">
        <v>0.440476</v>
      </c>
      <c r="AO28" s="98">
        <v>2834.149755073478</v>
      </c>
      <c r="AP28" s="158">
        <v>2.025531311</v>
      </c>
      <c r="AQ28" s="100" t="s">
        <v>561</v>
      </c>
      <c r="AR28" s="100" t="s">
        <v>561</v>
      </c>
      <c r="AS28" s="98">
        <v>839.7480755773269</v>
      </c>
      <c r="AT28" s="98">
        <v>279.91602519244225</v>
      </c>
      <c r="AU28" s="98" t="s">
        <v>561</v>
      </c>
      <c r="AV28" s="98">
        <v>524.8425472358292</v>
      </c>
      <c r="AW28" s="98">
        <v>244.926522043387</v>
      </c>
      <c r="AX28" s="98">
        <v>349.8950314905528</v>
      </c>
      <c r="AY28" s="98">
        <v>1084.6745976207137</v>
      </c>
      <c r="AZ28" s="98" t="s">
        <v>561</v>
      </c>
      <c r="BA28" s="100" t="s">
        <v>561</v>
      </c>
      <c r="BB28" s="100" t="s">
        <v>561</v>
      </c>
      <c r="BC28" s="100" t="s">
        <v>561</v>
      </c>
      <c r="BD28" s="158">
        <v>1.6085641480000001</v>
      </c>
      <c r="BE28" s="158">
        <v>2.517550354</v>
      </c>
      <c r="BF28" s="162">
        <v>264</v>
      </c>
      <c r="BG28" s="162" t="s">
        <v>561</v>
      </c>
      <c r="BH28" s="162">
        <v>922</v>
      </c>
      <c r="BI28" s="162">
        <v>146</v>
      </c>
      <c r="BJ28" s="162">
        <v>84</v>
      </c>
      <c r="BK28" s="97"/>
      <c r="BL28" s="97"/>
      <c r="BM28" s="97"/>
      <c r="BN28" s="97"/>
    </row>
    <row r="29" spans="1:66" ht="12.75">
      <c r="A29" s="79" t="s">
        <v>532</v>
      </c>
      <c r="B29" s="79" t="s">
        <v>304</v>
      </c>
      <c r="C29" s="79" t="s">
        <v>74</v>
      </c>
      <c r="D29" s="99">
        <v>9142</v>
      </c>
      <c r="E29" s="99">
        <v>460</v>
      </c>
      <c r="F29" s="99" t="s">
        <v>347</v>
      </c>
      <c r="G29" s="99">
        <v>18</v>
      </c>
      <c r="H29" s="99">
        <v>9</v>
      </c>
      <c r="I29" s="99">
        <v>86</v>
      </c>
      <c r="J29" s="99">
        <v>310</v>
      </c>
      <c r="K29" s="99">
        <v>18</v>
      </c>
      <c r="L29" s="99">
        <v>2149</v>
      </c>
      <c r="M29" s="99">
        <v>167</v>
      </c>
      <c r="N29" s="99">
        <v>84</v>
      </c>
      <c r="O29" s="99">
        <v>175</v>
      </c>
      <c r="P29" s="159">
        <v>175</v>
      </c>
      <c r="Q29" s="99">
        <v>13</v>
      </c>
      <c r="R29" s="99">
        <v>22</v>
      </c>
      <c r="S29" s="99">
        <v>38</v>
      </c>
      <c r="T29" s="99">
        <v>20</v>
      </c>
      <c r="U29" s="99" t="s">
        <v>561</v>
      </c>
      <c r="V29" s="99">
        <v>51</v>
      </c>
      <c r="W29" s="99">
        <v>35</v>
      </c>
      <c r="X29" s="99">
        <v>22</v>
      </c>
      <c r="Y29" s="99">
        <v>81</v>
      </c>
      <c r="Z29" s="99">
        <v>67</v>
      </c>
      <c r="AA29" s="99" t="s">
        <v>561</v>
      </c>
      <c r="AB29" s="99" t="s">
        <v>561</v>
      </c>
      <c r="AC29" s="99" t="s">
        <v>561</v>
      </c>
      <c r="AD29" s="98" t="s">
        <v>326</v>
      </c>
      <c r="AE29" s="100">
        <v>0.05031721723911617</v>
      </c>
      <c r="AF29" s="100">
        <v>0.29</v>
      </c>
      <c r="AG29" s="98">
        <v>196.89345876175892</v>
      </c>
      <c r="AH29" s="98">
        <v>98.44672938087946</v>
      </c>
      <c r="AI29" s="100">
        <v>0.009000000000000001</v>
      </c>
      <c r="AJ29" s="100">
        <v>0.496</v>
      </c>
      <c r="AK29" s="100">
        <v>0.529412</v>
      </c>
      <c r="AL29" s="100">
        <v>0.705979</v>
      </c>
      <c r="AM29" s="100">
        <v>0.444149</v>
      </c>
      <c r="AN29" s="100">
        <v>0.459016</v>
      </c>
      <c r="AO29" s="98">
        <v>1914.2419601837673</v>
      </c>
      <c r="AP29" s="158">
        <v>1.488841248</v>
      </c>
      <c r="AQ29" s="100">
        <v>0.07428571428571429</v>
      </c>
      <c r="AR29" s="100">
        <v>0.5909090909090909</v>
      </c>
      <c r="AS29" s="98">
        <v>415.6639684970466</v>
      </c>
      <c r="AT29" s="98">
        <v>218.77050973528767</v>
      </c>
      <c r="AU29" s="98" t="s">
        <v>561</v>
      </c>
      <c r="AV29" s="98">
        <v>557.8647998249836</v>
      </c>
      <c r="AW29" s="98">
        <v>382.84839203675347</v>
      </c>
      <c r="AX29" s="98">
        <v>240.64756070881646</v>
      </c>
      <c r="AY29" s="98">
        <v>886.0205644279151</v>
      </c>
      <c r="AZ29" s="98">
        <v>732.8812076132137</v>
      </c>
      <c r="BA29" s="100" t="s">
        <v>561</v>
      </c>
      <c r="BB29" s="100" t="s">
        <v>561</v>
      </c>
      <c r="BC29" s="100" t="s">
        <v>561</v>
      </c>
      <c r="BD29" s="158">
        <v>1.27642067</v>
      </c>
      <c r="BE29" s="158">
        <v>1.7265086360000002</v>
      </c>
      <c r="BF29" s="162">
        <v>625</v>
      </c>
      <c r="BG29" s="162">
        <v>34</v>
      </c>
      <c r="BH29" s="162">
        <v>3044</v>
      </c>
      <c r="BI29" s="162">
        <v>376</v>
      </c>
      <c r="BJ29" s="162">
        <v>183</v>
      </c>
      <c r="BK29" s="97"/>
      <c r="BL29" s="97"/>
      <c r="BM29" s="97"/>
      <c r="BN29" s="97"/>
    </row>
    <row r="30" spans="1:66" ht="12.75">
      <c r="A30" s="79" t="s">
        <v>545</v>
      </c>
      <c r="B30" s="79" t="s">
        <v>317</v>
      </c>
      <c r="C30" s="79" t="s">
        <v>74</v>
      </c>
      <c r="D30" s="99">
        <v>5917</v>
      </c>
      <c r="E30" s="99">
        <v>279</v>
      </c>
      <c r="F30" s="99" t="s">
        <v>347</v>
      </c>
      <c r="G30" s="99">
        <v>16</v>
      </c>
      <c r="H30" s="99" t="s">
        <v>561</v>
      </c>
      <c r="I30" s="99">
        <v>46</v>
      </c>
      <c r="J30" s="99">
        <v>184</v>
      </c>
      <c r="K30" s="99" t="s">
        <v>561</v>
      </c>
      <c r="L30" s="99">
        <v>1273</v>
      </c>
      <c r="M30" s="99">
        <v>75</v>
      </c>
      <c r="N30" s="99">
        <v>36</v>
      </c>
      <c r="O30" s="99">
        <v>36</v>
      </c>
      <c r="P30" s="159">
        <v>36</v>
      </c>
      <c r="Q30" s="99" t="s">
        <v>561</v>
      </c>
      <c r="R30" s="99">
        <v>9</v>
      </c>
      <c r="S30" s="99">
        <v>12</v>
      </c>
      <c r="T30" s="99" t="s">
        <v>561</v>
      </c>
      <c r="U30" s="99" t="s">
        <v>561</v>
      </c>
      <c r="V30" s="99">
        <v>11</v>
      </c>
      <c r="W30" s="99">
        <v>14</v>
      </c>
      <c r="X30" s="99">
        <v>6</v>
      </c>
      <c r="Y30" s="99">
        <v>40</v>
      </c>
      <c r="Z30" s="99">
        <v>19</v>
      </c>
      <c r="AA30" s="99" t="s">
        <v>561</v>
      </c>
      <c r="AB30" s="99" t="s">
        <v>561</v>
      </c>
      <c r="AC30" s="99" t="s">
        <v>561</v>
      </c>
      <c r="AD30" s="98" t="s">
        <v>326</v>
      </c>
      <c r="AE30" s="100">
        <v>0.04715227311137401</v>
      </c>
      <c r="AF30" s="100">
        <v>0.31</v>
      </c>
      <c r="AG30" s="98">
        <v>270.4073009971269</v>
      </c>
      <c r="AH30" s="98" t="s">
        <v>561</v>
      </c>
      <c r="AI30" s="100">
        <v>0.008</v>
      </c>
      <c r="AJ30" s="100">
        <v>0.557576</v>
      </c>
      <c r="AK30" s="100" t="s">
        <v>561</v>
      </c>
      <c r="AL30" s="100">
        <v>0.653491</v>
      </c>
      <c r="AM30" s="100">
        <v>0.316456</v>
      </c>
      <c r="AN30" s="100">
        <v>0.330275</v>
      </c>
      <c r="AO30" s="98">
        <v>608.4164272435356</v>
      </c>
      <c r="AP30" s="158">
        <v>0.5029412079</v>
      </c>
      <c r="AQ30" s="100" t="s">
        <v>561</v>
      </c>
      <c r="AR30" s="100" t="s">
        <v>561</v>
      </c>
      <c r="AS30" s="98">
        <v>202.80547574784518</v>
      </c>
      <c r="AT30" s="98" t="s">
        <v>561</v>
      </c>
      <c r="AU30" s="98" t="s">
        <v>561</v>
      </c>
      <c r="AV30" s="98">
        <v>185.90501943552476</v>
      </c>
      <c r="AW30" s="98">
        <v>236.60638837248607</v>
      </c>
      <c r="AX30" s="98">
        <v>101.40273787392259</v>
      </c>
      <c r="AY30" s="98">
        <v>676.0182524928173</v>
      </c>
      <c r="AZ30" s="98">
        <v>321.1086699340882</v>
      </c>
      <c r="BA30" s="100" t="s">
        <v>561</v>
      </c>
      <c r="BB30" s="100" t="s">
        <v>561</v>
      </c>
      <c r="BC30" s="100" t="s">
        <v>561</v>
      </c>
      <c r="BD30" s="158">
        <v>0.3522538376</v>
      </c>
      <c r="BE30" s="158">
        <v>0.6962826538</v>
      </c>
      <c r="BF30" s="162">
        <v>330</v>
      </c>
      <c r="BG30" s="162" t="s">
        <v>561</v>
      </c>
      <c r="BH30" s="162">
        <v>1948</v>
      </c>
      <c r="BI30" s="162">
        <v>237</v>
      </c>
      <c r="BJ30" s="162">
        <v>109</v>
      </c>
      <c r="BK30" s="97"/>
      <c r="BL30" s="97"/>
      <c r="BM30" s="97"/>
      <c r="BN30" s="97"/>
    </row>
    <row r="31" spans="1:66" ht="12.75">
      <c r="A31" s="79" t="s">
        <v>528</v>
      </c>
      <c r="B31" s="79" t="s">
        <v>300</v>
      </c>
      <c r="C31" s="79" t="s">
        <v>74</v>
      </c>
      <c r="D31" s="99">
        <v>11007</v>
      </c>
      <c r="E31" s="99">
        <v>721</v>
      </c>
      <c r="F31" s="99" t="s">
        <v>347</v>
      </c>
      <c r="G31" s="99">
        <v>32</v>
      </c>
      <c r="H31" s="99">
        <v>35</v>
      </c>
      <c r="I31" s="99">
        <v>89</v>
      </c>
      <c r="J31" s="99">
        <v>449</v>
      </c>
      <c r="K31" s="99" t="s">
        <v>561</v>
      </c>
      <c r="L31" s="99">
        <v>2314</v>
      </c>
      <c r="M31" s="99">
        <v>175</v>
      </c>
      <c r="N31" s="99">
        <v>84</v>
      </c>
      <c r="O31" s="99">
        <v>101</v>
      </c>
      <c r="P31" s="159">
        <v>101</v>
      </c>
      <c r="Q31" s="99">
        <v>18</v>
      </c>
      <c r="R31" s="99">
        <v>38</v>
      </c>
      <c r="S31" s="99">
        <v>15</v>
      </c>
      <c r="T31" s="99">
        <v>16</v>
      </c>
      <c r="U31" s="99">
        <v>13</v>
      </c>
      <c r="V31" s="99">
        <v>10</v>
      </c>
      <c r="W31" s="99">
        <v>44</v>
      </c>
      <c r="X31" s="99">
        <v>21</v>
      </c>
      <c r="Y31" s="99">
        <v>102</v>
      </c>
      <c r="Z31" s="99">
        <v>83</v>
      </c>
      <c r="AA31" s="99" t="s">
        <v>561</v>
      </c>
      <c r="AB31" s="99" t="s">
        <v>561</v>
      </c>
      <c r="AC31" s="99" t="s">
        <v>561</v>
      </c>
      <c r="AD31" s="98" t="s">
        <v>326</v>
      </c>
      <c r="AE31" s="100">
        <v>0.06550377032797311</v>
      </c>
      <c r="AF31" s="100">
        <v>0.33</v>
      </c>
      <c r="AG31" s="98">
        <v>290.72408467338965</v>
      </c>
      <c r="AH31" s="98">
        <v>317.97946761151996</v>
      </c>
      <c r="AI31" s="100">
        <v>0.008</v>
      </c>
      <c r="AJ31" s="100">
        <v>0.542271</v>
      </c>
      <c r="AK31" s="100" t="s">
        <v>561</v>
      </c>
      <c r="AL31" s="100">
        <v>0.656454</v>
      </c>
      <c r="AM31" s="100">
        <v>0.344488</v>
      </c>
      <c r="AN31" s="100">
        <v>0.366812</v>
      </c>
      <c r="AO31" s="98">
        <v>917.5978922503862</v>
      </c>
      <c r="AP31" s="158">
        <v>0.6963278198</v>
      </c>
      <c r="AQ31" s="100">
        <v>0.1782178217821782</v>
      </c>
      <c r="AR31" s="100">
        <v>0.47368421052631576</v>
      </c>
      <c r="AS31" s="98">
        <v>136.2769146906514</v>
      </c>
      <c r="AT31" s="98">
        <v>145.36204233669483</v>
      </c>
      <c r="AU31" s="98">
        <v>118.10665939856455</v>
      </c>
      <c r="AV31" s="98">
        <v>90.85127646043426</v>
      </c>
      <c r="AW31" s="98">
        <v>399.7456164259108</v>
      </c>
      <c r="AX31" s="98">
        <v>190.78768056691197</v>
      </c>
      <c r="AY31" s="98">
        <v>926.6830198964295</v>
      </c>
      <c r="AZ31" s="98">
        <v>754.0655946216044</v>
      </c>
      <c r="BA31" s="100" t="s">
        <v>561</v>
      </c>
      <c r="BB31" s="100" t="s">
        <v>561</v>
      </c>
      <c r="BC31" s="100" t="s">
        <v>561</v>
      </c>
      <c r="BD31" s="158">
        <v>0.5671704102</v>
      </c>
      <c r="BE31" s="158">
        <v>0.8461013794</v>
      </c>
      <c r="BF31" s="162">
        <v>828</v>
      </c>
      <c r="BG31" s="162" t="s">
        <v>561</v>
      </c>
      <c r="BH31" s="162">
        <v>3525</v>
      </c>
      <c r="BI31" s="162">
        <v>508</v>
      </c>
      <c r="BJ31" s="162">
        <v>229</v>
      </c>
      <c r="BK31" s="97"/>
      <c r="BL31" s="97"/>
      <c r="BM31" s="97"/>
      <c r="BN31" s="97"/>
    </row>
    <row r="32" spans="1:66" ht="12.75">
      <c r="A32" s="79" t="s">
        <v>529</v>
      </c>
      <c r="B32" s="79" t="s">
        <v>301</v>
      </c>
      <c r="C32" s="79" t="s">
        <v>74</v>
      </c>
      <c r="D32" s="99">
        <v>9708</v>
      </c>
      <c r="E32" s="99">
        <v>678</v>
      </c>
      <c r="F32" s="99" t="s">
        <v>347</v>
      </c>
      <c r="G32" s="99">
        <v>20</v>
      </c>
      <c r="H32" s="99">
        <v>7</v>
      </c>
      <c r="I32" s="99">
        <v>74</v>
      </c>
      <c r="J32" s="99">
        <v>373</v>
      </c>
      <c r="K32" s="99">
        <v>8</v>
      </c>
      <c r="L32" s="99">
        <v>1969</v>
      </c>
      <c r="M32" s="99">
        <v>168</v>
      </c>
      <c r="N32" s="99">
        <v>100</v>
      </c>
      <c r="O32" s="99">
        <v>143</v>
      </c>
      <c r="P32" s="159">
        <v>143</v>
      </c>
      <c r="Q32" s="99">
        <v>14</v>
      </c>
      <c r="R32" s="99">
        <v>23</v>
      </c>
      <c r="S32" s="99">
        <v>36</v>
      </c>
      <c r="T32" s="99">
        <v>15</v>
      </c>
      <c r="U32" s="99">
        <v>11</v>
      </c>
      <c r="V32" s="99">
        <v>19</v>
      </c>
      <c r="W32" s="99">
        <v>33</v>
      </c>
      <c r="X32" s="99">
        <v>15</v>
      </c>
      <c r="Y32" s="99">
        <v>69</v>
      </c>
      <c r="Z32" s="99">
        <v>35</v>
      </c>
      <c r="AA32" s="99" t="s">
        <v>561</v>
      </c>
      <c r="AB32" s="99" t="s">
        <v>561</v>
      </c>
      <c r="AC32" s="99" t="s">
        <v>561</v>
      </c>
      <c r="AD32" s="98" t="s">
        <v>326</v>
      </c>
      <c r="AE32" s="100">
        <v>0.06983930778739184</v>
      </c>
      <c r="AF32" s="100">
        <v>0.34</v>
      </c>
      <c r="AG32" s="98">
        <v>206.01565718994644</v>
      </c>
      <c r="AH32" s="98">
        <v>72.10548001648125</v>
      </c>
      <c r="AI32" s="100">
        <v>0.008</v>
      </c>
      <c r="AJ32" s="100">
        <v>0.572086</v>
      </c>
      <c r="AK32" s="100">
        <v>0.444444</v>
      </c>
      <c r="AL32" s="100">
        <v>0.677331</v>
      </c>
      <c r="AM32" s="100">
        <v>0.320611</v>
      </c>
      <c r="AN32" s="100">
        <v>0.384615</v>
      </c>
      <c r="AO32" s="98">
        <v>1473.0119489081171</v>
      </c>
      <c r="AP32" s="158">
        <v>1.116717606</v>
      </c>
      <c r="AQ32" s="100">
        <v>0.0979020979020979</v>
      </c>
      <c r="AR32" s="100">
        <v>0.6086956521739131</v>
      </c>
      <c r="AS32" s="98">
        <v>370.8281829419036</v>
      </c>
      <c r="AT32" s="98">
        <v>154.51174289245984</v>
      </c>
      <c r="AU32" s="98">
        <v>113.30861145447054</v>
      </c>
      <c r="AV32" s="98">
        <v>195.7148743304491</v>
      </c>
      <c r="AW32" s="98">
        <v>339.92583436341164</v>
      </c>
      <c r="AX32" s="98">
        <v>154.51174289245984</v>
      </c>
      <c r="AY32" s="98">
        <v>710.7540173053152</v>
      </c>
      <c r="AZ32" s="98">
        <v>360.52740008240625</v>
      </c>
      <c r="BA32" s="100" t="s">
        <v>561</v>
      </c>
      <c r="BB32" s="100" t="s">
        <v>561</v>
      </c>
      <c r="BC32" s="100" t="s">
        <v>561</v>
      </c>
      <c r="BD32" s="158">
        <v>0.9411920929</v>
      </c>
      <c r="BE32" s="158">
        <v>1.315477295</v>
      </c>
      <c r="BF32" s="162">
        <v>652</v>
      </c>
      <c r="BG32" s="162">
        <v>18</v>
      </c>
      <c r="BH32" s="162">
        <v>2907</v>
      </c>
      <c r="BI32" s="162">
        <v>524</v>
      </c>
      <c r="BJ32" s="162">
        <v>260</v>
      </c>
      <c r="BK32" s="97"/>
      <c r="BL32" s="97"/>
      <c r="BM32" s="97"/>
      <c r="BN32" s="97"/>
    </row>
    <row r="33" spans="1:66" ht="12.75">
      <c r="A33" s="79" t="s">
        <v>540</v>
      </c>
      <c r="B33" s="79" t="s">
        <v>312</v>
      </c>
      <c r="C33" s="79" t="s">
        <v>74</v>
      </c>
      <c r="D33" s="99">
        <v>8751</v>
      </c>
      <c r="E33" s="99">
        <v>1041</v>
      </c>
      <c r="F33" s="99" t="s">
        <v>348</v>
      </c>
      <c r="G33" s="99">
        <v>29</v>
      </c>
      <c r="H33" s="99">
        <v>8</v>
      </c>
      <c r="I33" s="99">
        <v>128</v>
      </c>
      <c r="J33" s="99">
        <v>462</v>
      </c>
      <c r="K33" s="99">
        <v>9</v>
      </c>
      <c r="L33" s="99">
        <v>1422</v>
      </c>
      <c r="M33" s="99">
        <v>339</v>
      </c>
      <c r="N33" s="99">
        <v>178</v>
      </c>
      <c r="O33" s="99">
        <v>163</v>
      </c>
      <c r="P33" s="159">
        <v>163</v>
      </c>
      <c r="Q33" s="99">
        <v>11</v>
      </c>
      <c r="R33" s="99">
        <v>27</v>
      </c>
      <c r="S33" s="99">
        <v>21</v>
      </c>
      <c r="T33" s="99">
        <v>26</v>
      </c>
      <c r="U33" s="99" t="s">
        <v>561</v>
      </c>
      <c r="V33" s="99">
        <v>49</v>
      </c>
      <c r="W33" s="99">
        <v>44</v>
      </c>
      <c r="X33" s="99">
        <v>19</v>
      </c>
      <c r="Y33" s="99">
        <v>61</v>
      </c>
      <c r="Z33" s="99">
        <v>78</v>
      </c>
      <c r="AA33" s="99" t="s">
        <v>561</v>
      </c>
      <c r="AB33" s="99" t="s">
        <v>561</v>
      </c>
      <c r="AC33" s="99" t="s">
        <v>561</v>
      </c>
      <c r="AD33" s="98" t="s">
        <v>326</v>
      </c>
      <c r="AE33" s="100">
        <v>0.11895783339046966</v>
      </c>
      <c r="AF33" s="100">
        <v>0.08</v>
      </c>
      <c r="AG33" s="98">
        <v>331.3906982059193</v>
      </c>
      <c r="AH33" s="98">
        <v>91.41812364301222</v>
      </c>
      <c r="AI33" s="100">
        <v>0.015</v>
      </c>
      <c r="AJ33" s="100">
        <v>0.57606</v>
      </c>
      <c r="AK33" s="100">
        <v>0.428571</v>
      </c>
      <c r="AL33" s="100">
        <v>0.557866</v>
      </c>
      <c r="AM33" s="100">
        <v>0.44026</v>
      </c>
      <c r="AN33" s="100">
        <v>0.485014</v>
      </c>
      <c r="AO33" s="98">
        <v>1862.644269226374</v>
      </c>
      <c r="AP33" s="158">
        <v>1.11914917</v>
      </c>
      <c r="AQ33" s="100">
        <v>0.06748466257668712</v>
      </c>
      <c r="AR33" s="100">
        <v>0.4074074074074074</v>
      </c>
      <c r="AS33" s="98">
        <v>239.97257456290708</v>
      </c>
      <c r="AT33" s="98">
        <v>297.1089018397897</v>
      </c>
      <c r="AU33" s="98" t="s">
        <v>561</v>
      </c>
      <c r="AV33" s="98">
        <v>559.9360073134499</v>
      </c>
      <c r="AW33" s="98">
        <v>502.7996800365672</v>
      </c>
      <c r="AX33" s="98">
        <v>217.11804365215403</v>
      </c>
      <c r="AY33" s="98">
        <v>697.0631927779682</v>
      </c>
      <c r="AZ33" s="98">
        <v>891.3267055193692</v>
      </c>
      <c r="BA33" s="100" t="s">
        <v>561</v>
      </c>
      <c r="BB33" s="100" t="s">
        <v>561</v>
      </c>
      <c r="BC33" s="100" t="s">
        <v>561</v>
      </c>
      <c r="BD33" s="158">
        <v>0.9539341736</v>
      </c>
      <c r="BE33" s="158">
        <v>1.30475708</v>
      </c>
      <c r="BF33" s="162">
        <v>802</v>
      </c>
      <c r="BG33" s="162">
        <v>21</v>
      </c>
      <c r="BH33" s="162">
        <v>2549</v>
      </c>
      <c r="BI33" s="162">
        <v>770</v>
      </c>
      <c r="BJ33" s="162">
        <v>367</v>
      </c>
      <c r="BK33" s="97"/>
      <c r="BL33" s="97"/>
      <c r="BM33" s="97"/>
      <c r="BN33" s="97"/>
    </row>
    <row r="34" spans="1:66" ht="12.75">
      <c r="A34" s="79" t="s">
        <v>514</v>
      </c>
      <c r="B34" s="79" t="s">
        <v>286</v>
      </c>
      <c r="C34" s="79" t="s">
        <v>74</v>
      </c>
      <c r="D34" s="99">
        <v>8294</v>
      </c>
      <c r="E34" s="99">
        <v>562</v>
      </c>
      <c r="F34" s="99" t="s">
        <v>347</v>
      </c>
      <c r="G34" s="99">
        <v>27</v>
      </c>
      <c r="H34" s="99">
        <v>7</v>
      </c>
      <c r="I34" s="99">
        <v>85</v>
      </c>
      <c r="J34" s="99">
        <v>306</v>
      </c>
      <c r="K34" s="99" t="s">
        <v>561</v>
      </c>
      <c r="L34" s="99">
        <v>1761</v>
      </c>
      <c r="M34" s="99">
        <v>141</v>
      </c>
      <c r="N34" s="99">
        <v>74</v>
      </c>
      <c r="O34" s="99">
        <v>150</v>
      </c>
      <c r="P34" s="159">
        <v>150</v>
      </c>
      <c r="Q34" s="99">
        <v>12</v>
      </c>
      <c r="R34" s="99">
        <v>26</v>
      </c>
      <c r="S34" s="99">
        <v>36</v>
      </c>
      <c r="T34" s="99">
        <v>27</v>
      </c>
      <c r="U34" s="99" t="s">
        <v>561</v>
      </c>
      <c r="V34" s="99">
        <v>13</v>
      </c>
      <c r="W34" s="99">
        <v>47</v>
      </c>
      <c r="X34" s="99">
        <v>19</v>
      </c>
      <c r="Y34" s="99">
        <v>91</v>
      </c>
      <c r="Z34" s="99">
        <v>29</v>
      </c>
      <c r="AA34" s="99" t="s">
        <v>561</v>
      </c>
      <c r="AB34" s="99" t="s">
        <v>561</v>
      </c>
      <c r="AC34" s="99" t="s">
        <v>561</v>
      </c>
      <c r="AD34" s="98" t="s">
        <v>326</v>
      </c>
      <c r="AE34" s="100">
        <v>0.06775982638051603</v>
      </c>
      <c r="AF34" s="100">
        <v>0.35</v>
      </c>
      <c r="AG34" s="98">
        <v>325.5365324330842</v>
      </c>
      <c r="AH34" s="98">
        <v>84.39836026042923</v>
      </c>
      <c r="AI34" s="100">
        <v>0.01</v>
      </c>
      <c r="AJ34" s="100">
        <v>0.568773</v>
      </c>
      <c r="AK34" s="100" t="s">
        <v>561</v>
      </c>
      <c r="AL34" s="100">
        <v>0.719069</v>
      </c>
      <c r="AM34" s="100">
        <v>0.355164</v>
      </c>
      <c r="AN34" s="100">
        <v>0.373737</v>
      </c>
      <c r="AO34" s="98">
        <v>1808.536291294912</v>
      </c>
      <c r="AP34" s="158">
        <v>1.385914154</v>
      </c>
      <c r="AQ34" s="100">
        <v>0.08</v>
      </c>
      <c r="AR34" s="100">
        <v>0.46153846153846156</v>
      </c>
      <c r="AS34" s="98">
        <v>434.0487099107789</v>
      </c>
      <c r="AT34" s="98">
        <v>325.5365324330842</v>
      </c>
      <c r="AU34" s="98" t="s">
        <v>561</v>
      </c>
      <c r="AV34" s="98">
        <v>156.73981191222572</v>
      </c>
      <c r="AW34" s="98">
        <v>566.6747046057391</v>
      </c>
      <c r="AX34" s="98">
        <v>229.08126356402218</v>
      </c>
      <c r="AY34" s="98">
        <v>1097.17868338558</v>
      </c>
      <c r="AZ34" s="98">
        <v>349.65034965034965</v>
      </c>
      <c r="BA34" s="101" t="s">
        <v>561</v>
      </c>
      <c r="BB34" s="101" t="s">
        <v>561</v>
      </c>
      <c r="BC34" s="101" t="s">
        <v>561</v>
      </c>
      <c r="BD34" s="158">
        <v>1.173002243</v>
      </c>
      <c r="BE34" s="158">
        <v>1.62629776</v>
      </c>
      <c r="BF34" s="162">
        <v>538</v>
      </c>
      <c r="BG34" s="162" t="s">
        <v>561</v>
      </c>
      <c r="BH34" s="162">
        <v>2449</v>
      </c>
      <c r="BI34" s="162">
        <v>397</v>
      </c>
      <c r="BJ34" s="162">
        <v>198</v>
      </c>
      <c r="BK34" s="97"/>
      <c r="BL34" s="97"/>
      <c r="BM34" s="97"/>
      <c r="BN34" s="97"/>
    </row>
    <row r="35" spans="1:66" ht="12.75">
      <c r="A35" s="79" t="s">
        <v>534</v>
      </c>
      <c r="B35" s="79" t="s">
        <v>306</v>
      </c>
      <c r="C35" s="79" t="s">
        <v>74</v>
      </c>
      <c r="D35" s="99">
        <v>3830</v>
      </c>
      <c r="E35" s="99">
        <v>268</v>
      </c>
      <c r="F35" s="99" t="s">
        <v>347</v>
      </c>
      <c r="G35" s="99">
        <v>8</v>
      </c>
      <c r="H35" s="99" t="s">
        <v>561</v>
      </c>
      <c r="I35" s="99">
        <v>49</v>
      </c>
      <c r="J35" s="99">
        <v>141</v>
      </c>
      <c r="K35" s="99" t="s">
        <v>561</v>
      </c>
      <c r="L35" s="99">
        <v>824</v>
      </c>
      <c r="M35" s="99">
        <v>63</v>
      </c>
      <c r="N35" s="99">
        <v>32</v>
      </c>
      <c r="O35" s="99">
        <v>76</v>
      </c>
      <c r="P35" s="159">
        <v>76</v>
      </c>
      <c r="Q35" s="99">
        <v>6</v>
      </c>
      <c r="R35" s="99">
        <v>9</v>
      </c>
      <c r="S35" s="99">
        <v>16</v>
      </c>
      <c r="T35" s="99">
        <v>12</v>
      </c>
      <c r="U35" s="99" t="s">
        <v>561</v>
      </c>
      <c r="V35" s="99" t="s">
        <v>561</v>
      </c>
      <c r="W35" s="99">
        <v>18</v>
      </c>
      <c r="X35" s="99">
        <v>7</v>
      </c>
      <c r="Y35" s="99">
        <v>39</v>
      </c>
      <c r="Z35" s="99">
        <v>17</v>
      </c>
      <c r="AA35" s="99" t="s">
        <v>561</v>
      </c>
      <c r="AB35" s="99" t="s">
        <v>561</v>
      </c>
      <c r="AC35" s="99" t="s">
        <v>561</v>
      </c>
      <c r="AD35" s="98" t="s">
        <v>326</v>
      </c>
      <c r="AE35" s="100">
        <v>0.06997389033942558</v>
      </c>
      <c r="AF35" s="100">
        <v>0.34</v>
      </c>
      <c r="AG35" s="98">
        <v>208.87728459530027</v>
      </c>
      <c r="AH35" s="98" t="s">
        <v>561</v>
      </c>
      <c r="AI35" s="100">
        <v>0.013000000000000001</v>
      </c>
      <c r="AJ35" s="100">
        <v>0.6</v>
      </c>
      <c r="AK35" s="100" t="s">
        <v>561</v>
      </c>
      <c r="AL35" s="100">
        <v>0.709733</v>
      </c>
      <c r="AM35" s="100">
        <v>0.335106</v>
      </c>
      <c r="AN35" s="100">
        <v>0.333333</v>
      </c>
      <c r="AO35" s="98">
        <v>1984.3342036553524</v>
      </c>
      <c r="AP35" s="158">
        <v>1.5391714479999998</v>
      </c>
      <c r="AQ35" s="100">
        <v>0.07894736842105263</v>
      </c>
      <c r="AR35" s="100">
        <v>0.6666666666666666</v>
      </c>
      <c r="AS35" s="98">
        <v>417.75456919060053</v>
      </c>
      <c r="AT35" s="98">
        <v>313.3159268929504</v>
      </c>
      <c r="AU35" s="98" t="s">
        <v>561</v>
      </c>
      <c r="AV35" s="98" t="s">
        <v>561</v>
      </c>
      <c r="AW35" s="98">
        <v>469.97389033942557</v>
      </c>
      <c r="AX35" s="98">
        <v>182.76762402088772</v>
      </c>
      <c r="AY35" s="98">
        <v>1018.2767624020888</v>
      </c>
      <c r="AZ35" s="98">
        <v>443.8642297650131</v>
      </c>
      <c r="BA35" s="100" t="s">
        <v>561</v>
      </c>
      <c r="BB35" s="100" t="s">
        <v>561</v>
      </c>
      <c r="BC35" s="100" t="s">
        <v>561</v>
      </c>
      <c r="BD35" s="158">
        <v>1.212692032</v>
      </c>
      <c r="BE35" s="158">
        <v>1.926502686</v>
      </c>
      <c r="BF35" s="162">
        <v>235</v>
      </c>
      <c r="BG35" s="162" t="s">
        <v>561</v>
      </c>
      <c r="BH35" s="162">
        <v>1161</v>
      </c>
      <c r="BI35" s="162">
        <v>188</v>
      </c>
      <c r="BJ35" s="162">
        <v>96</v>
      </c>
      <c r="BK35" s="97"/>
      <c r="BL35" s="97"/>
      <c r="BM35" s="97"/>
      <c r="BN35" s="97"/>
    </row>
    <row r="36" spans="1:66" ht="12.75">
      <c r="A36" s="79" t="s">
        <v>522</v>
      </c>
      <c r="B36" s="79" t="s">
        <v>294</v>
      </c>
      <c r="C36" s="79" t="s">
        <v>74</v>
      </c>
      <c r="D36" s="99">
        <v>5375</v>
      </c>
      <c r="E36" s="99">
        <v>556</v>
      </c>
      <c r="F36" s="99" t="s">
        <v>347</v>
      </c>
      <c r="G36" s="99">
        <v>11</v>
      </c>
      <c r="H36" s="99" t="s">
        <v>561</v>
      </c>
      <c r="I36" s="99">
        <v>66</v>
      </c>
      <c r="J36" s="99">
        <v>304</v>
      </c>
      <c r="K36" s="99">
        <v>269</v>
      </c>
      <c r="L36" s="99">
        <v>821</v>
      </c>
      <c r="M36" s="99">
        <v>101</v>
      </c>
      <c r="N36" s="99">
        <v>55</v>
      </c>
      <c r="O36" s="99">
        <v>110</v>
      </c>
      <c r="P36" s="159">
        <v>110</v>
      </c>
      <c r="Q36" s="99">
        <v>7</v>
      </c>
      <c r="R36" s="99">
        <v>11</v>
      </c>
      <c r="S36" s="99">
        <v>16</v>
      </c>
      <c r="T36" s="99">
        <v>17</v>
      </c>
      <c r="U36" s="99" t="s">
        <v>561</v>
      </c>
      <c r="V36" s="99">
        <v>6</v>
      </c>
      <c r="W36" s="99">
        <v>17</v>
      </c>
      <c r="X36" s="99">
        <v>15</v>
      </c>
      <c r="Y36" s="99">
        <v>55</v>
      </c>
      <c r="Z36" s="99">
        <v>36</v>
      </c>
      <c r="AA36" s="99" t="s">
        <v>561</v>
      </c>
      <c r="AB36" s="99" t="s">
        <v>561</v>
      </c>
      <c r="AC36" s="99" t="s">
        <v>561</v>
      </c>
      <c r="AD36" s="98" t="s">
        <v>326</v>
      </c>
      <c r="AE36" s="100">
        <v>0.10344186046511628</v>
      </c>
      <c r="AF36" s="100">
        <v>0.37</v>
      </c>
      <c r="AG36" s="98">
        <v>204.65116279069767</v>
      </c>
      <c r="AH36" s="98" t="s">
        <v>561</v>
      </c>
      <c r="AI36" s="100">
        <v>0.012</v>
      </c>
      <c r="AJ36" s="100">
        <v>0.612903</v>
      </c>
      <c r="AK36" s="100">
        <v>0.56871</v>
      </c>
      <c r="AL36" s="100">
        <v>0.620559</v>
      </c>
      <c r="AM36" s="100">
        <v>0.271505</v>
      </c>
      <c r="AN36" s="100">
        <v>0.316092</v>
      </c>
      <c r="AO36" s="98">
        <v>2046.5116279069769</v>
      </c>
      <c r="AP36" s="158">
        <v>1.408291168</v>
      </c>
      <c r="AQ36" s="100">
        <v>0.06363636363636363</v>
      </c>
      <c r="AR36" s="100">
        <v>0.6363636363636364</v>
      </c>
      <c r="AS36" s="98">
        <v>297.6744186046512</v>
      </c>
      <c r="AT36" s="98">
        <v>316.27906976744185</v>
      </c>
      <c r="AU36" s="98" t="s">
        <v>561</v>
      </c>
      <c r="AV36" s="98">
        <v>111.62790697674419</v>
      </c>
      <c r="AW36" s="98">
        <v>316.27906976744185</v>
      </c>
      <c r="AX36" s="98">
        <v>279.06976744186045</v>
      </c>
      <c r="AY36" s="98">
        <v>1023.2558139534884</v>
      </c>
      <c r="AZ36" s="98">
        <v>669.7674418604652</v>
      </c>
      <c r="BA36" s="100" t="s">
        <v>561</v>
      </c>
      <c r="BB36" s="100" t="s">
        <v>561</v>
      </c>
      <c r="BC36" s="100" t="s">
        <v>561</v>
      </c>
      <c r="BD36" s="158">
        <v>1.157444077</v>
      </c>
      <c r="BE36" s="158">
        <v>1.697371674</v>
      </c>
      <c r="BF36" s="162">
        <v>496</v>
      </c>
      <c r="BG36" s="162">
        <v>473</v>
      </c>
      <c r="BH36" s="162">
        <v>1323</v>
      </c>
      <c r="BI36" s="162">
        <v>372</v>
      </c>
      <c r="BJ36" s="162">
        <v>174</v>
      </c>
      <c r="BK36" s="97"/>
      <c r="BL36" s="97"/>
      <c r="BM36" s="97"/>
      <c r="BN36" s="97"/>
    </row>
    <row r="37" spans="1:66" ht="12.75">
      <c r="A37" s="79" t="s">
        <v>553</v>
      </c>
      <c r="B37" s="79" t="s">
        <v>506</v>
      </c>
      <c r="C37" s="79" t="s">
        <v>74</v>
      </c>
      <c r="D37" s="99">
        <v>4861</v>
      </c>
      <c r="E37" s="99">
        <v>246</v>
      </c>
      <c r="F37" s="99" t="s">
        <v>347</v>
      </c>
      <c r="G37" s="99" t="s">
        <v>561</v>
      </c>
      <c r="H37" s="99" t="s">
        <v>561</v>
      </c>
      <c r="I37" s="99">
        <v>24</v>
      </c>
      <c r="J37" s="99">
        <v>113</v>
      </c>
      <c r="K37" s="99" t="s">
        <v>561</v>
      </c>
      <c r="L37" s="99">
        <v>980</v>
      </c>
      <c r="M37" s="99">
        <v>44</v>
      </c>
      <c r="N37" s="99">
        <v>30</v>
      </c>
      <c r="O37" s="99">
        <v>47</v>
      </c>
      <c r="P37" s="159">
        <v>47</v>
      </c>
      <c r="Q37" s="99" t="s">
        <v>561</v>
      </c>
      <c r="R37" s="99" t="s">
        <v>561</v>
      </c>
      <c r="S37" s="99">
        <v>10</v>
      </c>
      <c r="T37" s="99" t="s">
        <v>561</v>
      </c>
      <c r="U37" s="99" t="s">
        <v>561</v>
      </c>
      <c r="V37" s="99" t="s">
        <v>561</v>
      </c>
      <c r="W37" s="99">
        <v>11</v>
      </c>
      <c r="X37" s="99" t="s">
        <v>561</v>
      </c>
      <c r="Y37" s="99">
        <v>24</v>
      </c>
      <c r="Z37" s="99">
        <v>13</v>
      </c>
      <c r="AA37" s="99" t="s">
        <v>561</v>
      </c>
      <c r="AB37" s="99" t="s">
        <v>561</v>
      </c>
      <c r="AC37" s="99" t="s">
        <v>561</v>
      </c>
      <c r="AD37" s="98" t="s">
        <v>326</v>
      </c>
      <c r="AE37" s="100">
        <v>0.05060687101419461</v>
      </c>
      <c r="AF37" s="100">
        <v>0.31</v>
      </c>
      <c r="AG37" s="98" t="s">
        <v>561</v>
      </c>
      <c r="AH37" s="98" t="s">
        <v>561</v>
      </c>
      <c r="AI37" s="100">
        <v>0.005</v>
      </c>
      <c r="AJ37" s="100">
        <v>0.416974</v>
      </c>
      <c r="AK37" s="100" t="s">
        <v>561</v>
      </c>
      <c r="AL37" s="100">
        <v>0.7</v>
      </c>
      <c r="AM37" s="100">
        <v>0.25731</v>
      </c>
      <c r="AN37" s="100">
        <v>0.357143</v>
      </c>
      <c r="AO37" s="98">
        <v>966.8792429541247</v>
      </c>
      <c r="AP37" s="158">
        <v>0.8564704894999999</v>
      </c>
      <c r="AQ37" s="100" t="s">
        <v>561</v>
      </c>
      <c r="AR37" s="100" t="s">
        <v>561</v>
      </c>
      <c r="AS37" s="98">
        <v>205.71898786257972</v>
      </c>
      <c r="AT37" s="98" t="s">
        <v>561</v>
      </c>
      <c r="AU37" s="98" t="s">
        <v>561</v>
      </c>
      <c r="AV37" s="98" t="s">
        <v>561</v>
      </c>
      <c r="AW37" s="98">
        <v>226.2908866488377</v>
      </c>
      <c r="AX37" s="98" t="s">
        <v>561</v>
      </c>
      <c r="AY37" s="98">
        <v>493.7255708701913</v>
      </c>
      <c r="AZ37" s="98">
        <v>267.4346842213536</v>
      </c>
      <c r="BA37" s="100" t="s">
        <v>561</v>
      </c>
      <c r="BB37" s="100" t="s">
        <v>561</v>
      </c>
      <c r="BC37" s="100" t="s">
        <v>561</v>
      </c>
      <c r="BD37" s="158">
        <v>0.6293022919</v>
      </c>
      <c r="BE37" s="158">
        <v>1.138924179</v>
      </c>
      <c r="BF37" s="162">
        <v>271</v>
      </c>
      <c r="BG37" s="162" t="s">
        <v>561</v>
      </c>
      <c r="BH37" s="162">
        <v>1400</v>
      </c>
      <c r="BI37" s="162">
        <v>171</v>
      </c>
      <c r="BJ37" s="162">
        <v>84</v>
      </c>
      <c r="BK37" s="97"/>
      <c r="BL37" s="97"/>
      <c r="BM37" s="97"/>
      <c r="BN37" s="97"/>
    </row>
    <row r="38" spans="1:66" ht="12.75">
      <c r="A38" s="79" t="s">
        <v>530</v>
      </c>
      <c r="B38" s="79" t="s">
        <v>302</v>
      </c>
      <c r="C38" s="79" t="s">
        <v>74</v>
      </c>
      <c r="D38" s="99">
        <v>8106</v>
      </c>
      <c r="E38" s="99">
        <v>450</v>
      </c>
      <c r="F38" s="99" t="s">
        <v>346</v>
      </c>
      <c r="G38" s="99">
        <v>23</v>
      </c>
      <c r="H38" s="99">
        <v>7</v>
      </c>
      <c r="I38" s="99">
        <v>86</v>
      </c>
      <c r="J38" s="99">
        <v>412</v>
      </c>
      <c r="K38" s="99">
        <v>101</v>
      </c>
      <c r="L38" s="99">
        <v>1946</v>
      </c>
      <c r="M38" s="99">
        <v>165</v>
      </c>
      <c r="N38" s="99">
        <v>84</v>
      </c>
      <c r="O38" s="99">
        <v>116</v>
      </c>
      <c r="P38" s="159">
        <v>116</v>
      </c>
      <c r="Q38" s="99">
        <v>11</v>
      </c>
      <c r="R38" s="99">
        <v>22</v>
      </c>
      <c r="S38" s="99">
        <v>32</v>
      </c>
      <c r="T38" s="99">
        <v>8</v>
      </c>
      <c r="U38" s="99" t="s">
        <v>561</v>
      </c>
      <c r="V38" s="99">
        <v>24</v>
      </c>
      <c r="W38" s="99">
        <v>32</v>
      </c>
      <c r="X38" s="99">
        <v>26</v>
      </c>
      <c r="Y38" s="99">
        <v>59</v>
      </c>
      <c r="Z38" s="99">
        <v>37</v>
      </c>
      <c r="AA38" s="99" t="s">
        <v>561</v>
      </c>
      <c r="AB38" s="99" t="s">
        <v>561</v>
      </c>
      <c r="AC38" s="99" t="s">
        <v>561</v>
      </c>
      <c r="AD38" s="98" t="s">
        <v>326</v>
      </c>
      <c r="AE38" s="100">
        <v>0.05551443375277572</v>
      </c>
      <c r="AF38" s="100">
        <v>0.23</v>
      </c>
      <c r="AG38" s="98">
        <v>283.7404391808537</v>
      </c>
      <c r="AH38" s="98">
        <v>86.35578583765113</v>
      </c>
      <c r="AI38" s="100">
        <v>0.011000000000000001</v>
      </c>
      <c r="AJ38" s="100">
        <v>0.680992</v>
      </c>
      <c r="AK38" s="100">
        <v>0.668874</v>
      </c>
      <c r="AL38" s="100">
        <v>0.750193</v>
      </c>
      <c r="AM38" s="100">
        <v>0.398551</v>
      </c>
      <c r="AN38" s="100">
        <v>0.411765</v>
      </c>
      <c r="AO38" s="98">
        <v>1431.0387367382186</v>
      </c>
      <c r="AP38" s="158">
        <v>1.061627426</v>
      </c>
      <c r="AQ38" s="100">
        <v>0.09482758620689655</v>
      </c>
      <c r="AR38" s="100">
        <v>0.5</v>
      </c>
      <c r="AS38" s="98">
        <v>394.7693066864051</v>
      </c>
      <c r="AT38" s="98">
        <v>98.69232667160128</v>
      </c>
      <c r="AU38" s="98" t="s">
        <v>561</v>
      </c>
      <c r="AV38" s="98">
        <v>296.07698001480384</v>
      </c>
      <c r="AW38" s="98">
        <v>394.7693066864051</v>
      </c>
      <c r="AX38" s="98">
        <v>320.75006168270414</v>
      </c>
      <c r="AY38" s="98">
        <v>727.8559092030595</v>
      </c>
      <c r="AZ38" s="98">
        <v>456.45201085615594</v>
      </c>
      <c r="BA38" s="100" t="s">
        <v>561</v>
      </c>
      <c r="BB38" s="100" t="s">
        <v>561</v>
      </c>
      <c r="BC38" s="100" t="s">
        <v>561</v>
      </c>
      <c r="BD38" s="158">
        <v>0.8772432709</v>
      </c>
      <c r="BE38" s="158">
        <v>1.273320999</v>
      </c>
      <c r="BF38" s="162">
        <v>605</v>
      </c>
      <c r="BG38" s="162">
        <v>151</v>
      </c>
      <c r="BH38" s="162">
        <v>2594</v>
      </c>
      <c r="BI38" s="162">
        <v>414</v>
      </c>
      <c r="BJ38" s="162">
        <v>204</v>
      </c>
      <c r="BK38" s="97"/>
      <c r="BL38" s="97"/>
      <c r="BM38" s="97"/>
      <c r="BN38" s="97"/>
    </row>
    <row r="39" spans="1:66" ht="12.75">
      <c r="A39" s="79" t="s">
        <v>539</v>
      </c>
      <c r="B39" s="79" t="s">
        <v>311</v>
      </c>
      <c r="C39" s="79" t="s">
        <v>74</v>
      </c>
      <c r="D39" s="99">
        <v>3546</v>
      </c>
      <c r="E39" s="99">
        <v>256</v>
      </c>
      <c r="F39" s="99" t="s">
        <v>347</v>
      </c>
      <c r="G39" s="99">
        <v>12</v>
      </c>
      <c r="H39" s="99" t="s">
        <v>561</v>
      </c>
      <c r="I39" s="99">
        <v>35</v>
      </c>
      <c r="J39" s="99">
        <v>116</v>
      </c>
      <c r="K39" s="99">
        <v>16</v>
      </c>
      <c r="L39" s="99">
        <v>694</v>
      </c>
      <c r="M39" s="99">
        <v>58</v>
      </c>
      <c r="N39" s="99">
        <v>34</v>
      </c>
      <c r="O39" s="99">
        <v>19</v>
      </c>
      <c r="P39" s="159">
        <v>19</v>
      </c>
      <c r="Q39" s="99" t="s">
        <v>561</v>
      </c>
      <c r="R39" s="99">
        <v>10</v>
      </c>
      <c r="S39" s="99">
        <v>6</v>
      </c>
      <c r="T39" s="99" t="s">
        <v>561</v>
      </c>
      <c r="U39" s="99" t="s">
        <v>561</v>
      </c>
      <c r="V39" s="99" t="s">
        <v>561</v>
      </c>
      <c r="W39" s="99">
        <v>9</v>
      </c>
      <c r="X39" s="99">
        <v>9</v>
      </c>
      <c r="Y39" s="99">
        <v>25</v>
      </c>
      <c r="Z39" s="99">
        <v>24</v>
      </c>
      <c r="AA39" s="99" t="s">
        <v>561</v>
      </c>
      <c r="AB39" s="99" t="s">
        <v>561</v>
      </c>
      <c r="AC39" s="99" t="s">
        <v>561</v>
      </c>
      <c r="AD39" s="98" t="s">
        <v>326</v>
      </c>
      <c r="AE39" s="100">
        <v>0.07219402143260012</v>
      </c>
      <c r="AF39" s="100">
        <v>0.3</v>
      </c>
      <c r="AG39" s="98">
        <v>338.40947546531305</v>
      </c>
      <c r="AH39" s="98" t="s">
        <v>561</v>
      </c>
      <c r="AI39" s="100">
        <v>0.01</v>
      </c>
      <c r="AJ39" s="100">
        <v>0.557692</v>
      </c>
      <c r="AK39" s="100">
        <v>0.432432</v>
      </c>
      <c r="AL39" s="100">
        <v>0.653484</v>
      </c>
      <c r="AM39" s="100">
        <v>0.337209</v>
      </c>
      <c r="AN39" s="100">
        <v>0.425</v>
      </c>
      <c r="AO39" s="98">
        <v>535.8150028200789</v>
      </c>
      <c r="AP39" s="158">
        <v>0.4074012756</v>
      </c>
      <c r="AQ39" s="100" t="s">
        <v>561</v>
      </c>
      <c r="AR39" s="100" t="s">
        <v>561</v>
      </c>
      <c r="AS39" s="98">
        <v>169.20473773265653</v>
      </c>
      <c r="AT39" s="98" t="s">
        <v>561</v>
      </c>
      <c r="AU39" s="98" t="s">
        <v>561</v>
      </c>
      <c r="AV39" s="98" t="s">
        <v>561</v>
      </c>
      <c r="AW39" s="98">
        <v>253.80710659898477</v>
      </c>
      <c r="AX39" s="98">
        <v>253.80710659898477</v>
      </c>
      <c r="AY39" s="98">
        <v>705.0197405527355</v>
      </c>
      <c r="AZ39" s="98">
        <v>676.8189509306261</v>
      </c>
      <c r="BA39" s="100" t="s">
        <v>561</v>
      </c>
      <c r="BB39" s="100" t="s">
        <v>561</v>
      </c>
      <c r="BC39" s="100" t="s">
        <v>561</v>
      </c>
      <c r="BD39" s="158">
        <v>0.2452821732</v>
      </c>
      <c r="BE39" s="158">
        <v>0.6362075424</v>
      </c>
      <c r="BF39" s="162">
        <v>208</v>
      </c>
      <c r="BG39" s="162">
        <v>37</v>
      </c>
      <c r="BH39" s="162">
        <v>1062</v>
      </c>
      <c r="BI39" s="162">
        <v>172</v>
      </c>
      <c r="BJ39" s="162">
        <v>80</v>
      </c>
      <c r="BK39" s="97"/>
      <c r="BL39" s="97"/>
      <c r="BM39" s="97"/>
      <c r="BN39" s="97"/>
    </row>
    <row r="40" spans="1:66" ht="12.75">
      <c r="A40" s="79" t="s">
        <v>546</v>
      </c>
      <c r="B40" s="79" t="s">
        <v>318</v>
      </c>
      <c r="C40" s="79" t="s">
        <v>74</v>
      </c>
      <c r="D40" s="99">
        <v>3072</v>
      </c>
      <c r="E40" s="99">
        <v>167</v>
      </c>
      <c r="F40" s="99" t="s">
        <v>347</v>
      </c>
      <c r="G40" s="99">
        <v>7</v>
      </c>
      <c r="H40" s="99">
        <v>6</v>
      </c>
      <c r="I40" s="99">
        <v>18</v>
      </c>
      <c r="J40" s="99">
        <v>77</v>
      </c>
      <c r="K40" s="99" t="s">
        <v>561</v>
      </c>
      <c r="L40" s="99">
        <v>527</v>
      </c>
      <c r="M40" s="99">
        <v>26</v>
      </c>
      <c r="N40" s="99">
        <v>20</v>
      </c>
      <c r="O40" s="99">
        <v>12</v>
      </c>
      <c r="P40" s="159">
        <v>12</v>
      </c>
      <c r="Q40" s="99" t="s">
        <v>561</v>
      </c>
      <c r="R40" s="99" t="s">
        <v>561</v>
      </c>
      <c r="S40" s="99" t="s">
        <v>561</v>
      </c>
      <c r="T40" s="99" t="s">
        <v>561</v>
      </c>
      <c r="U40" s="99" t="s">
        <v>561</v>
      </c>
      <c r="V40" s="99" t="s">
        <v>561</v>
      </c>
      <c r="W40" s="99" t="s">
        <v>561</v>
      </c>
      <c r="X40" s="99" t="s">
        <v>561</v>
      </c>
      <c r="Y40" s="99">
        <v>11</v>
      </c>
      <c r="Z40" s="99">
        <v>33</v>
      </c>
      <c r="AA40" s="99" t="s">
        <v>561</v>
      </c>
      <c r="AB40" s="99" t="s">
        <v>561</v>
      </c>
      <c r="AC40" s="99" t="s">
        <v>561</v>
      </c>
      <c r="AD40" s="98" t="s">
        <v>326</v>
      </c>
      <c r="AE40" s="100">
        <v>0.054361979166666664</v>
      </c>
      <c r="AF40" s="100">
        <v>0.29</v>
      </c>
      <c r="AG40" s="98">
        <v>227.86458333333334</v>
      </c>
      <c r="AH40" s="98">
        <v>195.3125</v>
      </c>
      <c r="AI40" s="100">
        <v>0.006</v>
      </c>
      <c r="AJ40" s="100">
        <v>0.475309</v>
      </c>
      <c r="AK40" s="100" t="s">
        <v>561</v>
      </c>
      <c r="AL40" s="100">
        <v>0.705489</v>
      </c>
      <c r="AM40" s="100">
        <v>0.178082</v>
      </c>
      <c r="AN40" s="100">
        <v>0.263158</v>
      </c>
      <c r="AO40" s="98">
        <v>390.625</v>
      </c>
      <c r="AP40" s="158">
        <v>0.3209617615</v>
      </c>
      <c r="AQ40" s="100" t="s">
        <v>561</v>
      </c>
      <c r="AR40" s="100" t="s">
        <v>561</v>
      </c>
      <c r="AS40" s="98" t="s">
        <v>561</v>
      </c>
      <c r="AT40" s="98" t="s">
        <v>561</v>
      </c>
      <c r="AU40" s="98" t="s">
        <v>561</v>
      </c>
      <c r="AV40" s="98" t="s">
        <v>561</v>
      </c>
      <c r="AW40" s="98" t="s">
        <v>561</v>
      </c>
      <c r="AX40" s="98" t="s">
        <v>561</v>
      </c>
      <c r="AY40" s="98">
        <v>358.0729166666667</v>
      </c>
      <c r="AZ40" s="98">
        <v>1074.21875</v>
      </c>
      <c r="BA40" s="100" t="s">
        <v>561</v>
      </c>
      <c r="BB40" s="100" t="s">
        <v>561</v>
      </c>
      <c r="BC40" s="100" t="s">
        <v>561</v>
      </c>
      <c r="BD40" s="158">
        <v>0.16584562300000003</v>
      </c>
      <c r="BE40" s="158">
        <v>0.5606555939</v>
      </c>
      <c r="BF40" s="162">
        <v>162</v>
      </c>
      <c r="BG40" s="162" t="s">
        <v>561</v>
      </c>
      <c r="BH40" s="162">
        <v>747</v>
      </c>
      <c r="BI40" s="162">
        <v>146</v>
      </c>
      <c r="BJ40" s="162">
        <v>76</v>
      </c>
      <c r="BK40" s="97"/>
      <c r="BL40" s="97"/>
      <c r="BM40" s="97"/>
      <c r="BN40" s="97"/>
    </row>
    <row r="41" spans="1:66" ht="12.75">
      <c r="A41" s="79" t="s">
        <v>544</v>
      </c>
      <c r="B41" s="79" t="s">
        <v>316</v>
      </c>
      <c r="C41" s="79" t="s">
        <v>74</v>
      </c>
      <c r="D41" s="99">
        <v>5869</v>
      </c>
      <c r="E41" s="99">
        <v>226</v>
      </c>
      <c r="F41" s="99" t="s">
        <v>347</v>
      </c>
      <c r="G41" s="99">
        <v>6</v>
      </c>
      <c r="H41" s="99" t="s">
        <v>561</v>
      </c>
      <c r="I41" s="99">
        <v>24</v>
      </c>
      <c r="J41" s="99">
        <v>161</v>
      </c>
      <c r="K41" s="99" t="s">
        <v>561</v>
      </c>
      <c r="L41" s="99">
        <v>533</v>
      </c>
      <c r="M41" s="99">
        <v>63</v>
      </c>
      <c r="N41" s="99">
        <v>40</v>
      </c>
      <c r="O41" s="99">
        <v>16</v>
      </c>
      <c r="P41" s="159">
        <v>16</v>
      </c>
      <c r="Q41" s="99" t="s">
        <v>561</v>
      </c>
      <c r="R41" s="99">
        <v>6</v>
      </c>
      <c r="S41" s="99" t="s">
        <v>561</v>
      </c>
      <c r="T41" s="99" t="s">
        <v>561</v>
      </c>
      <c r="U41" s="99" t="s">
        <v>561</v>
      </c>
      <c r="V41" s="99" t="s">
        <v>561</v>
      </c>
      <c r="W41" s="99">
        <v>23</v>
      </c>
      <c r="X41" s="99">
        <v>9</v>
      </c>
      <c r="Y41" s="99">
        <v>38</v>
      </c>
      <c r="Z41" s="99">
        <v>11</v>
      </c>
      <c r="AA41" s="99" t="s">
        <v>561</v>
      </c>
      <c r="AB41" s="99" t="s">
        <v>561</v>
      </c>
      <c r="AC41" s="99" t="s">
        <v>561</v>
      </c>
      <c r="AD41" s="98" t="s">
        <v>326</v>
      </c>
      <c r="AE41" s="100">
        <v>0.038507411824842394</v>
      </c>
      <c r="AF41" s="100">
        <v>0.33</v>
      </c>
      <c r="AG41" s="98">
        <v>102.23206679161697</v>
      </c>
      <c r="AH41" s="98" t="s">
        <v>561</v>
      </c>
      <c r="AI41" s="100">
        <v>0.004</v>
      </c>
      <c r="AJ41" s="100">
        <v>0.585455</v>
      </c>
      <c r="AK41" s="100" t="s">
        <v>561</v>
      </c>
      <c r="AL41" s="100">
        <v>0.574973</v>
      </c>
      <c r="AM41" s="100">
        <v>0.269231</v>
      </c>
      <c r="AN41" s="100">
        <v>0.347826</v>
      </c>
      <c r="AO41" s="98">
        <v>272.6188447776453</v>
      </c>
      <c r="AP41" s="158">
        <v>0.330465126</v>
      </c>
      <c r="AQ41" s="100" t="s">
        <v>561</v>
      </c>
      <c r="AR41" s="100" t="s">
        <v>561</v>
      </c>
      <c r="AS41" s="98" t="s">
        <v>561</v>
      </c>
      <c r="AT41" s="98" t="s">
        <v>561</v>
      </c>
      <c r="AU41" s="98" t="s">
        <v>561</v>
      </c>
      <c r="AV41" s="98" t="s">
        <v>561</v>
      </c>
      <c r="AW41" s="98">
        <v>391.889589367865</v>
      </c>
      <c r="AX41" s="98">
        <v>153.34810018742544</v>
      </c>
      <c r="AY41" s="98">
        <v>647.4697563469075</v>
      </c>
      <c r="AZ41" s="98">
        <v>187.4254557846311</v>
      </c>
      <c r="BA41" s="100" t="s">
        <v>561</v>
      </c>
      <c r="BB41" s="100" t="s">
        <v>561</v>
      </c>
      <c r="BC41" s="100" t="s">
        <v>561</v>
      </c>
      <c r="BD41" s="158">
        <v>0.18888936999999997</v>
      </c>
      <c r="BE41" s="158">
        <v>0.5366546631</v>
      </c>
      <c r="BF41" s="162">
        <v>275</v>
      </c>
      <c r="BG41" s="162" t="s">
        <v>561</v>
      </c>
      <c r="BH41" s="162">
        <v>927</v>
      </c>
      <c r="BI41" s="162">
        <v>234</v>
      </c>
      <c r="BJ41" s="162">
        <v>115</v>
      </c>
      <c r="BK41" s="97"/>
      <c r="BL41" s="97"/>
      <c r="BM41" s="97"/>
      <c r="BN41" s="97"/>
    </row>
    <row r="42" spans="1:66" ht="12.75">
      <c r="A42" s="79" t="s">
        <v>521</v>
      </c>
      <c r="B42" s="79" t="s">
        <v>293</v>
      </c>
      <c r="C42" s="79" t="s">
        <v>74</v>
      </c>
      <c r="D42" s="99">
        <v>2182</v>
      </c>
      <c r="E42" s="99">
        <v>255</v>
      </c>
      <c r="F42" s="99" t="s">
        <v>347</v>
      </c>
      <c r="G42" s="99">
        <v>13</v>
      </c>
      <c r="H42" s="99" t="s">
        <v>561</v>
      </c>
      <c r="I42" s="99">
        <v>11</v>
      </c>
      <c r="J42" s="99">
        <v>88</v>
      </c>
      <c r="K42" s="99" t="s">
        <v>561</v>
      </c>
      <c r="L42" s="99">
        <v>259</v>
      </c>
      <c r="M42" s="99">
        <v>47</v>
      </c>
      <c r="N42" s="99">
        <v>21</v>
      </c>
      <c r="O42" s="99" t="s">
        <v>561</v>
      </c>
      <c r="P42" s="159" t="s">
        <v>561</v>
      </c>
      <c r="Q42" s="99" t="s">
        <v>561</v>
      </c>
      <c r="R42" s="99" t="s">
        <v>561</v>
      </c>
      <c r="S42" s="99">
        <v>6</v>
      </c>
      <c r="T42" s="99" t="s">
        <v>561</v>
      </c>
      <c r="U42" s="99" t="s">
        <v>561</v>
      </c>
      <c r="V42" s="99" t="s">
        <v>561</v>
      </c>
      <c r="W42" s="99" t="s">
        <v>561</v>
      </c>
      <c r="X42" s="99" t="s">
        <v>561</v>
      </c>
      <c r="Y42" s="99">
        <v>9</v>
      </c>
      <c r="Z42" s="99">
        <v>6</v>
      </c>
      <c r="AA42" s="99" t="s">
        <v>561</v>
      </c>
      <c r="AB42" s="99" t="s">
        <v>561</v>
      </c>
      <c r="AC42" s="99" t="s">
        <v>561</v>
      </c>
      <c r="AD42" s="98" t="s">
        <v>326</v>
      </c>
      <c r="AE42" s="100">
        <v>0.11686526122823097</v>
      </c>
      <c r="AF42" s="100">
        <v>0.33</v>
      </c>
      <c r="AG42" s="98">
        <v>595.7836846929423</v>
      </c>
      <c r="AH42" s="98" t="s">
        <v>561</v>
      </c>
      <c r="AI42" s="100">
        <v>0.005</v>
      </c>
      <c r="AJ42" s="100">
        <v>0.442211</v>
      </c>
      <c r="AK42" s="100" t="s">
        <v>561</v>
      </c>
      <c r="AL42" s="100">
        <v>0.4375</v>
      </c>
      <c r="AM42" s="100">
        <v>0.274854</v>
      </c>
      <c r="AN42" s="100">
        <v>0.253012</v>
      </c>
      <c r="AO42" s="98" t="s">
        <v>561</v>
      </c>
      <c r="AP42" s="158" t="s">
        <v>561</v>
      </c>
      <c r="AQ42" s="100" t="s">
        <v>561</v>
      </c>
      <c r="AR42" s="100" t="s">
        <v>561</v>
      </c>
      <c r="AS42" s="98">
        <v>274.9770852428964</v>
      </c>
      <c r="AT42" s="98" t="s">
        <v>561</v>
      </c>
      <c r="AU42" s="98" t="s">
        <v>561</v>
      </c>
      <c r="AV42" s="98" t="s">
        <v>561</v>
      </c>
      <c r="AW42" s="98" t="s">
        <v>561</v>
      </c>
      <c r="AX42" s="98" t="s">
        <v>561</v>
      </c>
      <c r="AY42" s="98">
        <v>412.46562786434464</v>
      </c>
      <c r="AZ42" s="98">
        <v>274.9770852428964</v>
      </c>
      <c r="BA42" s="100" t="s">
        <v>561</v>
      </c>
      <c r="BB42" s="100" t="s">
        <v>561</v>
      </c>
      <c r="BC42" s="100" t="s">
        <v>561</v>
      </c>
      <c r="BD42" s="158" t="s">
        <v>561</v>
      </c>
      <c r="BE42" s="158" t="s">
        <v>561</v>
      </c>
      <c r="BF42" s="162">
        <v>199</v>
      </c>
      <c r="BG42" s="162" t="s">
        <v>561</v>
      </c>
      <c r="BH42" s="162">
        <v>592</v>
      </c>
      <c r="BI42" s="162">
        <v>171</v>
      </c>
      <c r="BJ42" s="162">
        <v>83</v>
      </c>
      <c r="BK42" s="97"/>
      <c r="BL42" s="97"/>
      <c r="BM42" s="97"/>
      <c r="BN42" s="97"/>
    </row>
    <row r="43" spans="1:66" ht="12.75">
      <c r="A43" s="79" t="s">
        <v>541</v>
      </c>
      <c r="B43" s="79" t="s">
        <v>313</v>
      </c>
      <c r="C43" s="79" t="s">
        <v>74</v>
      </c>
      <c r="D43" s="99">
        <v>1743</v>
      </c>
      <c r="E43" s="99">
        <v>194</v>
      </c>
      <c r="F43" s="99" t="s">
        <v>347</v>
      </c>
      <c r="G43" s="99">
        <v>8</v>
      </c>
      <c r="H43" s="99" t="s">
        <v>561</v>
      </c>
      <c r="I43" s="99">
        <v>21</v>
      </c>
      <c r="J43" s="99">
        <v>90</v>
      </c>
      <c r="K43" s="99" t="s">
        <v>561</v>
      </c>
      <c r="L43" s="99">
        <v>270</v>
      </c>
      <c r="M43" s="99">
        <v>43</v>
      </c>
      <c r="N43" s="99">
        <v>21</v>
      </c>
      <c r="O43" s="99">
        <v>7</v>
      </c>
      <c r="P43" s="159">
        <v>7</v>
      </c>
      <c r="Q43" s="99" t="s">
        <v>561</v>
      </c>
      <c r="R43" s="99">
        <v>6</v>
      </c>
      <c r="S43" s="99" t="s">
        <v>561</v>
      </c>
      <c r="T43" s="99" t="s">
        <v>561</v>
      </c>
      <c r="U43" s="99" t="s">
        <v>561</v>
      </c>
      <c r="V43" s="99" t="s">
        <v>561</v>
      </c>
      <c r="W43" s="99">
        <v>9</v>
      </c>
      <c r="X43" s="99" t="s">
        <v>561</v>
      </c>
      <c r="Y43" s="99">
        <v>20</v>
      </c>
      <c r="Z43" s="99" t="s">
        <v>561</v>
      </c>
      <c r="AA43" s="99" t="s">
        <v>561</v>
      </c>
      <c r="AB43" s="99" t="s">
        <v>561</v>
      </c>
      <c r="AC43" s="99" t="s">
        <v>561</v>
      </c>
      <c r="AD43" s="98" t="s">
        <v>326</v>
      </c>
      <c r="AE43" s="100">
        <v>0.11130235226620769</v>
      </c>
      <c r="AF43" s="100">
        <v>0.3</v>
      </c>
      <c r="AG43" s="98">
        <v>458.97877223178426</v>
      </c>
      <c r="AH43" s="98" t="s">
        <v>561</v>
      </c>
      <c r="AI43" s="100">
        <v>0.012</v>
      </c>
      <c r="AJ43" s="100">
        <v>0.505618</v>
      </c>
      <c r="AK43" s="100" t="s">
        <v>561</v>
      </c>
      <c r="AL43" s="100">
        <v>0.649038</v>
      </c>
      <c r="AM43" s="100">
        <v>0.335938</v>
      </c>
      <c r="AN43" s="100">
        <v>0.328125</v>
      </c>
      <c r="AO43" s="98">
        <v>401.60642570281124</v>
      </c>
      <c r="AP43" s="158">
        <v>0.252222023</v>
      </c>
      <c r="AQ43" s="100" t="s">
        <v>561</v>
      </c>
      <c r="AR43" s="100" t="s">
        <v>561</v>
      </c>
      <c r="AS43" s="98" t="s">
        <v>561</v>
      </c>
      <c r="AT43" s="98" t="s">
        <v>561</v>
      </c>
      <c r="AU43" s="98" t="s">
        <v>561</v>
      </c>
      <c r="AV43" s="98" t="s">
        <v>561</v>
      </c>
      <c r="AW43" s="98">
        <v>516.3511187607573</v>
      </c>
      <c r="AX43" s="98" t="s">
        <v>561</v>
      </c>
      <c r="AY43" s="98">
        <v>1147.4469305794607</v>
      </c>
      <c r="AZ43" s="98" t="s">
        <v>561</v>
      </c>
      <c r="BA43" s="100" t="s">
        <v>561</v>
      </c>
      <c r="BB43" s="100" t="s">
        <v>561</v>
      </c>
      <c r="BC43" s="100" t="s">
        <v>561</v>
      </c>
      <c r="BD43" s="158">
        <v>0.1014063358</v>
      </c>
      <c r="BE43" s="158">
        <v>0.5196737671</v>
      </c>
      <c r="BF43" s="162">
        <v>178</v>
      </c>
      <c r="BG43" s="162" t="s">
        <v>561</v>
      </c>
      <c r="BH43" s="162">
        <v>416</v>
      </c>
      <c r="BI43" s="162">
        <v>128</v>
      </c>
      <c r="BJ43" s="162">
        <v>64</v>
      </c>
      <c r="BK43" s="97"/>
      <c r="BL43" s="97"/>
      <c r="BM43" s="97"/>
      <c r="BN43" s="97"/>
    </row>
    <row r="44" spans="1:66" ht="12.75">
      <c r="A44" s="79" t="s">
        <v>535</v>
      </c>
      <c r="B44" s="79" t="s">
        <v>307</v>
      </c>
      <c r="C44" s="79" t="s">
        <v>74</v>
      </c>
      <c r="D44" s="99">
        <v>5503</v>
      </c>
      <c r="E44" s="99">
        <v>509</v>
      </c>
      <c r="F44" s="99" t="s">
        <v>347</v>
      </c>
      <c r="G44" s="99">
        <v>18</v>
      </c>
      <c r="H44" s="99">
        <v>6</v>
      </c>
      <c r="I44" s="99">
        <v>43</v>
      </c>
      <c r="J44" s="99">
        <v>300</v>
      </c>
      <c r="K44" s="99">
        <v>255</v>
      </c>
      <c r="L44" s="99">
        <v>975</v>
      </c>
      <c r="M44" s="99">
        <v>111</v>
      </c>
      <c r="N44" s="99">
        <v>57</v>
      </c>
      <c r="O44" s="99">
        <v>76</v>
      </c>
      <c r="P44" s="159">
        <v>76</v>
      </c>
      <c r="Q44" s="99">
        <v>6</v>
      </c>
      <c r="R44" s="99">
        <v>9</v>
      </c>
      <c r="S44" s="99">
        <v>24</v>
      </c>
      <c r="T44" s="99">
        <v>8</v>
      </c>
      <c r="U44" s="99" t="s">
        <v>561</v>
      </c>
      <c r="V44" s="99">
        <v>7</v>
      </c>
      <c r="W44" s="99">
        <v>20</v>
      </c>
      <c r="X44" s="99">
        <v>15</v>
      </c>
      <c r="Y44" s="99">
        <v>47</v>
      </c>
      <c r="Z44" s="99">
        <v>19</v>
      </c>
      <c r="AA44" s="99" t="s">
        <v>561</v>
      </c>
      <c r="AB44" s="99" t="s">
        <v>561</v>
      </c>
      <c r="AC44" s="99" t="s">
        <v>561</v>
      </c>
      <c r="AD44" s="98" t="s">
        <v>326</v>
      </c>
      <c r="AE44" s="100">
        <v>0.09249500272578594</v>
      </c>
      <c r="AF44" s="100">
        <v>0.36</v>
      </c>
      <c r="AG44" s="98">
        <v>327.0943121933491</v>
      </c>
      <c r="AH44" s="98">
        <v>109.03143739778302</v>
      </c>
      <c r="AI44" s="100">
        <v>0.008</v>
      </c>
      <c r="AJ44" s="100">
        <v>0.645161</v>
      </c>
      <c r="AK44" s="100">
        <v>0.574324</v>
      </c>
      <c r="AL44" s="100">
        <v>0.655242</v>
      </c>
      <c r="AM44" s="100">
        <v>0.311798</v>
      </c>
      <c r="AN44" s="100">
        <v>0.343373</v>
      </c>
      <c r="AO44" s="98">
        <v>1381.0648737052518</v>
      </c>
      <c r="AP44" s="158">
        <v>0.9511373901</v>
      </c>
      <c r="AQ44" s="100">
        <v>0.07894736842105263</v>
      </c>
      <c r="AR44" s="100">
        <v>0.6666666666666666</v>
      </c>
      <c r="AS44" s="98">
        <v>436.1257495911321</v>
      </c>
      <c r="AT44" s="98">
        <v>145.3752498637107</v>
      </c>
      <c r="AU44" s="98" t="s">
        <v>561</v>
      </c>
      <c r="AV44" s="98">
        <v>127.20334363074687</v>
      </c>
      <c r="AW44" s="98">
        <v>363.43812465927675</v>
      </c>
      <c r="AX44" s="98">
        <v>272.57859349445755</v>
      </c>
      <c r="AY44" s="98">
        <v>854.0795929493004</v>
      </c>
      <c r="AZ44" s="98">
        <v>345.26621842631295</v>
      </c>
      <c r="BA44" s="100" t="s">
        <v>561</v>
      </c>
      <c r="BB44" s="100" t="s">
        <v>561</v>
      </c>
      <c r="BC44" s="100" t="s">
        <v>561</v>
      </c>
      <c r="BD44" s="158">
        <v>0.7493880463000001</v>
      </c>
      <c r="BE44" s="158">
        <v>1.190490265</v>
      </c>
      <c r="BF44" s="162">
        <v>465</v>
      </c>
      <c r="BG44" s="162">
        <v>444</v>
      </c>
      <c r="BH44" s="162">
        <v>1488</v>
      </c>
      <c r="BI44" s="162">
        <v>356</v>
      </c>
      <c r="BJ44" s="162">
        <v>166</v>
      </c>
      <c r="BK44" s="97"/>
      <c r="BL44" s="97"/>
      <c r="BM44" s="97"/>
      <c r="BN44" s="97"/>
    </row>
    <row r="45" spans="1:66" ht="12.75">
      <c r="A45" s="79" t="s">
        <v>552</v>
      </c>
      <c r="B45" s="79" t="s">
        <v>325</v>
      </c>
      <c r="C45" s="79" t="s">
        <v>74</v>
      </c>
      <c r="D45" s="99">
        <v>5698</v>
      </c>
      <c r="E45" s="99">
        <v>255</v>
      </c>
      <c r="F45" s="99" t="s">
        <v>347</v>
      </c>
      <c r="G45" s="99">
        <v>12</v>
      </c>
      <c r="H45" s="99" t="s">
        <v>561</v>
      </c>
      <c r="I45" s="99">
        <v>20</v>
      </c>
      <c r="J45" s="99">
        <v>119</v>
      </c>
      <c r="K45" s="99" t="s">
        <v>561</v>
      </c>
      <c r="L45" s="99">
        <v>1246</v>
      </c>
      <c r="M45" s="99">
        <v>49</v>
      </c>
      <c r="N45" s="99">
        <v>19</v>
      </c>
      <c r="O45" s="99">
        <v>43</v>
      </c>
      <c r="P45" s="159">
        <v>43</v>
      </c>
      <c r="Q45" s="99">
        <v>8</v>
      </c>
      <c r="R45" s="99">
        <v>11</v>
      </c>
      <c r="S45" s="99">
        <v>7</v>
      </c>
      <c r="T45" s="99">
        <v>9</v>
      </c>
      <c r="U45" s="99" t="s">
        <v>561</v>
      </c>
      <c r="V45" s="99">
        <v>9</v>
      </c>
      <c r="W45" s="99">
        <v>15</v>
      </c>
      <c r="X45" s="99">
        <v>12</v>
      </c>
      <c r="Y45" s="99">
        <v>21</v>
      </c>
      <c r="Z45" s="99">
        <v>26</v>
      </c>
      <c r="AA45" s="99" t="s">
        <v>561</v>
      </c>
      <c r="AB45" s="99" t="s">
        <v>561</v>
      </c>
      <c r="AC45" s="99" t="s">
        <v>561</v>
      </c>
      <c r="AD45" s="98" t="s">
        <v>326</v>
      </c>
      <c r="AE45" s="100">
        <v>0.044752544752544754</v>
      </c>
      <c r="AF45" s="100">
        <v>0.3</v>
      </c>
      <c r="AG45" s="98">
        <v>210.6002106002106</v>
      </c>
      <c r="AH45" s="98" t="s">
        <v>561</v>
      </c>
      <c r="AI45" s="100">
        <v>0.004</v>
      </c>
      <c r="AJ45" s="100">
        <v>0.452471</v>
      </c>
      <c r="AK45" s="100" t="s">
        <v>561</v>
      </c>
      <c r="AL45" s="100">
        <v>0.657173</v>
      </c>
      <c r="AM45" s="100">
        <v>0.269231</v>
      </c>
      <c r="AN45" s="100">
        <v>0.2375</v>
      </c>
      <c r="AO45" s="98">
        <v>754.6507546507546</v>
      </c>
      <c r="AP45" s="158">
        <v>0.6599868011</v>
      </c>
      <c r="AQ45" s="100">
        <v>0.18604651162790697</v>
      </c>
      <c r="AR45" s="100">
        <v>0.7272727272727273</v>
      </c>
      <c r="AS45" s="98">
        <v>122.85012285012284</v>
      </c>
      <c r="AT45" s="98">
        <v>157.95015795015794</v>
      </c>
      <c r="AU45" s="98" t="s">
        <v>561</v>
      </c>
      <c r="AV45" s="98">
        <v>157.95015795015794</v>
      </c>
      <c r="AW45" s="98">
        <v>263.25026325026323</v>
      </c>
      <c r="AX45" s="98">
        <v>210.6002106002106</v>
      </c>
      <c r="AY45" s="98">
        <v>368.55036855036855</v>
      </c>
      <c r="AZ45" s="98">
        <v>456.3004563004563</v>
      </c>
      <c r="BA45" s="100" t="s">
        <v>561</v>
      </c>
      <c r="BB45" s="100" t="s">
        <v>561</v>
      </c>
      <c r="BC45" s="100" t="s">
        <v>561</v>
      </c>
      <c r="BD45" s="158">
        <v>0.47763572689999995</v>
      </c>
      <c r="BE45" s="158">
        <v>0.8889979553</v>
      </c>
      <c r="BF45" s="162">
        <v>263</v>
      </c>
      <c r="BG45" s="162" t="s">
        <v>561</v>
      </c>
      <c r="BH45" s="162">
        <v>1896</v>
      </c>
      <c r="BI45" s="162">
        <v>182</v>
      </c>
      <c r="BJ45" s="162">
        <v>80</v>
      </c>
      <c r="BK45" s="97"/>
      <c r="BL45" s="97"/>
      <c r="BM45" s="97"/>
      <c r="BN45" s="97"/>
    </row>
    <row r="46" spans="1:66" ht="12.75">
      <c r="A46" s="79" t="s">
        <v>551</v>
      </c>
      <c r="B46" s="79" t="s">
        <v>324</v>
      </c>
      <c r="C46" s="79" t="s">
        <v>74</v>
      </c>
      <c r="D46" s="99">
        <v>3735</v>
      </c>
      <c r="E46" s="99">
        <v>133</v>
      </c>
      <c r="F46" s="99" t="s">
        <v>347</v>
      </c>
      <c r="G46" s="99">
        <v>6</v>
      </c>
      <c r="H46" s="99" t="s">
        <v>561</v>
      </c>
      <c r="I46" s="99">
        <v>18</v>
      </c>
      <c r="J46" s="99">
        <v>98</v>
      </c>
      <c r="K46" s="99" t="s">
        <v>561</v>
      </c>
      <c r="L46" s="99">
        <v>954</v>
      </c>
      <c r="M46" s="99">
        <v>37</v>
      </c>
      <c r="N46" s="99">
        <v>16</v>
      </c>
      <c r="O46" s="99">
        <v>19</v>
      </c>
      <c r="P46" s="159">
        <v>19</v>
      </c>
      <c r="Q46" s="99">
        <v>6</v>
      </c>
      <c r="R46" s="99">
        <v>10</v>
      </c>
      <c r="S46" s="99" t="s">
        <v>561</v>
      </c>
      <c r="T46" s="99" t="s">
        <v>561</v>
      </c>
      <c r="U46" s="99" t="s">
        <v>561</v>
      </c>
      <c r="V46" s="99" t="s">
        <v>561</v>
      </c>
      <c r="W46" s="99" t="s">
        <v>561</v>
      </c>
      <c r="X46" s="99" t="s">
        <v>561</v>
      </c>
      <c r="Y46" s="99">
        <v>17</v>
      </c>
      <c r="Z46" s="99">
        <v>10</v>
      </c>
      <c r="AA46" s="99" t="s">
        <v>561</v>
      </c>
      <c r="AB46" s="99" t="s">
        <v>561</v>
      </c>
      <c r="AC46" s="99" t="s">
        <v>561</v>
      </c>
      <c r="AD46" s="98" t="s">
        <v>326</v>
      </c>
      <c r="AE46" s="100">
        <v>0.035609103078982594</v>
      </c>
      <c r="AF46" s="100">
        <v>0.36</v>
      </c>
      <c r="AG46" s="98">
        <v>160.6425702811245</v>
      </c>
      <c r="AH46" s="98" t="s">
        <v>561</v>
      </c>
      <c r="AI46" s="100">
        <v>0.005</v>
      </c>
      <c r="AJ46" s="100">
        <v>0.579882</v>
      </c>
      <c r="AK46" s="100" t="s">
        <v>561</v>
      </c>
      <c r="AL46" s="100">
        <v>0.779412</v>
      </c>
      <c r="AM46" s="100">
        <v>0.381443</v>
      </c>
      <c r="AN46" s="100">
        <v>0.32</v>
      </c>
      <c r="AO46" s="98">
        <v>508.70147255689426</v>
      </c>
      <c r="AP46" s="158">
        <v>0.4457390213</v>
      </c>
      <c r="AQ46" s="100">
        <v>0.3157894736842105</v>
      </c>
      <c r="AR46" s="100">
        <v>0.6</v>
      </c>
      <c r="AS46" s="98" t="s">
        <v>561</v>
      </c>
      <c r="AT46" s="98" t="s">
        <v>561</v>
      </c>
      <c r="AU46" s="98" t="s">
        <v>561</v>
      </c>
      <c r="AV46" s="98" t="s">
        <v>561</v>
      </c>
      <c r="AW46" s="98" t="s">
        <v>561</v>
      </c>
      <c r="AX46" s="98" t="s">
        <v>561</v>
      </c>
      <c r="AY46" s="98">
        <v>455.1539491298527</v>
      </c>
      <c r="AZ46" s="98">
        <v>267.7376171352075</v>
      </c>
      <c r="BA46" s="100" t="s">
        <v>561</v>
      </c>
      <c r="BB46" s="100" t="s">
        <v>561</v>
      </c>
      <c r="BC46" s="100" t="s">
        <v>561</v>
      </c>
      <c r="BD46" s="158">
        <v>0.2683639908</v>
      </c>
      <c r="BE46" s="158">
        <v>0.6960766601999999</v>
      </c>
      <c r="BF46" s="162">
        <v>169</v>
      </c>
      <c r="BG46" s="162" t="s">
        <v>561</v>
      </c>
      <c r="BH46" s="162">
        <v>1224</v>
      </c>
      <c r="BI46" s="162">
        <v>97</v>
      </c>
      <c r="BJ46" s="162">
        <v>50</v>
      </c>
      <c r="BK46" s="97"/>
      <c r="BL46" s="97"/>
      <c r="BM46" s="97"/>
      <c r="BN46" s="97"/>
    </row>
    <row r="47" spans="1:66" ht="12.75">
      <c r="A47" s="79" t="s">
        <v>525</v>
      </c>
      <c r="B47" s="79" t="s">
        <v>297</v>
      </c>
      <c r="C47" s="79" t="s">
        <v>74</v>
      </c>
      <c r="D47" s="99">
        <v>11739</v>
      </c>
      <c r="E47" s="99">
        <v>814</v>
      </c>
      <c r="F47" s="99" t="s">
        <v>347</v>
      </c>
      <c r="G47" s="99">
        <v>31</v>
      </c>
      <c r="H47" s="99">
        <v>10</v>
      </c>
      <c r="I47" s="99">
        <v>136</v>
      </c>
      <c r="J47" s="99">
        <v>662</v>
      </c>
      <c r="K47" s="99">
        <v>578</v>
      </c>
      <c r="L47" s="99">
        <v>2561</v>
      </c>
      <c r="M47" s="99">
        <v>260</v>
      </c>
      <c r="N47" s="99">
        <v>139</v>
      </c>
      <c r="O47" s="99">
        <v>142</v>
      </c>
      <c r="P47" s="159">
        <v>142</v>
      </c>
      <c r="Q47" s="99">
        <v>19</v>
      </c>
      <c r="R47" s="99">
        <v>35</v>
      </c>
      <c r="S47" s="99">
        <v>31</v>
      </c>
      <c r="T47" s="99">
        <v>24</v>
      </c>
      <c r="U47" s="99" t="s">
        <v>561</v>
      </c>
      <c r="V47" s="99">
        <v>26</v>
      </c>
      <c r="W47" s="99">
        <v>53</v>
      </c>
      <c r="X47" s="99">
        <v>30</v>
      </c>
      <c r="Y47" s="99">
        <v>94</v>
      </c>
      <c r="Z47" s="99">
        <v>55</v>
      </c>
      <c r="AA47" s="99" t="s">
        <v>561</v>
      </c>
      <c r="AB47" s="99" t="s">
        <v>561</v>
      </c>
      <c r="AC47" s="99" t="s">
        <v>561</v>
      </c>
      <c r="AD47" s="98" t="s">
        <v>326</v>
      </c>
      <c r="AE47" s="100">
        <v>0.06934151120197632</v>
      </c>
      <c r="AF47" s="100">
        <v>0.32</v>
      </c>
      <c r="AG47" s="98">
        <v>264.0770082630548</v>
      </c>
      <c r="AH47" s="98">
        <v>85.1861316977596</v>
      </c>
      <c r="AI47" s="100">
        <v>0.012</v>
      </c>
      <c r="AJ47" s="100">
        <v>0.677584</v>
      </c>
      <c r="AK47" s="100">
        <v>0.607781</v>
      </c>
      <c r="AL47" s="100">
        <v>0.672355</v>
      </c>
      <c r="AM47" s="100">
        <v>0.373563</v>
      </c>
      <c r="AN47" s="100">
        <v>0.418675</v>
      </c>
      <c r="AO47" s="98">
        <v>1209.6430701081863</v>
      </c>
      <c r="AP47" s="158">
        <v>0.8653191375999999</v>
      </c>
      <c r="AQ47" s="100">
        <v>0.13380281690140844</v>
      </c>
      <c r="AR47" s="100">
        <v>0.5428571428571428</v>
      </c>
      <c r="AS47" s="98">
        <v>264.0770082630548</v>
      </c>
      <c r="AT47" s="98">
        <v>204.44671607462305</v>
      </c>
      <c r="AU47" s="98" t="s">
        <v>561</v>
      </c>
      <c r="AV47" s="98">
        <v>221.48394241417498</v>
      </c>
      <c r="AW47" s="98">
        <v>451.4864979981259</v>
      </c>
      <c r="AX47" s="98">
        <v>255.55839509327882</v>
      </c>
      <c r="AY47" s="98">
        <v>800.7496379589403</v>
      </c>
      <c r="AZ47" s="98">
        <v>468.52372433767783</v>
      </c>
      <c r="BA47" s="100" t="s">
        <v>561</v>
      </c>
      <c r="BB47" s="100" t="s">
        <v>561</v>
      </c>
      <c r="BC47" s="100" t="s">
        <v>561</v>
      </c>
      <c r="BD47" s="158">
        <v>0.7288510895</v>
      </c>
      <c r="BE47" s="158">
        <v>1.019919205</v>
      </c>
      <c r="BF47" s="162">
        <v>977</v>
      </c>
      <c r="BG47" s="162">
        <v>951</v>
      </c>
      <c r="BH47" s="162">
        <v>3809</v>
      </c>
      <c r="BI47" s="162">
        <v>696</v>
      </c>
      <c r="BJ47" s="162">
        <v>332</v>
      </c>
      <c r="BK47" s="97"/>
      <c r="BL47" s="97"/>
      <c r="BM47" s="97"/>
      <c r="BN47" s="97"/>
    </row>
    <row r="48" spans="1:66" ht="12.75">
      <c r="A48" s="79" t="s">
        <v>380</v>
      </c>
      <c r="B48" s="94" t="s">
        <v>74</v>
      </c>
      <c r="C48" s="94" t="s">
        <v>7</v>
      </c>
      <c r="D48" s="99">
        <v>280095</v>
      </c>
      <c r="E48" s="99">
        <v>19152</v>
      </c>
      <c r="F48" s="99">
        <v>85902.26000000002</v>
      </c>
      <c r="G48" s="99">
        <v>693</v>
      </c>
      <c r="H48" s="99">
        <v>290</v>
      </c>
      <c r="I48" s="99">
        <v>2559</v>
      </c>
      <c r="J48" s="99">
        <v>11506</v>
      </c>
      <c r="K48" s="99">
        <v>1868</v>
      </c>
      <c r="L48" s="99">
        <v>55450</v>
      </c>
      <c r="M48" s="99">
        <v>5023</v>
      </c>
      <c r="N48" s="99">
        <v>2649</v>
      </c>
      <c r="O48" s="99">
        <v>3256</v>
      </c>
      <c r="P48" s="99">
        <v>3256</v>
      </c>
      <c r="Q48" s="99">
        <v>306</v>
      </c>
      <c r="R48" s="99">
        <v>658</v>
      </c>
      <c r="S48" s="99">
        <v>762</v>
      </c>
      <c r="T48" s="99">
        <v>402</v>
      </c>
      <c r="U48" s="99">
        <v>138</v>
      </c>
      <c r="V48" s="99">
        <v>579</v>
      </c>
      <c r="W48" s="99">
        <v>1000</v>
      </c>
      <c r="X48" s="99">
        <v>588</v>
      </c>
      <c r="Y48" s="99">
        <v>2084</v>
      </c>
      <c r="Z48" s="99">
        <v>1437</v>
      </c>
      <c r="AA48" s="99">
        <v>0</v>
      </c>
      <c r="AB48" s="99">
        <v>0</v>
      </c>
      <c r="AC48" s="99">
        <v>0</v>
      </c>
      <c r="AD48" s="98">
        <v>0</v>
      </c>
      <c r="AE48" s="101">
        <v>0.06837680072832432</v>
      </c>
      <c r="AF48" s="101">
        <v>0.306689730270087</v>
      </c>
      <c r="AG48" s="98">
        <v>247.41605526696299</v>
      </c>
      <c r="AH48" s="98">
        <v>103.53630018386619</v>
      </c>
      <c r="AI48" s="101">
        <v>0.009136185936914261</v>
      </c>
      <c r="AJ48" s="101">
        <v>0.5817869242048844</v>
      </c>
      <c r="AK48" s="101">
        <v>0.5503830288744844</v>
      </c>
      <c r="AL48" s="101">
        <v>0.6798675821481118</v>
      </c>
      <c r="AM48" s="101">
        <v>0.34930458970792766</v>
      </c>
      <c r="AN48" s="101">
        <v>0.373994070309191</v>
      </c>
      <c r="AO48" s="98">
        <v>1162.462735857477</v>
      </c>
      <c r="AP48" s="98">
        <v>0</v>
      </c>
      <c r="AQ48" s="101">
        <v>0.09398034398034398</v>
      </c>
      <c r="AR48" s="101">
        <v>0.46504559270516715</v>
      </c>
      <c r="AS48" s="98">
        <v>272.05055427622773</v>
      </c>
      <c r="AT48" s="98">
        <v>143.52273335832484</v>
      </c>
      <c r="AU48" s="98">
        <v>49.26899801852943</v>
      </c>
      <c r="AV48" s="98">
        <v>206.71557864296042</v>
      </c>
      <c r="AW48" s="98">
        <v>357.0217247719524</v>
      </c>
      <c r="AX48" s="98">
        <v>209.92877416590798</v>
      </c>
      <c r="AY48" s="98">
        <v>744.0332744247487</v>
      </c>
      <c r="AZ48" s="98">
        <v>513.0402184972955</v>
      </c>
      <c r="BA48" s="101">
        <v>0</v>
      </c>
      <c r="BB48" s="101">
        <v>0</v>
      </c>
      <c r="BC48" s="101">
        <v>0</v>
      </c>
      <c r="BD48" s="98">
        <v>0</v>
      </c>
      <c r="BE48" s="98">
        <v>0</v>
      </c>
      <c r="BF48" s="99">
        <v>19777</v>
      </c>
      <c r="BG48" s="99">
        <v>3394</v>
      </c>
      <c r="BH48" s="99">
        <v>81560</v>
      </c>
      <c r="BI48" s="99">
        <v>14380</v>
      </c>
      <c r="BJ48" s="99">
        <v>7083</v>
      </c>
      <c r="BK48" s="97"/>
      <c r="BL48" s="97"/>
      <c r="BM48" s="97"/>
      <c r="BN48" s="97"/>
    </row>
    <row r="49" spans="1:66" ht="12.75">
      <c r="A49" s="79" t="s">
        <v>24</v>
      </c>
      <c r="B49" s="94" t="s">
        <v>7</v>
      </c>
      <c r="C49" s="94" t="s">
        <v>7</v>
      </c>
      <c r="D49" s="99">
        <v>54615830</v>
      </c>
      <c r="E49" s="99">
        <v>8737890</v>
      </c>
      <c r="F49" s="99">
        <v>8198344.169999988</v>
      </c>
      <c r="G49" s="99">
        <v>243379</v>
      </c>
      <c r="H49" s="99">
        <v>127868</v>
      </c>
      <c r="I49" s="99">
        <v>870616</v>
      </c>
      <c r="J49" s="99">
        <v>4592627</v>
      </c>
      <c r="K49" s="99">
        <v>1679592</v>
      </c>
      <c r="L49" s="99">
        <v>10150944</v>
      </c>
      <c r="M49" s="99">
        <v>2959539</v>
      </c>
      <c r="N49" s="99">
        <v>1629320</v>
      </c>
      <c r="O49" s="99">
        <v>989730</v>
      </c>
      <c r="P49" s="99">
        <v>989730</v>
      </c>
      <c r="Q49" s="99">
        <v>108072</v>
      </c>
      <c r="R49" s="99">
        <v>238330</v>
      </c>
      <c r="S49" s="99">
        <v>206300</v>
      </c>
      <c r="T49" s="99">
        <v>154264</v>
      </c>
      <c r="U49" s="99">
        <v>38486</v>
      </c>
      <c r="V49" s="99">
        <v>176535</v>
      </c>
      <c r="W49" s="99">
        <v>307276</v>
      </c>
      <c r="X49" s="99">
        <v>221506</v>
      </c>
      <c r="Y49" s="99">
        <v>578574</v>
      </c>
      <c r="Z49" s="99">
        <v>318377</v>
      </c>
      <c r="AA49" s="99">
        <v>0</v>
      </c>
      <c r="AB49" s="99">
        <v>0</v>
      </c>
      <c r="AC49" s="99">
        <v>0</v>
      </c>
      <c r="AD49" s="98">
        <v>0</v>
      </c>
      <c r="AE49" s="101">
        <v>0.1599882305185145</v>
      </c>
      <c r="AF49" s="101">
        <v>0.15010930292554353</v>
      </c>
      <c r="AG49" s="98">
        <v>445.6198871279627</v>
      </c>
      <c r="AH49" s="98">
        <v>234.12259778895606</v>
      </c>
      <c r="AI49" s="101">
        <v>0.015940726342527432</v>
      </c>
      <c r="AJ49" s="101">
        <v>0.7248631360507991</v>
      </c>
      <c r="AK49" s="101">
        <v>0.7467412166569077</v>
      </c>
      <c r="AL49" s="101">
        <v>0.7559681673907895</v>
      </c>
      <c r="AM49" s="101">
        <v>0.5147293797466616</v>
      </c>
      <c r="AN49" s="101">
        <v>0.5752927626212945</v>
      </c>
      <c r="AO49" s="98">
        <v>1812.1669120472948</v>
      </c>
      <c r="AP49" s="98">
        <v>1</v>
      </c>
      <c r="AQ49" s="101">
        <v>0.10919341638628717</v>
      </c>
      <c r="AR49" s="101">
        <v>0.4534552930810221</v>
      </c>
      <c r="AS49" s="98">
        <v>377.7293140102421</v>
      </c>
      <c r="AT49" s="98">
        <v>282.45290788403287</v>
      </c>
      <c r="AU49" s="98">
        <v>70.46674929228394</v>
      </c>
      <c r="AV49" s="98">
        <v>323.23046266988894</v>
      </c>
      <c r="AW49" s="98">
        <v>562.6134400960308</v>
      </c>
      <c r="AX49" s="98">
        <v>405.57105879375996</v>
      </c>
      <c r="AY49" s="98">
        <v>1059.3522061277838</v>
      </c>
      <c r="AZ49" s="98">
        <v>582.9390489900089</v>
      </c>
      <c r="BA49" s="101">
        <v>0</v>
      </c>
      <c r="BB49" s="101">
        <v>0</v>
      </c>
      <c r="BC49" s="101">
        <v>0</v>
      </c>
      <c r="BD49" s="98">
        <v>0</v>
      </c>
      <c r="BE49" s="98">
        <v>0</v>
      </c>
      <c r="BF49" s="99">
        <v>6335854</v>
      </c>
      <c r="BG49" s="99">
        <v>2249229</v>
      </c>
      <c r="BH49" s="99">
        <v>13427740</v>
      </c>
      <c r="BI49" s="99">
        <v>5749699</v>
      </c>
      <c r="BJ49" s="99">
        <v>2832158</v>
      </c>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456</v>
      </c>
      <c r="Q4" s="75" t="s">
        <v>457</v>
      </c>
      <c r="R4" s="75" t="s">
        <v>458</v>
      </c>
      <c r="S4" s="75" t="s">
        <v>459</v>
      </c>
      <c r="T4" s="39" t="s">
        <v>278</v>
      </c>
      <c r="U4" s="40" t="s">
        <v>279</v>
      </c>
      <c r="V4" s="41" t="s">
        <v>7</v>
      </c>
      <c r="W4" s="24" t="s">
        <v>2</v>
      </c>
      <c r="X4" s="24" t="s">
        <v>3</v>
      </c>
      <c r="Y4" s="75" t="s">
        <v>565</v>
      </c>
      <c r="Z4" s="75" t="s">
        <v>564</v>
      </c>
      <c r="AA4" s="26" t="s">
        <v>280</v>
      </c>
      <c r="AB4" s="24" t="s">
        <v>5</v>
      </c>
      <c r="AC4" s="75" t="s">
        <v>35</v>
      </c>
      <c r="AD4" s="24" t="s">
        <v>6</v>
      </c>
      <c r="AE4" s="24" t="s">
        <v>281</v>
      </c>
      <c r="AF4" s="24" t="s">
        <v>16</v>
      </c>
      <c r="AG4" s="24" t="s">
        <v>15</v>
      </c>
      <c r="AH4" s="24" t="s">
        <v>14</v>
      </c>
      <c r="AI4" s="25" t="s">
        <v>30</v>
      </c>
      <c r="AJ4" s="47" t="s">
        <v>10</v>
      </c>
      <c r="AK4" s="26" t="s">
        <v>21</v>
      </c>
      <c r="AL4" s="25" t="s">
        <v>22</v>
      </c>
      <c r="AQ4" s="102" t="s">
        <v>371</v>
      </c>
      <c r="AR4" s="102" t="s">
        <v>373</v>
      </c>
      <c r="AS4" s="102" t="s">
        <v>372</v>
      </c>
      <c r="AY4" s="102" t="s">
        <v>453</v>
      </c>
      <c r="AZ4" s="102" t="s">
        <v>454</v>
      </c>
      <c r="BA4" s="102" t="s">
        <v>455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394</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379</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226</v>
      </c>
      <c r="E7" s="38">
        <f>IF(LEFT(VLOOKUP($B7,'Indicator chart'!$D$1:$J$36,5,FALSE),1)=" "," ",VLOOKUP($B7,'Indicator chart'!$D$1:$J$36,5,FALSE))</f>
        <v>0.06688369340041432</v>
      </c>
      <c r="F7" s="38">
        <f>IF(LEFT(VLOOKUP($B7,'Indicator chart'!$D$1:$J$36,6,FALSE),1)=" "," ",VLOOKUP($B7,'Indicator chart'!$D$1:$J$36,6,FALSE))</f>
        <v>0.05894252478927128</v>
      </c>
      <c r="G7" s="38">
        <f>IF(LEFT(VLOOKUP($B7,'Indicator chart'!$D$1:$J$36,7,FALSE),1)=" "," ",VLOOKUP($B7,'Indicator chart'!$D$1:$J$36,7,FALSE))</f>
        <v>0.07580856731034105</v>
      </c>
      <c r="H7" s="50">
        <f aca="true" t="shared" si="0" ref="H7:H31">IF(LEFT(F7,1)=" ",4,IF(AND(ABS(N7-E7)&gt;SQRT((E7-G7)^2+(N7-R7)^2),E7&lt;N7),1,IF(AND(ABS(N7-E7)&gt;SQRT((E7-F7)^2+(N7-S7)^2),E7&gt;N7),3,2)))</f>
        <v>2</v>
      </c>
      <c r="I7" s="38">
        <v>0.03560910373926163</v>
      </c>
      <c r="J7" s="38">
        <v>0.05836471915245056</v>
      </c>
      <c r="K7" s="38">
        <v>0.0683022141456604</v>
      </c>
      <c r="L7" s="38">
        <v>0.07700017094612122</v>
      </c>
      <c r="M7" s="38">
        <v>0.11895783245563507</v>
      </c>
      <c r="N7" s="80">
        <f>VLOOKUP('Hide - Control'!B$3,'All practice data'!A:CA,A7+29,FALSE)</f>
        <v>0.06837680072832432</v>
      </c>
      <c r="O7" s="80">
        <f>VLOOKUP('Hide - Control'!C$3,'All practice data'!A:CA,A7+29,FALSE)</f>
        <v>0.1599882305185145</v>
      </c>
      <c r="P7" s="38">
        <f>VLOOKUP('Hide - Control'!$B$4,'All practice data'!B:BC,A7+2,FALSE)</f>
        <v>19152</v>
      </c>
      <c r="Q7" s="38">
        <f>VLOOKUP('Hide - Control'!$B$4,'All practice data'!B:BC,3,FALSE)</f>
        <v>280095</v>
      </c>
      <c r="R7" s="38">
        <f>+((2*P7+1.96^2-1.96*SQRT(1.96^2+4*P7*(1-P7/Q7)))/(2*(Q7+1.96^2)))</f>
        <v>0.06744799593472606</v>
      </c>
      <c r="S7" s="38">
        <f>+((2*P7+1.96^2+1.96*SQRT(1.96^2+4*P7*(1-P7/Q7)))/(2*(Q7+1.96^2)))</f>
        <v>0.06931744508307786</v>
      </c>
      <c r="T7" s="53">
        <f>IF($C7=1,M7,I7)</f>
        <v>0.11895783245563507</v>
      </c>
      <c r="U7" s="51">
        <f aca="true" t="shared" si="1" ref="U7:U15">IF($C7=1,I7,M7)</f>
        <v>0.03560910373926163</v>
      </c>
      <c r="V7" s="7">
        <v>1</v>
      </c>
      <c r="W7" s="27">
        <f aca="true" t="shared" si="2" ref="W7:W31">IF((K7-I7)&gt;(M7-K7),I7,(K7-(M7-K7)))</f>
        <v>0.01764659583568573</v>
      </c>
      <c r="X7" s="27">
        <f aca="true" t="shared" si="3" ref="X7:X31">IF(W7=I7,K7+(K7-I7),M7)</f>
        <v>0.11895783245563507</v>
      </c>
      <c r="Y7" s="27">
        <f aca="true" t="shared" si="4" ref="Y7:Y31">IF(C7=1,W7,X7)</f>
        <v>0.01764659583568573</v>
      </c>
      <c r="Z7" s="27">
        <f aca="true" t="shared" si="5" ref="Z7:Z31">IF(C7=1,X7,W7)</f>
        <v>0.11895783245563507</v>
      </c>
      <c r="AA7" s="32">
        <f aca="true" t="shared" si="6" ref="AA7:AA31">IF(ISERROR(IF(C7=1,(I7-$Y7)/($Z7-$Y7),(U7-$Y7)/($Z7-$Y7))),"",IF(C7=1,(I7-$Y7)/($Z7-$Y7),(U7-$Y7)/($Z7-$Y7)))</f>
        <v>0.17730025318868603</v>
      </c>
      <c r="AB7" s="33">
        <f aca="true" t="shared" si="7" ref="AB7:AB31">IF(ISERROR(IF(C7=1,(J7-$Y7)/($Z7-$Y7),(L7-$Y7)/($Z7-$Y7))),"",IF(C7=1,(J7-$Y7)/($Z7-$Y7),(L7-$Y7)/($Z7-$Y7)))</f>
        <v>0.4019112259927441</v>
      </c>
      <c r="AC7" s="33">
        <v>0.5</v>
      </c>
      <c r="AD7" s="33">
        <f aca="true" t="shared" si="8" ref="AD7:AD31">IF(ISERROR(IF(C7=1,(L7-$Y7)/($Z7-$Y7),(J7-$Y7)/($Z7-$Y7))),"",IF(C7=1,(L7-$Y7)/($Z7-$Y7),(J7-$Y7)/($Z7-$Y7)))</f>
        <v>0.5858538212606131</v>
      </c>
      <c r="AE7" s="33">
        <f aca="true" t="shared" si="9" ref="AE7:AE31">IF(ISERROR(IF(C7=1,(M7-$Y7)/($Z7-$Y7),(I7-$Y7)/($Z7-$Y7))),"",IF(C7=1,(M7-$Y7)/($Z7-$Y7),(I7-$Y7)/($Z7-$Y7)))</f>
        <v>1</v>
      </c>
      <c r="AF7" s="33">
        <f aca="true" t="shared" si="10" ref="AF7:AF30">IF(E7=" ",-999,IF(H7=4,(E7-$Y7)/($Z7-$Y7),-999))</f>
        <v>-999</v>
      </c>
      <c r="AG7" s="33">
        <f aca="true" t="shared" si="11" ref="AG7:AG31">IF(E7=" ",-999,IF(H7=2,(E7-$Y7)/($Z7-$Y7),-999))</f>
        <v>0.4859983868268492</v>
      </c>
      <c r="AH7" s="33">
        <f aca="true" t="shared" si="12" ref="AH7:AH31">IF(E7=" ",-999,IF(MAX(AK7:AL7)&gt;-999,MAX(AK7:AL7),-999))</f>
        <v>-999</v>
      </c>
      <c r="AI7" s="34">
        <f aca="true" t="shared" si="13" ref="AI7:AI31">IF(ISERROR((O7-$Y7)/($Z7-$Y7)),-999,(O7-$Y7)/($Z7-$Y7))</f>
        <v>1.4049935568035508</v>
      </c>
      <c r="AJ7" s="4">
        <v>2.7020512924389086</v>
      </c>
      <c r="AK7" s="32">
        <f aca="true" t="shared" si="14" ref="AK7:AK31">IF(H7=1,(E7-$Y7)/($Z7-$Y7),-999)</f>
        <v>-999</v>
      </c>
      <c r="AL7" s="34">
        <f aca="true" t="shared" si="15" ref="AL7:AL31">IF(H7=3,(E7-$Y7)/($Z7-$Y7),-999)</f>
        <v>-999</v>
      </c>
      <c r="AQ7" s="103">
        <v>2</v>
      </c>
      <c r="AR7" s="103">
        <v>0.2422</v>
      </c>
      <c r="AS7" s="103">
        <v>7.2247</v>
      </c>
      <c r="AY7" s="103" t="s">
        <v>68</v>
      </c>
      <c r="AZ7" s="103" t="s">
        <v>378</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0.25</v>
      </c>
      <c r="F8" s="38">
        <f>IF(LEFT(VLOOKUP($B8,'Indicator chart'!$D$1:$J$36,6,FALSE),1)=" "," ",VLOOKUP($B8,'Indicator chart'!$D$1:$J$36,6,FALSE))</f>
        <v>0.2356891063240409</v>
      </c>
      <c r="G8" s="38">
        <f>IF(LEFT(VLOOKUP($B8,'Indicator chart'!$D$1:$J$36,7,FALSE),1)=" "," ",VLOOKUP($B8,'Indicator chart'!$D$1:$J$36,7,FALSE))</f>
        <v>0.2648787003388546</v>
      </c>
      <c r="H8" s="50">
        <f t="shared" si="0"/>
        <v>1</v>
      </c>
      <c r="I8" s="38">
        <v>0.07999999821186066</v>
      </c>
      <c r="J8" s="38">
        <v>0.30000001192092896</v>
      </c>
      <c r="K8" s="38">
        <v>0.3149999976158142</v>
      </c>
      <c r="L8" s="38">
        <v>0.33250001072883606</v>
      </c>
      <c r="M8" s="38">
        <v>0.3700000047683716</v>
      </c>
      <c r="N8" s="80">
        <f>VLOOKUP('Hide - Control'!B$3,'All practice data'!A:CA,A8+29,FALSE)</f>
        <v>0.306689730270087</v>
      </c>
      <c r="O8" s="80">
        <f>VLOOKUP('Hide - Control'!C$3,'All practice data'!A:CA,A8+29,FALSE)</f>
        <v>0.15010930292554353</v>
      </c>
      <c r="P8" s="38">
        <f>VLOOKUP('Hide - Control'!$B$4,'All practice data'!B:BC,A8+2,FALSE)</f>
        <v>85902.26000000002</v>
      </c>
      <c r="Q8" s="38">
        <f>VLOOKUP('Hide - Control'!$B$4,'All practice data'!B:BC,3,FALSE)</f>
        <v>280095</v>
      </c>
      <c r="R8" s="38">
        <f>+((2*P8+1.96^2-1.96*SQRT(1.96^2+4*P8*(1-P8/Q8)))/(2*(Q8+1.96^2)))</f>
        <v>0.3049846705670511</v>
      </c>
      <c r="S8" s="38">
        <f>+((2*P8+1.96^2+1.96*SQRT(1.96^2+4*P8*(1-P8/Q8)))/(2*(Q8+1.96^2)))</f>
        <v>0.3084000925350897</v>
      </c>
      <c r="T8" s="53">
        <f aca="true" t="shared" si="16" ref="T8:T15">IF($C8=1,M8,I8)</f>
        <v>0.3700000047683716</v>
      </c>
      <c r="U8" s="51">
        <f t="shared" si="1"/>
        <v>0.07999999821186066</v>
      </c>
      <c r="V8" s="7"/>
      <c r="W8" s="27">
        <f t="shared" si="2"/>
        <v>0.07999999821186066</v>
      </c>
      <c r="X8" s="27">
        <f t="shared" si="3"/>
        <v>0.5499999970197678</v>
      </c>
      <c r="Y8" s="27">
        <f t="shared" si="4"/>
        <v>0.07999999821186066</v>
      </c>
      <c r="Z8" s="27">
        <f t="shared" si="5"/>
        <v>0.5499999970197678</v>
      </c>
      <c r="AA8" s="32">
        <f t="shared" si="6"/>
        <v>0</v>
      </c>
      <c r="AB8" s="33">
        <f t="shared" si="7"/>
        <v>0.46808513673844526</v>
      </c>
      <c r="AC8" s="33">
        <v>0.5</v>
      </c>
      <c r="AD8" s="33">
        <f t="shared" si="8"/>
        <v>0.5372340705476772</v>
      </c>
      <c r="AE8" s="33">
        <f t="shared" si="9"/>
        <v>0.617021292110761</v>
      </c>
      <c r="AF8" s="33">
        <f t="shared" si="10"/>
        <v>-999</v>
      </c>
      <c r="AG8" s="33">
        <f t="shared" si="11"/>
        <v>-999</v>
      </c>
      <c r="AH8" s="33">
        <f t="shared" si="12"/>
        <v>0.3617021323815359</v>
      </c>
      <c r="AI8" s="34">
        <f t="shared" si="13"/>
        <v>0.1491687338117146</v>
      </c>
      <c r="AJ8" s="4">
        <v>3.778046717820832</v>
      </c>
      <c r="AK8" s="32">
        <f t="shared" si="14"/>
        <v>0.3617021323815359</v>
      </c>
      <c r="AL8" s="34">
        <f t="shared" si="15"/>
        <v>-999</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11</v>
      </c>
      <c r="E9" s="38">
        <f>IF(LEFT(VLOOKUP($B9,'Indicator chart'!$D$1:$J$36,5,FALSE),1)=" "," ",VLOOKUP($B9,'Indicator chart'!$D$1:$J$36,5,FALSE))</f>
        <v>325.54010062148564</v>
      </c>
      <c r="F9" s="38">
        <f>IF(LEFT(VLOOKUP($B9,'Indicator chart'!$D$1:$J$36,6,FALSE),1)=" "," ",VLOOKUP($B9,'Indicator chart'!$D$1:$J$36,6,FALSE))</f>
        <v>162.28514646317802</v>
      </c>
      <c r="G9" s="38">
        <f>IF(LEFT(VLOOKUP($B9,'Indicator chart'!$D$1:$J$36,7,FALSE),1)=" "," ",VLOOKUP($B9,'Indicator chart'!$D$1:$J$36,7,FALSE))</f>
        <v>582.5217709207998</v>
      </c>
      <c r="H9" s="50">
        <f t="shared" si="0"/>
        <v>2</v>
      </c>
      <c r="I9" s="38">
        <v>92.60600280761719</v>
      </c>
      <c r="J9" s="38">
        <v>205.67453002929688</v>
      </c>
      <c r="K9" s="38">
        <v>260.0052490234375</v>
      </c>
      <c r="L9" s="38">
        <v>309.03912353515625</v>
      </c>
      <c r="M9" s="38">
        <v>595.78369140625</v>
      </c>
      <c r="N9" s="80">
        <f>VLOOKUP('Hide - Control'!B$3,'All practice data'!A:CA,A9+29,FALSE)</f>
        <v>247.41605526696299</v>
      </c>
      <c r="O9" s="80">
        <f>VLOOKUP('Hide - Control'!C$3,'All practice data'!A:CA,A9+29,FALSE)</f>
        <v>445.6198871279627</v>
      </c>
      <c r="P9" s="38">
        <f>VLOOKUP('Hide - Control'!$B$4,'All practice data'!B:BC,A9+2,FALSE)</f>
        <v>693</v>
      </c>
      <c r="Q9" s="38">
        <f>VLOOKUP('Hide - Control'!$B$4,'All practice data'!B:BC,3,FALSE)</f>
        <v>280095</v>
      </c>
      <c r="R9" s="38">
        <f>100000*(P9*(1-1/(9*P9)-1.96/(3*SQRT(P9)))^3)/Q9</f>
        <v>229.33512134538725</v>
      </c>
      <c r="S9" s="38">
        <f>100000*((P9+1)*(1-1/(9*(P9+1))+1.96/(3*SQRT(P9+1)))^3)/Q9</f>
        <v>266.5435321349654</v>
      </c>
      <c r="T9" s="53">
        <f t="shared" si="16"/>
        <v>595.78369140625</v>
      </c>
      <c r="U9" s="51">
        <f t="shared" si="1"/>
        <v>92.60600280761719</v>
      </c>
      <c r="V9" s="7"/>
      <c r="W9" s="27">
        <f t="shared" si="2"/>
        <v>-75.773193359375</v>
      </c>
      <c r="X9" s="27">
        <f t="shared" si="3"/>
        <v>595.78369140625</v>
      </c>
      <c r="Y9" s="27">
        <f t="shared" si="4"/>
        <v>-75.773193359375</v>
      </c>
      <c r="Z9" s="27">
        <f t="shared" si="5"/>
        <v>595.78369140625</v>
      </c>
      <c r="AA9" s="32">
        <f t="shared" si="6"/>
        <v>0.25072961053143983</v>
      </c>
      <c r="AB9" s="33">
        <f t="shared" si="7"/>
        <v>0.4190973687759866</v>
      </c>
      <c r="AC9" s="33">
        <v>0.5</v>
      </c>
      <c r="AD9" s="33">
        <f t="shared" si="8"/>
        <v>0.5730152212330184</v>
      </c>
      <c r="AE9" s="33">
        <f t="shared" si="9"/>
        <v>1</v>
      </c>
      <c r="AF9" s="33">
        <f t="shared" si="10"/>
        <v>-999</v>
      </c>
      <c r="AG9" s="33">
        <f t="shared" si="11"/>
        <v>0.5975864488693612</v>
      </c>
      <c r="AH9" s="33">
        <f t="shared" si="12"/>
        <v>-999</v>
      </c>
      <c r="AI9" s="34">
        <f t="shared" si="13"/>
        <v>0.7763945129820317</v>
      </c>
      <c r="AJ9" s="4">
        <v>4.854042143202755</v>
      </c>
      <c r="AK9" s="32">
        <f t="shared" si="14"/>
        <v>-999</v>
      </c>
      <c r="AL9" s="34">
        <f t="shared" si="15"/>
        <v>-999</v>
      </c>
      <c r="AQ9" s="103">
        <v>4</v>
      </c>
      <c r="AR9" s="103">
        <v>1.0899</v>
      </c>
      <c r="AS9" s="103">
        <v>10.2416</v>
      </c>
      <c r="AY9" s="103" t="s">
        <v>90</v>
      </c>
      <c r="AZ9" s="103" t="s">
        <v>388</v>
      </c>
      <c r="BA9" s="103" t="s">
        <v>326</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70.1417465209961</v>
      </c>
      <c r="K10" s="38">
        <v>85.9800033569336</v>
      </c>
      <c r="L10" s="38">
        <v>119.20110321044922</v>
      </c>
      <c r="M10" s="38">
        <v>362.23681640625</v>
      </c>
      <c r="N10" s="80">
        <f>VLOOKUP('Hide - Control'!B$3,'All practice data'!A:CA,A10+29,FALSE)</f>
        <v>103.53630018386619</v>
      </c>
      <c r="O10" s="80">
        <f>VLOOKUP('Hide - Control'!C$3,'All practice data'!A:CA,A10+29,FALSE)</f>
        <v>234.12259778895606</v>
      </c>
      <c r="P10" s="38">
        <f>VLOOKUP('Hide - Control'!$B$4,'All practice data'!B:BC,A10+2,FALSE)</f>
        <v>290</v>
      </c>
      <c r="Q10" s="38">
        <f>VLOOKUP('Hide - Control'!$B$4,'All practice data'!B:BC,3,FALSE)</f>
        <v>280095</v>
      </c>
      <c r="R10" s="38">
        <f>100000*(P10*(1-1/(9*P10)-1.96/(3*SQRT(P10)))^3)/Q10</f>
        <v>91.9610973731885</v>
      </c>
      <c r="S10" s="38">
        <f>100000*((P10+1)*(1-1/(9*(P10+1))+1.96/(3*SQRT(P10+1)))^3)/Q10</f>
        <v>116.1651416689316</v>
      </c>
      <c r="T10" s="53">
        <f t="shared" si="16"/>
        <v>362.23681640625</v>
      </c>
      <c r="U10" s="51">
        <f t="shared" si="1"/>
        <v>44.173431396484375</v>
      </c>
      <c r="V10" s="7"/>
      <c r="W10" s="27">
        <f t="shared" si="2"/>
        <v>-190.2768096923828</v>
      </c>
      <c r="X10" s="27">
        <f t="shared" si="3"/>
        <v>362.23681640625</v>
      </c>
      <c r="Y10" s="27">
        <f t="shared" si="4"/>
        <v>-190.2768096923828</v>
      </c>
      <c r="Z10" s="27">
        <f t="shared" si="5"/>
        <v>362.23681640625</v>
      </c>
      <c r="AA10" s="32">
        <f t="shared" si="6"/>
        <v>0.42433386257701805</v>
      </c>
      <c r="AB10" s="33">
        <f t="shared" si="7"/>
        <v>0.47133417876447065</v>
      </c>
      <c r="AC10" s="33">
        <v>0.5</v>
      </c>
      <c r="AD10" s="33">
        <f t="shared" si="8"/>
        <v>0.5601272046231582</v>
      </c>
      <c r="AE10" s="33">
        <f t="shared" si="9"/>
        <v>1</v>
      </c>
      <c r="AF10" s="33">
        <f t="shared" si="10"/>
        <v>-999</v>
      </c>
      <c r="AG10" s="33">
        <f t="shared" si="11"/>
        <v>-999</v>
      </c>
      <c r="AH10" s="33">
        <f t="shared" si="12"/>
        <v>-999</v>
      </c>
      <c r="AI10" s="34">
        <f t="shared" si="13"/>
        <v>0.7681247799770581</v>
      </c>
      <c r="AJ10" s="4">
        <v>5.930037568584676</v>
      </c>
      <c r="AK10" s="32">
        <f t="shared" si="14"/>
        <v>-999</v>
      </c>
      <c r="AL10" s="34">
        <f t="shared" si="15"/>
        <v>-999</v>
      </c>
      <c r="AY10" s="103" t="s">
        <v>96</v>
      </c>
      <c r="AZ10" s="103" t="s">
        <v>97</v>
      </c>
      <c r="BA10" s="103" t="s">
        <v>505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26</v>
      </c>
      <c r="E11" s="38">
        <f>IF(LEFT(VLOOKUP($B11,'Indicator chart'!$D$1:$J$36,5,FALSE),1)=" "," ",VLOOKUP($B11,'Indicator chart'!$D$1:$J$36,5,FALSE))</f>
        <v>0.008</v>
      </c>
      <c r="F11" s="38">
        <f>IF(LEFT(VLOOKUP($B11,'Indicator chart'!$D$1:$J$36,6,FALSE),1)=" "," ",VLOOKUP($B11,'Indicator chart'!$D$1:$J$36,6,FALSE))</f>
        <v>0.005256421697281107</v>
      </c>
      <c r="G11" s="38">
        <f>IF(LEFT(VLOOKUP($B11,'Indicator chart'!$D$1:$J$36,7,FALSE),1)=" "," ",VLOOKUP($B11,'Indicator chart'!$D$1:$J$36,7,FALSE))</f>
        <v>0.011250883876825586</v>
      </c>
      <c r="H11" s="50">
        <f t="shared" si="0"/>
        <v>2</v>
      </c>
      <c r="I11" s="38">
        <v>0.004000000189989805</v>
      </c>
      <c r="J11" s="38">
        <v>0.00774999987334013</v>
      </c>
      <c r="K11" s="38">
        <v>0.008999999612569809</v>
      </c>
      <c r="L11" s="38">
        <v>0.010999999940395355</v>
      </c>
      <c r="M11" s="38">
        <v>0.014999999664723873</v>
      </c>
      <c r="N11" s="80">
        <f>VLOOKUP('Hide - Control'!B$3,'All practice data'!A:CA,A11+29,FALSE)</f>
        <v>0.009136185936914261</v>
      </c>
      <c r="O11" s="80">
        <f>VLOOKUP('Hide - Control'!C$3,'All practice data'!A:CA,A11+29,FALSE)</f>
        <v>0.015940726342527432</v>
      </c>
      <c r="P11" s="38">
        <f>VLOOKUP('Hide - Control'!$B$4,'All practice data'!B:BC,A11+2,FALSE)</f>
        <v>2559</v>
      </c>
      <c r="Q11" s="38">
        <f>VLOOKUP('Hide - Control'!$B$4,'All practice data'!B:BC,3,FALSE)</f>
        <v>280095</v>
      </c>
      <c r="R11" s="80">
        <f aca="true" t="shared" si="17" ref="R11:R16">+((2*P11+1.96^2-1.96*SQRT(1.96^2+4*P11*(1-P11/Q11)))/(2*(Q11+1.96^2)))</f>
        <v>0.008790491256852091</v>
      </c>
      <c r="S11" s="80">
        <f aca="true" t="shared" si="18" ref="S11:S16">+((2*P11+1.96^2+1.96*SQRT(1.96^2+4*P11*(1-P11/Q11)))/(2*(Q11+1.96^2)))</f>
        <v>0.009495345166971234</v>
      </c>
      <c r="T11" s="53">
        <f t="shared" si="16"/>
        <v>0.014999999664723873</v>
      </c>
      <c r="U11" s="51">
        <f t="shared" si="1"/>
        <v>0.004000000189989805</v>
      </c>
      <c r="V11" s="7"/>
      <c r="W11" s="27">
        <f t="shared" si="2"/>
        <v>0.0029999995604157448</v>
      </c>
      <c r="X11" s="27">
        <f t="shared" si="3"/>
        <v>0.014999999664723873</v>
      </c>
      <c r="Y11" s="27">
        <f t="shared" si="4"/>
        <v>0.0029999995604157448</v>
      </c>
      <c r="Z11" s="27">
        <f t="shared" si="5"/>
        <v>0.014999999664723873</v>
      </c>
      <c r="AA11" s="32">
        <f t="shared" si="6"/>
        <v>0.08333338507347592</v>
      </c>
      <c r="AB11" s="33">
        <f t="shared" si="7"/>
        <v>0.3958333559696457</v>
      </c>
      <c r="AC11" s="33">
        <v>0.5</v>
      </c>
      <c r="AD11" s="33">
        <f t="shared" si="8"/>
        <v>0.6666666925367379</v>
      </c>
      <c r="AE11" s="33">
        <f t="shared" si="9"/>
        <v>1</v>
      </c>
      <c r="AF11" s="33">
        <f t="shared" si="10"/>
        <v>-999</v>
      </c>
      <c r="AG11" s="33">
        <f t="shared" si="11"/>
        <v>0.41666669967687764</v>
      </c>
      <c r="AH11" s="33">
        <f t="shared" si="12"/>
        <v>-999</v>
      </c>
      <c r="AI11" s="34">
        <f t="shared" si="13"/>
        <v>1.0783938891355367</v>
      </c>
      <c r="AJ11" s="4">
        <v>7.0060329939666</v>
      </c>
      <c r="AK11" s="32">
        <f t="shared" si="14"/>
        <v>-999</v>
      </c>
      <c r="AL11" s="34">
        <f t="shared" si="15"/>
        <v>-999</v>
      </c>
      <c r="AY11" s="103" t="s">
        <v>214</v>
      </c>
      <c r="AZ11" s="103" t="s">
        <v>215</v>
      </c>
      <c r="BA11" s="103" t="s">
        <v>505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106</v>
      </c>
      <c r="E12" s="38">
        <f>IF(LEFT(VLOOKUP($B12,'Indicator chart'!$D$1:$J$36,5,FALSE),1)=" "," ",VLOOKUP($B12,'Indicator chart'!$D$1:$J$36,5,FALSE))</f>
        <v>0.524752</v>
      </c>
      <c r="F12" s="38">
        <f>IF(LEFT(VLOOKUP($B12,'Indicator chart'!$D$1:$J$36,6,FALSE),1)=" "," ",VLOOKUP($B12,'Indicator chart'!$D$1:$J$36,6,FALSE))</f>
        <v>0.4560666082035837</v>
      </c>
      <c r="G12" s="38">
        <f>IF(LEFT(VLOOKUP($B12,'Indicator chart'!$D$1:$J$36,7,FALSE),1)=" "," ",VLOOKUP($B12,'Indicator chart'!$D$1:$J$36,7,FALSE))</f>
        <v>0.5925144366386639</v>
      </c>
      <c r="H12" s="50">
        <f t="shared" si="0"/>
        <v>2</v>
      </c>
      <c r="I12" s="38">
        <v>0.4169740080833435</v>
      </c>
      <c r="J12" s="38">
        <v>0.5185419917106628</v>
      </c>
      <c r="K12" s="38">
        <v>0.5704295039176941</v>
      </c>
      <c r="L12" s="38">
        <v>0.6237017512321472</v>
      </c>
      <c r="M12" s="38">
        <v>0.6809920072555542</v>
      </c>
      <c r="N12" s="80">
        <f>VLOOKUP('Hide - Control'!B$3,'All practice data'!A:CA,A12+29,FALSE)</f>
        <v>0.5817869242048844</v>
      </c>
      <c r="O12" s="80">
        <f>VLOOKUP('Hide - Control'!C$3,'All practice data'!A:CA,A12+29,FALSE)</f>
        <v>0.7248631360507991</v>
      </c>
      <c r="P12" s="38">
        <f>VLOOKUP('Hide - Control'!$B$4,'All practice data'!B:BC,A12+2,FALSE)</f>
        <v>11506</v>
      </c>
      <c r="Q12" s="38">
        <f>VLOOKUP('Hide - Control'!$B$4,'All practice data'!B:BJ,57,FALSE)</f>
        <v>19777</v>
      </c>
      <c r="R12" s="38">
        <f t="shared" si="17"/>
        <v>0.574896943936803</v>
      </c>
      <c r="S12" s="38">
        <f t="shared" si="18"/>
        <v>0.5886451371038742</v>
      </c>
      <c r="T12" s="53">
        <f t="shared" si="16"/>
        <v>0.6809920072555542</v>
      </c>
      <c r="U12" s="51">
        <f t="shared" si="1"/>
        <v>0.4169740080833435</v>
      </c>
      <c r="V12" s="7"/>
      <c r="W12" s="27">
        <f t="shared" si="2"/>
        <v>0.4169740080833435</v>
      </c>
      <c r="X12" s="27">
        <f t="shared" si="3"/>
        <v>0.7238849997520447</v>
      </c>
      <c r="Y12" s="27">
        <f t="shared" si="4"/>
        <v>0.4169740080833435</v>
      </c>
      <c r="Z12" s="27">
        <f t="shared" si="5"/>
        <v>0.7238849997520447</v>
      </c>
      <c r="AA12" s="32">
        <f t="shared" si="6"/>
        <v>0</v>
      </c>
      <c r="AB12" s="33">
        <f t="shared" si="7"/>
        <v>0.330936285712954</v>
      </c>
      <c r="AC12" s="33">
        <v>0.5</v>
      </c>
      <c r="AD12" s="33">
        <f t="shared" si="8"/>
        <v>0.6735755602131008</v>
      </c>
      <c r="AE12" s="33">
        <f t="shared" si="9"/>
        <v>0.8602428923666838</v>
      </c>
      <c r="AF12" s="33">
        <f t="shared" si="10"/>
        <v>-999</v>
      </c>
      <c r="AG12" s="33">
        <f t="shared" si="11"/>
        <v>0.351170192148083</v>
      </c>
      <c r="AH12" s="33">
        <f t="shared" si="12"/>
        <v>-999</v>
      </c>
      <c r="AI12" s="34">
        <f t="shared" si="13"/>
        <v>1.0031870357377435</v>
      </c>
      <c r="AJ12" s="4">
        <v>8.082028419348523</v>
      </c>
      <c r="AK12" s="32">
        <f t="shared" si="14"/>
        <v>-999</v>
      </c>
      <c r="AL12" s="34">
        <f t="shared" si="15"/>
        <v>-999</v>
      </c>
      <c r="AY12" s="103" t="s">
        <v>261</v>
      </c>
      <c r="AZ12" s="103" t="s">
        <v>441</v>
      </c>
      <c r="BA12" s="103" t="s">
        <v>326</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0.29285699129104614</v>
      </c>
      <c r="K13" s="38">
        <v>0.4285709857940674</v>
      </c>
      <c r="L13" s="38">
        <v>0.537197470664978</v>
      </c>
      <c r="M13" s="38">
        <v>0.7692310214042664</v>
      </c>
      <c r="N13" s="80">
        <f>VLOOKUP('Hide - Control'!B$3,'All practice data'!A:CA,A13+29,FALSE)</f>
        <v>0.5503830288744844</v>
      </c>
      <c r="O13" s="80">
        <f>VLOOKUP('Hide - Control'!C$3,'All practice data'!A:CA,A13+29,FALSE)</f>
        <v>0.7467412166569077</v>
      </c>
      <c r="P13" s="38">
        <f>VLOOKUP('Hide - Control'!$B$4,'All practice data'!B:BC,A13+2,FALSE)</f>
        <v>1868</v>
      </c>
      <c r="Q13" s="38">
        <f>VLOOKUP('Hide - Control'!$B$4,'All practice data'!B:BJ,58,FALSE)</f>
        <v>3394</v>
      </c>
      <c r="R13" s="38">
        <f t="shared" si="17"/>
        <v>0.5335993418534632</v>
      </c>
      <c r="S13" s="38">
        <f t="shared" si="18"/>
        <v>0.567052789782102</v>
      </c>
      <c r="T13" s="53">
        <f t="shared" si="16"/>
        <v>0.7692310214042664</v>
      </c>
      <c r="U13" s="51">
        <f t="shared" si="1"/>
        <v>0</v>
      </c>
      <c r="V13" s="7"/>
      <c r="W13" s="27">
        <f t="shared" si="2"/>
        <v>0</v>
      </c>
      <c r="X13" s="27">
        <f t="shared" si="3"/>
        <v>0.8571419715881348</v>
      </c>
      <c r="Y13" s="27">
        <f t="shared" si="4"/>
        <v>0</v>
      </c>
      <c r="Z13" s="27">
        <f t="shared" si="5"/>
        <v>0.8571419715881348</v>
      </c>
      <c r="AA13" s="32">
        <f t="shared" si="6"/>
        <v>0</v>
      </c>
      <c r="AB13" s="33">
        <f t="shared" si="7"/>
        <v>0.3416668428316877</v>
      </c>
      <c r="AC13" s="33">
        <v>0.5</v>
      </c>
      <c r="AD13" s="33">
        <f t="shared" si="8"/>
        <v>0.6267310299478681</v>
      </c>
      <c r="AE13" s="33">
        <f t="shared" si="9"/>
        <v>0.8974371188229358</v>
      </c>
      <c r="AF13" s="33">
        <f t="shared" si="10"/>
        <v>-999</v>
      </c>
      <c r="AG13" s="33">
        <f t="shared" si="11"/>
        <v>-999</v>
      </c>
      <c r="AH13" s="33">
        <f t="shared" si="12"/>
        <v>-999</v>
      </c>
      <c r="AI13" s="34">
        <f t="shared" si="13"/>
        <v>0.871198986176498</v>
      </c>
      <c r="AJ13" s="4">
        <v>9.158023844730446</v>
      </c>
      <c r="AK13" s="32">
        <f t="shared" si="14"/>
        <v>-999</v>
      </c>
      <c r="AL13" s="34">
        <f t="shared" si="15"/>
        <v>-999</v>
      </c>
      <c r="AY13" s="103" t="s">
        <v>260</v>
      </c>
      <c r="AZ13" s="103" t="s">
        <v>440</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595</v>
      </c>
      <c r="E14" s="38">
        <f>IF(LEFT(VLOOKUP($B14,'Indicator chart'!$D$1:$J$36,5,FALSE),1)=" "," ",VLOOKUP($B14,'Indicator chart'!$D$1:$J$36,5,FALSE))</f>
        <v>0.581623</v>
      </c>
      <c r="F14" s="38">
        <f>IF(LEFT(VLOOKUP($B14,'Indicator chart'!$D$1:$J$36,6,FALSE),1)=" "," ",VLOOKUP($B14,'Indicator chart'!$D$1:$J$36,6,FALSE))</f>
        <v>0.5511434221078717</v>
      </c>
      <c r="G14" s="38">
        <f>IF(LEFT(VLOOKUP($B14,'Indicator chart'!$D$1:$J$36,7,FALSE),1)=" "," ",VLOOKUP($B14,'Indicator chart'!$D$1:$J$36,7,FALSE))</f>
        <v>0.6114912043038359</v>
      </c>
      <c r="H14" s="50">
        <f t="shared" si="0"/>
        <v>1</v>
      </c>
      <c r="I14" s="38">
        <v>0.4375</v>
      </c>
      <c r="J14" s="38">
        <v>0.644307017326355</v>
      </c>
      <c r="K14" s="38">
        <v>0.6817489862442017</v>
      </c>
      <c r="L14" s="38">
        <v>0.7145952582359314</v>
      </c>
      <c r="M14" s="38">
        <v>0.7794119715690613</v>
      </c>
      <c r="N14" s="80">
        <f>VLOOKUP('Hide - Control'!B$3,'All practice data'!A:CA,A14+29,FALSE)</f>
        <v>0.6798675821481118</v>
      </c>
      <c r="O14" s="80">
        <f>VLOOKUP('Hide - Control'!C$3,'All practice data'!A:CA,A14+29,FALSE)</f>
        <v>0.7559681673907895</v>
      </c>
      <c r="P14" s="38">
        <f>VLOOKUP('Hide - Control'!$B$4,'All practice data'!B:BC,A14+2,FALSE)</f>
        <v>55450</v>
      </c>
      <c r="Q14" s="38">
        <f>VLOOKUP('Hide - Control'!$B$4,'All practice data'!B:BJ,59,FALSE)</f>
        <v>81560</v>
      </c>
      <c r="R14" s="38">
        <f t="shared" si="17"/>
        <v>0.6766573728134634</v>
      </c>
      <c r="S14" s="38">
        <f t="shared" si="18"/>
        <v>0.6830608482076514</v>
      </c>
      <c r="T14" s="53">
        <f t="shared" si="16"/>
        <v>0.7794119715690613</v>
      </c>
      <c r="U14" s="51">
        <f t="shared" si="1"/>
        <v>0.4375</v>
      </c>
      <c r="V14" s="7"/>
      <c r="W14" s="27">
        <f t="shared" si="2"/>
        <v>0.4375</v>
      </c>
      <c r="X14" s="27">
        <f t="shared" si="3"/>
        <v>0.9259979724884033</v>
      </c>
      <c r="Y14" s="27">
        <f t="shared" si="4"/>
        <v>0.4375</v>
      </c>
      <c r="Z14" s="27">
        <f t="shared" si="5"/>
        <v>0.9259979724884033</v>
      </c>
      <c r="AA14" s="32">
        <f t="shared" si="6"/>
        <v>0</v>
      </c>
      <c r="AB14" s="33">
        <f t="shared" si="7"/>
        <v>0.42335286730645433</v>
      </c>
      <c r="AC14" s="33">
        <v>0.5</v>
      </c>
      <c r="AD14" s="33">
        <f t="shared" si="8"/>
        <v>0.5672393210240182</v>
      </c>
      <c r="AE14" s="33">
        <f t="shared" si="9"/>
        <v>0.6999250576770369</v>
      </c>
      <c r="AF14" s="33">
        <f t="shared" si="10"/>
        <v>-999</v>
      </c>
      <c r="AG14" s="33">
        <f t="shared" si="11"/>
        <v>-999</v>
      </c>
      <c r="AH14" s="33">
        <f t="shared" si="12"/>
        <v>0.2950329543147109</v>
      </c>
      <c r="AI14" s="34">
        <f t="shared" si="13"/>
        <v>0.6519334476835517</v>
      </c>
      <c r="AJ14" s="4">
        <v>10.234019270112368</v>
      </c>
      <c r="AK14" s="32">
        <f t="shared" si="14"/>
        <v>0.2950329543147109</v>
      </c>
      <c r="AL14" s="34">
        <f t="shared" si="15"/>
        <v>-999</v>
      </c>
      <c r="AY14" s="103" t="s">
        <v>53</v>
      </c>
      <c r="AZ14" s="103" t="s">
        <v>448</v>
      </c>
      <c r="BA14" s="103" t="s">
        <v>505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47</v>
      </c>
      <c r="E15" s="38">
        <f>IF(LEFT(VLOOKUP($B15,'Indicator chart'!$D$1:$J$36,5,FALSE),1)=" "," ",VLOOKUP($B15,'Indicator chart'!$D$1:$J$36,5,FALSE))</f>
        <v>0.281437</v>
      </c>
      <c r="F15" s="38">
        <f>IF(LEFT(VLOOKUP($B15,'Indicator chart'!$D$1:$J$36,6,FALSE),1)=" "," ",VLOOKUP($B15,'Indicator chart'!$D$1:$J$36,6,FALSE))</f>
        <v>0.21873841621514312</v>
      </c>
      <c r="G15" s="38">
        <f>IF(LEFT(VLOOKUP($B15,'Indicator chart'!$D$1:$J$36,7,FALSE),1)=" "," ",VLOOKUP($B15,'Indicator chart'!$D$1:$J$36,7,FALSE))</f>
        <v>0.35396518759095563</v>
      </c>
      <c r="H15" s="50">
        <f t="shared" si="0"/>
        <v>2</v>
      </c>
      <c r="I15" s="38">
        <v>0.17808200418949127</v>
      </c>
      <c r="J15" s="38">
        <v>0.3069777488708496</v>
      </c>
      <c r="K15" s="38">
        <v>0.3365735113620758</v>
      </c>
      <c r="L15" s="38">
        <v>0.37386348843574524</v>
      </c>
      <c r="M15" s="38">
        <v>0.444148987531662</v>
      </c>
      <c r="N15" s="80">
        <f>VLOOKUP('Hide - Control'!B$3,'All practice data'!A:CA,A15+29,FALSE)</f>
        <v>0.34930458970792766</v>
      </c>
      <c r="O15" s="80">
        <f>VLOOKUP('Hide - Control'!C$3,'All practice data'!A:CA,A15+29,FALSE)</f>
        <v>0.5147293797466616</v>
      </c>
      <c r="P15" s="38">
        <f>VLOOKUP('Hide - Control'!$B$4,'All practice data'!B:BC,A15+2,FALSE)</f>
        <v>5023</v>
      </c>
      <c r="Q15" s="38">
        <f>VLOOKUP('Hide - Control'!$B$4,'All practice data'!B:BJ,60,FALSE)</f>
        <v>14380</v>
      </c>
      <c r="R15" s="38">
        <f t="shared" si="17"/>
        <v>0.3415534381950198</v>
      </c>
      <c r="S15" s="38">
        <f t="shared" si="18"/>
        <v>0.3571362359181879</v>
      </c>
      <c r="T15" s="53">
        <f t="shared" si="16"/>
        <v>0.444148987531662</v>
      </c>
      <c r="U15" s="51">
        <f t="shared" si="1"/>
        <v>0.17808200418949127</v>
      </c>
      <c r="V15" s="7"/>
      <c r="W15" s="27">
        <f t="shared" si="2"/>
        <v>0.17808200418949127</v>
      </c>
      <c r="X15" s="27">
        <f t="shared" si="3"/>
        <v>0.49506501853466034</v>
      </c>
      <c r="Y15" s="27">
        <f t="shared" si="4"/>
        <v>0.17808200418949127</v>
      </c>
      <c r="Z15" s="27">
        <f t="shared" si="5"/>
        <v>0.49506501853466034</v>
      </c>
      <c r="AA15" s="32">
        <f t="shared" si="6"/>
        <v>0</v>
      </c>
      <c r="AB15" s="33">
        <f t="shared" si="7"/>
        <v>0.406632970374246</v>
      </c>
      <c r="AC15" s="33">
        <v>0.5</v>
      </c>
      <c r="AD15" s="33">
        <f t="shared" si="8"/>
        <v>0.6176403005400902</v>
      </c>
      <c r="AE15" s="33">
        <f t="shared" si="9"/>
        <v>0.8393729988713058</v>
      </c>
      <c r="AF15" s="33">
        <f t="shared" si="10"/>
        <v>-999</v>
      </c>
      <c r="AG15" s="33">
        <f t="shared" si="11"/>
        <v>0.326058467277882</v>
      </c>
      <c r="AH15" s="33">
        <f t="shared" si="12"/>
        <v>-999</v>
      </c>
      <c r="AI15" s="34">
        <f t="shared" si="13"/>
        <v>1.0620360092562824</v>
      </c>
      <c r="AJ15" s="4">
        <v>11.310014695494289</v>
      </c>
      <c r="AK15" s="32">
        <f t="shared" si="14"/>
        <v>-999</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v>
      </c>
      <c r="E16" s="38">
        <f>IF(LEFT(VLOOKUP($B16,'Indicator chart'!$D$1:$J$36,5,FALSE),1)=" "," ",VLOOKUP($B16,'Indicator chart'!$D$1:$J$36,5,FALSE))</f>
        <v>0.304878</v>
      </c>
      <c r="F16" s="38">
        <f>IF(LEFT(VLOOKUP($B16,'Indicator chart'!$D$1:$J$36,6,FALSE),1)=" "," ",VLOOKUP($B16,'Indicator chart'!$D$1:$J$36,6,FALSE))</f>
        <v>0.21583254094468945</v>
      </c>
      <c r="G16" s="38">
        <f>IF(LEFT(VLOOKUP($B16,'Indicator chart'!$D$1:$J$36,7,FALSE),1)=" "," ",VLOOKUP($B16,'Indicator chart'!$D$1:$J$36,7,FALSE))</f>
        <v>0.4113878277343659</v>
      </c>
      <c r="H16" s="50">
        <f t="shared" si="0"/>
        <v>2</v>
      </c>
      <c r="I16" s="38">
        <v>0.23749999701976776</v>
      </c>
      <c r="J16" s="38">
        <v>0.32609376311302185</v>
      </c>
      <c r="K16" s="38">
        <v>0.35714301466941833</v>
      </c>
      <c r="L16" s="38">
        <v>0.40939274430274963</v>
      </c>
      <c r="M16" s="38">
        <v>0.4850139915943146</v>
      </c>
      <c r="N16" s="80">
        <f>VLOOKUP('Hide - Control'!B$3,'All practice data'!A:CA,A16+29,FALSE)</f>
        <v>0.373994070309191</v>
      </c>
      <c r="O16" s="80">
        <f>VLOOKUP('Hide - Control'!C$3,'All practice data'!A:CA,A16+29,FALSE)</f>
        <v>0.5752927626212945</v>
      </c>
      <c r="P16" s="38">
        <f>VLOOKUP('Hide - Control'!$B$4,'All practice data'!B:BC,A16+2,FALSE)</f>
        <v>2649</v>
      </c>
      <c r="Q16" s="38">
        <f>VLOOKUP('Hide - Control'!$B$4,'All practice data'!B:BJ,61,FALSE)</f>
        <v>7083</v>
      </c>
      <c r="R16" s="38">
        <f t="shared" si="17"/>
        <v>0.3627966466845253</v>
      </c>
      <c r="S16" s="38">
        <f t="shared" si="18"/>
        <v>0.3853281032746102</v>
      </c>
      <c r="T16" s="53">
        <f aca="true" t="shared" si="19" ref="T16:T31">IF($C16=1,M16,I16)</f>
        <v>0.4850139915943146</v>
      </c>
      <c r="U16" s="51">
        <f aca="true" t="shared" si="20" ref="U16:U31">IF($C16=1,I16,M16)</f>
        <v>0.23749999701976776</v>
      </c>
      <c r="V16" s="7"/>
      <c r="W16" s="27">
        <f t="shared" si="2"/>
        <v>0.2292720377445221</v>
      </c>
      <c r="X16" s="27">
        <f t="shared" si="3"/>
        <v>0.4850139915943146</v>
      </c>
      <c r="Y16" s="27">
        <f t="shared" si="4"/>
        <v>0.2292720377445221</v>
      </c>
      <c r="Z16" s="27">
        <f t="shared" si="5"/>
        <v>0.4850139915943146</v>
      </c>
      <c r="AA16" s="32">
        <f t="shared" si="6"/>
        <v>0.03217289596558833</v>
      </c>
      <c r="AB16" s="33">
        <f t="shared" si="7"/>
        <v>0.3785914821991508</v>
      </c>
      <c r="AC16" s="33">
        <v>0.5</v>
      </c>
      <c r="AD16" s="33">
        <f t="shared" si="8"/>
        <v>0.7043064458013004</v>
      </c>
      <c r="AE16" s="33">
        <f t="shared" si="9"/>
        <v>1</v>
      </c>
      <c r="AF16" s="33">
        <f t="shared" si="10"/>
        <v>-999</v>
      </c>
      <c r="AG16" s="33">
        <f t="shared" si="11"/>
        <v>0.2956337867813597</v>
      </c>
      <c r="AH16" s="33">
        <f t="shared" si="12"/>
        <v>-999</v>
      </c>
      <c r="AI16" s="34">
        <f t="shared" si="13"/>
        <v>1.3530072781097318</v>
      </c>
      <c r="AJ16" s="4">
        <v>12.386010120876215</v>
      </c>
      <c r="AK16" s="32">
        <f t="shared" si="14"/>
        <v>-999</v>
      </c>
      <c r="AL16" s="34">
        <f t="shared" si="15"/>
        <v>-999</v>
      </c>
      <c r="AY16" s="103" t="s">
        <v>323</v>
      </c>
      <c r="AZ16" s="103" t="s">
        <v>345</v>
      </c>
      <c r="BA16" s="103" t="s">
        <v>505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50</v>
      </c>
      <c r="E17" s="38">
        <f>IF(LEFT(VLOOKUP($B17,'Indicator chart'!$D$1:$J$36,5,FALSE),1)=" "," ",VLOOKUP($B17,'Indicator chart'!$D$1:$J$36,5,FALSE))</f>
        <v>1479.727730097662</v>
      </c>
      <c r="F17" s="38">
        <f>IF(LEFT(VLOOKUP($B17,'Indicator chart'!$D$1:$J$36,6,FALSE),1)=" "," ",VLOOKUP($B17,'Indicator chart'!$D$1:$J$36,6,FALSE))</f>
        <v>1098.191525689099</v>
      </c>
      <c r="G17" s="38">
        <f>IF(LEFT(VLOOKUP($B17,'Indicator chart'!$D$1:$J$36,7,FALSE),1)=" "," ",VLOOKUP($B17,'Indicator chart'!$D$1:$J$36,7,FALSE))</f>
        <v>1950.886708675812</v>
      </c>
      <c r="H17" s="50">
        <f t="shared" si="0"/>
        <v>2</v>
      </c>
      <c r="I17" s="38">
        <v>128.76226806640625</v>
      </c>
      <c r="J17" s="38">
        <v>508.33770751953125</v>
      </c>
      <c r="K17" s="38">
        <v>942.2385864257812</v>
      </c>
      <c r="L17" s="38">
        <v>1474.69091796875</v>
      </c>
      <c r="M17" s="38">
        <v>2834.149658203125</v>
      </c>
      <c r="N17" s="80">
        <f>VLOOKUP('Hide - Control'!B$3,'All practice data'!A:CA,A17+29,FALSE)</f>
        <v>1162.462735857477</v>
      </c>
      <c r="O17" s="80">
        <f>VLOOKUP('Hide - Control'!C$3,'All practice data'!A:CA,A17+29,FALSE)</f>
        <v>1812.1669120472948</v>
      </c>
      <c r="P17" s="38">
        <f>VLOOKUP('Hide - Control'!$B$4,'All practice data'!B:BC,A17+2,FALSE)</f>
        <v>3256</v>
      </c>
      <c r="Q17" s="38">
        <f>VLOOKUP('Hide - Control'!$B$4,'All practice data'!B:BC,3,FALSE)</f>
        <v>280095</v>
      </c>
      <c r="R17" s="38">
        <f>100000*(P17*(1-1/(9*P17)-1.96/(3*SQRT(P17)))^3)/Q17</f>
        <v>1122.872463737951</v>
      </c>
      <c r="S17" s="38">
        <f>100000*((P17+1)*(1-1/(9*(P17+1))+1.96/(3*SQRT(P17+1)))^3)/Q17</f>
        <v>1203.092479926643</v>
      </c>
      <c r="T17" s="53">
        <f t="shared" si="19"/>
        <v>2834.149658203125</v>
      </c>
      <c r="U17" s="51">
        <f t="shared" si="20"/>
        <v>128.76226806640625</v>
      </c>
      <c r="V17" s="7"/>
      <c r="W17" s="27">
        <f t="shared" si="2"/>
        <v>-949.6724853515625</v>
      </c>
      <c r="X17" s="27">
        <f t="shared" si="3"/>
        <v>2834.149658203125</v>
      </c>
      <c r="Y17" s="27">
        <f t="shared" si="4"/>
        <v>-949.6724853515625</v>
      </c>
      <c r="Z17" s="27">
        <f t="shared" si="5"/>
        <v>2834.149658203125</v>
      </c>
      <c r="AA17" s="32">
        <f t="shared" si="6"/>
        <v>0.28501200968310847</v>
      </c>
      <c r="AB17" s="33">
        <f t="shared" si="7"/>
        <v>0.38532735883335556</v>
      </c>
      <c r="AC17" s="33">
        <v>0.5</v>
      </c>
      <c r="AD17" s="33">
        <f t="shared" si="8"/>
        <v>0.6407181181731655</v>
      </c>
      <c r="AE17" s="33">
        <f t="shared" si="9"/>
        <v>1</v>
      </c>
      <c r="AF17" s="33">
        <f t="shared" si="10"/>
        <v>-999</v>
      </c>
      <c r="AG17" s="33">
        <f t="shared" si="11"/>
        <v>0.6420492621693207</v>
      </c>
      <c r="AH17" s="33">
        <f t="shared" si="12"/>
        <v>-999</v>
      </c>
      <c r="AI17" s="34">
        <f t="shared" si="13"/>
        <v>0.7299072981279889</v>
      </c>
      <c r="AJ17" s="4">
        <v>13.462005546258133</v>
      </c>
      <c r="AK17" s="32">
        <f t="shared" si="14"/>
        <v>-999</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50</v>
      </c>
      <c r="E18" s="80">
        <f>IF(LEFT(VLOOKUP($B18,'Indicator chart'!$D$1:$J$36,5,FALSE),1)=" "," ",VLOOKUP($B18,'Indicator chart'!$D$1:$J$36,5,FALSE))</f>
        <v>1.082408752</v>
      </c>
      <c r="F18" s="81">
        <f>IF(LEFT(VLOOKUP($B18,'Indicator chart'!$D$1:$J$36,6,FALSE),1)=" "," ",VLOOKUP($B18,'Indicator chart'!$D$1:$J$36,6,FALSE))</f>
        <v>0.8033846283</v>
      </c>
      <c r="G18" s="38">
        <f>IF(LEFT(VLOOKUP($B18,'Indicator chart'!$D$1:$J$36,7,FALSE),1)=" "," ",VLOOKUP($B18,'Indicator chart'!$D$1:$J$36,7,FALSE))</f>
        <v>1.427021027</v>
      </c>
      <c r="H18" s="50">
        <f>IF(LEFT(F18,1)=" ",4,IF(AND(ABS(N18-E18)&gt;SQRT((E18-G18)^2+(N18-R18)^2),E18&lt;N18),1,IF(AND(ABS(N18-E18)&gt;SQRT((E18-F18)^2+(N18-S18)^2),E18&gt;N18),3,2)))</f>
        <v>2</v>
      </c>
      <c r="I18" s="38">
        <v>0.09589454531669617</v>
      </c>
      <c r="J18" s="38"/>
      <c r="K18" s="38">
        <v>1</v>
      </c>
      <c r="L18" s="38"/>
      <c r="M18" s="38">
        <v>2.02553129196167</v>
      </c>
      <c r="N18" s="80">
        <v>1</v>
      </c>
      <c r="O18" s="80">
        <f>VLOOKUP('Hide - Control'!C$3,'All practice data'!A:CA,A18+29,FALSE)</f>
        <v>1</v>
      </c>
      <c r="P18" s="38">
        <f>VLOOKUP('Hide - Control'!$B$4,'All practice data'!B:BC,A18+2,FALSE)</f>
        <v>3256</v>
      </c>
      <c r="Q18" s="38">
        <f>VLOOKUP('Hide - Control'!$B$4,'All practice data'!B:BC,14,FALSE)</f>
        <v>3256</v>
      </c>
      <c r="R18" s="81">
        <v>1</v>
      </c>
      <c r="S18" s="38">
        <v>1</v>
      </c>
      <c r="T18" s="53">
        <f t="shared" si="19"/>
        <v>2.02553129196167</v>
      </c>
      <c r="U18" s="51">
        <f t="shared" si="20"/>
        <v>0.09589454531669617</v>
      </c>
      <c r="V18" s="7"/>
      <c r="W18" s="27">
        <f>IF((K18-I18)&gt;(M18-K18),I18,(K18-(M18-K18)))</f>
        <v>-0.025531291961669922</v>
      </c>
      <c r="X18" s="27">
        <f t="shared" si="3"/>
        <v>2.02553129196167</v>
      </c>
      <c r="Y18" s="27">
        <f t="shared" si="4"/>
        <v>-0.025531291961669922</v>
      </c>
      <c r="Z18" s="27">
        <f t="shared" si="5"/>
        <v>2.02553129196167</v>
      </c>
      <c r="AA18" s="32" t="s">
        <v>326</v>
      </c>
      <c r="AB18" s="33" t="s">
        <v>326</v>
      </c>
      <c r="AC18" s="33">
        <v>0.5</v>
      </c>
      <c r="AD18" s="33" t="s">
        <v>326</v>
      </c>
      <c r="AE18" s="33" t="s">
        <v>326</v>
      </c>
      <c r="AF18" s="33">
        <f t="shared" si="10"/>
        <v>-999</v>
      </c>
      <c r="AG18" s="33">
        <f t="shared" si="11"/>
        <v>0.5401785653182586</v>
      </c>
      <c r="AH18" s="33">
        <f t="shared" si="12"/>
        <v>-999</v>
      </c>
      <c r="AI18" s="34">
        <v>0.5</v>
      </c>
      <c r="AJ18" s="4">
        <v>14.538000971640056</v>
      </c>
      <c r="AK18" s="32">
        <f t="shared" si="14"/>
        <v>-999</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0.06691784411668777</v>
      </c>
      <c r="K19" s="38">
        <v>0.09286833554506302</v>
      </c>
      <c r="L19" s="38">
        <v>0.16755318641662598</v>
      </c>
      <c r="M19" s="38">
        <v>0.31578946113586426</v>
      </c>
      <c r="N19" s="80">
        <f>VLOOKUP('Hide - Control'!B$3,'All practice data'!A:CA,A19+29,FALSE)</f>
        <v>0.09398034398034398</v>
      </c>
      <c r="O19" s="80">
        <f>VLOOKUP('Hide - Control'!C$3,'All practice data'!A:CA,A19+29,FALSE)</f>
        <v>0.10919341638628717</v>
      </c>
      <c r="P19" s="38">
        <f>VLOOKUP('Hide - Control'!$B$4,'All practice data'!B:BC,A19+2,FALSE)</f>
        <v>306</v>
      </c>
      <c r="Q19" s="38">
        <f>VLOOKUP('Hide - Control'!$B$4,'All practice data'!B:BC,15,FALSE)</f>
        <v>3256</v>
      </c>
      <c r="R19" s="38">
        <f>+((2*P19+1.96^2-1.96*SQRT(1.96^2+4*P19*(1-P19/Q19)))/(2*(Q19+1.96^2)))</f>
        <v>0.08443022943657795</v>
      </c>
      <c r="S19" s="38">
        <f>+((2*P19+1.96^2+1.96*SQRT(1.96^2+4*P19*(1-P19/Q19)))/(2*(Q19+1.96^2)))</f>
        <v>0.10448741613245827</v>
      </c>
      <c r="T19" s="53">
        <f t="shared" si="19"/>
        <v>0.31578946113586426</v>
      </c>
      <c r="U19" s="51">
        <f t="shared" si="20"/>
        <v>0.02070442959666252</v>
      </c>
      <c r="V19" s="7"/>
      <c r="W19" s="27">
        <f t="shared" si="2"/>
        <v>-0.13005279004573822</v>
      </c>
      <c r="X19" s="27">
        <f t="shared" si="3"/>
        <v>0.31578946113586426</v>
      </c>
      <c r="Y19" s="27">
        <f t="shared" si="4"/>
        <v>-0.13005279004573822</v>
      </c>
      <c r="Z19" s="27">
        <f t="shared" si="5"/>
        <v>0.31578946113586426</v>
      </c>
      <c r="AA19" s="32">
        <f t="shared" si="6"/>
        <v>0.3381402710103256</v>
      </c>
      <c r="AB19" s="33">
        <f t="shared" si="7"/>
        <v>0.44179445451928473</v>
      </c>
      <c r="AC19" s="33">
        <v>0.5</v>
      </c>
      <c r="AD19" s="33">
        <f t="shared" si="8"/>
        <v>0.667514071790253</v>
      </c>
      <c r="AE19" s="33">
        <f t="shared" si="9"/>
        <v>1</v>
      </c>
      <c r="AF19" s="33">
        <f t="shared" si="10"/>
        <v>-999</v>
      </c>
      <c r="AG19" s="33">
        <f t="shared" si="11"/>
        <v>-999</v>
      </c>
      <c r="AH19" s="33">
        <f t="shared" si="12"/>
        <v>-999</v>
      </c>
      <c r="AI19" s="34">
        <f t="shared" si="13"/>
        <v>0.5366162713335452</v>
      </c>
      <c r="AJ19" s="4">
        <v>15.61399639702198</v>
      </c>
      <c r="AK19" s="32">
        <f t="shared" si="14"/>
        <v>-999</v>
      </c>
      <c r="AL19" s="34">
        <f t="shared" si="15"/>
        <v>-999</v>
      </c>
      <c r="AY19" s="103" t="s">
        <v>270</v>
      </c>
      <c r="AZ19" s="103" t="s">
        <v>444</v>
      </c>
      <c r="BA19" s="103" t="s">
        <v>326</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0.32894736528396606</v>
      </c>
      <c r="K20" s="38">
        <v>0.4674369692802429</v>
      </c>
      <c r="L20" s="38">
        <v>0.5395604372024536</v>
      </c>
      <c r="M20" s="38">
        <v>0.7272727489471436</v>
      </c>
      <c r="N20" s="80">
        <f>VLOOKUP('Hide - Control'!B$3,'All practice data'!A:CA,A20+29,FALSE)</f>
        <v>0.46504559270516715</v>
      </c>
      <c r="O20" s="80">
        <f>VLOOKUP('Hide - Control'!C$3,'All practice data'!A:CA,A20+29,FALSE)</f>
        <v>0.4534552930810221</v>
      </c>
      <c r="P20" s="38">
        <f>VLOOKUP('Hide - Control'!$B$4,'All practice data'!B:BC,A20+1,FALSE)</f>
        <v>306</v>
      </c>
      <c r="Q20" s="38">
        <f>VLOOKUP('Hide - Control'!$B$4,'All practice data'!B:BC,A20+2,FALSE)</f>
        <v>658</v>
      </c>
      <c r="R20" s="38">
        <f>+((2*P20+1.96^2-1.96*SQRT(1.96^2+4*P20*(1-P20/Q20)))/(2*(Q20+1.96^2)))</f>
        <v>0.42724780118448513</v>
      </c>
      <c r="S20" s="38">
        <f>+((2*P20+1.96^2+1.96*SQRT(1.96^2+4*P20*(1-P20/Q20)))/(2*(Q20+1.96^2)))</f>
        <v>0.5032491636481878</v>
      </c>
      <c r="T20" s="53">
        <f t="shared" si="19"/>
        <v>0.7272727489471436</v>
      </c>
      <c r="U20" s="51">
        <f t="shared" si="20"/>
        <v>0.09238772839307785</v>
      </c>
      <c r="V20" s="7"/>
      <c r="W20" s="27">
        <f t="shared" si="2"/>
        <v>0.09238772839307785</v>
      </c>
      <c r="X20" s="27">
        <f t="shared" si="3"/>
        <v>0.842486210167408</v>
      </c>
      <c r="Y20" s="27">
        <f t="shared" si="4"/>
        <v>0.09238772839307785</v>
      </c>
      <c r="Z20" s="27">
        <f t="shared" si="5"/>
        <v>0.842486210167408</v>
      </c>
      <c r="AA20" s="32">
        <f t="shared" si="6"/>
        <v>0</v>
      </c>
      <c r="AB20" s="33">
        <f t="shared" si="7"/>
        <v>0.3153714380694588</v>
      </c>
      <c r="AC20" s="33">
        <v>0.5</v>
      </c>
      <c r="AD20" s="33">
        <f t="shared" si="8"/>
        <v>0.5961519982704209</v>
      </c>
      <c r="AE20" s="33">
        <f t="shared" si="9"/>
        <v>0.8464022204821275</v>
      </c>
      <c r="AF20" s="33">
        <f t="shared" si="10"/>
        <v>-999</v>
      </c>
      <c r="AG20" s="33">
        <f t="shared" si="11"/>
        <v>-999</v>
      </c>
      <c r="AH20" s="33">
        <f t="shared" si="12"/>
        <v>-999</v>
      </c>
      <c r="AI20" s="34">
        <f t="shared" si="13"/>
        <v>0.4813602126401487</v>
      </c>
      <c r="AJ20" s="4">
        <v>16.689991822403904</v>
      </c>
      <c r="AK20" s="32">
        <f t="shared" si="14"/>
        <v>-999</v>
      </c>
      <c r="AL20" s="34">
        <f t="shared" si="15"/>
        <v>-999</v>
      </c>
      <c r="AY20" s="103" t="s">
        <v>211</v>
      </c>
      <c r="AZ20" s="103" t="s">
        <v>425</v>
      </c>
      <c r="BA20" s="103" t="s">
        <v>326</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121.05269622802734</v>
      </c>
      <c r="K21" s="38">
        <v>227.40586853027344</v>
      </c>
      <c r="L21" s="38">
        <v>342.70703125</v>
      </c>
      <c r="M21" s="38">
        <v>839.748046875</v>
      </c>
      <c r="N21" s="80">
        <f>VLOOKUP('Hide - Control'!B$3,'All practice data'!A:CA,A21+29,FALSE)</f>
        <v>272.05055427622773</v>
      </c>
      <c r="O21" s="80">
        <f>VLOOKUP('Hide - Control'!C$3,'All practice data'!A:CA,A21+29,FALSE)</f>
        <v>377.7293140102421</v>
      </c>
      <c r="P21" s="38">
        <f>VLOOKUP('Hide - Control'!$B$4,'All practice data'!B:BC,A21+2,FALSE)</f>
        <v>762</v>
      </c>
      <c r="Q21" s="38">
        <f>VLOOKUP('Hide - Control'!$B$4,'All practice data'!B:BC,3,FALSE)</f>
        <v>280095</v>
      </c>
      <c r="R21" s="38">
        <f aca="true" t="shared" si="21" ref="R21:R27">100000*(P21*(1-1/(9*P21)-1.96/(3*SQRT(P21)))^3)/Q21</f>
        <v>253.07421257796452</v>
      </c>
      <c r="S21" s="38">
        <f aca="true" t="shared" si="22" ref="S21:S27">100000*((P21+1)*(1-1/(9*(P21+1))+1.96/(3*SQRT(P21+1)))^3)/Q21</f>
        <v>292.0728331304707</v>
      </c>
      <c r="T21" s="53">
        <f t="shared" si="19"/>
        <v>839.748046875</v>
      </c>
      <c r="U21" s="51">
        <f t="shared" si="20"/>
        <v>61.46357345581055</v>
      </c>
      <c r="V21" s="7"/>
      <c r="W21" s="27">
        <f t="shared" si="2"/>
        <v>-384.9363098144531</v>
      </c>
      <c r="X21" s="27">
        <f t="shared" si="3"/>
        <v>839.748046875</v>
      </c>
      <c r="Y21" s="27">
        <f t="shared" si="4"/>
        <v>-384.9363098144531</v>
      </c>
      <c r="Z21" s="27">
        <f t="shared" si="5"/>
        <v>839.748046875</v>
      </c>
      <c r="AA21" s="32">
        <f t="shared" si="6"/>
        <v>0.36450198847723064</v>
      </c>
      <c r="AB21" s="33">
        <f t="shared" si="7"/>
        <v>0.41315870761202644</v>
      </c>
      <c r="AC21" s="33">
        <v>0.5</v>
      </c>
      <c r="AD21" s="33">
        <f t="shared" si="8"/>
        <v>0.594147656977841</v>
      </c>
      <c r="AE21" s="33">
        <f t="shared" si="9"/>
        <v>1</v>
      </c>
      <c r="AF21" s="33">
        <f t="shared" si="10"/>
        <v>-999</v>
      </c>
      <c r="AG21" s="33">
        <f t="shared" si="11"/>
        <v>-999</v>
      </c>
      <c r="AH21" s="33">
        <f t="shared" si="12"/>
        <v>-999</v>
      </c>
      <c r="AI21" s="34">
        <f t="shared" si="13"/>
        <v>0.622744644086351</v>
      </c>
      <c r="AJ21" s="4">
        <v>17.765987247785823</v>
      </c>
      <c r="AK21" s="32">
        <f t="shared" si="14"/>
        <v>-999</v>
      </c>
      <c r="AL21" s="34">
        <f t="shared" si="15"/>
        <v>-999</v>
      </c>
      <c r="AY21" s="103" t="s">
        <v>123</v>
      </c>
      <c r="AZ21" s="103" t="s">
        <v>399</v>
      </c>
      <c r="BA21" s="103" t="s">
        <v>326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v>
      </c>
      <c r="E22" s="38">
        <f>IF(LEFT(VLOOKUP($B22,'Indicator chart'!$D$1:$J$36,5,FALSE),1)=" "," ",VLOOKUP($B22,'Indicator chart'!$D$1:$J$36,5,FALSE))</f>
        <v>295.9455460195324</v>
      </c>
      <c r="F22" s="38">
        <f>IF(LEFT(VLOOKUP($B22,'Indicator chart'!$D$1:$J$36,6,FALSE),1)=" "," ",VLOOKUP($B22,'Indicator chart'!$D$1:$J$36,6,FALSE))</f>
        <v>141.68038518891984</v>
      </c>
      <c r="G22" s="38">
        <f>IF(LEFT(VLOOKUP($B22,'Indicator chart'!$D$1:$J$36,7,FALSE),1)=" "," ",VLOOKUP($B22,'Indicator chart'!$D$1:$J$36,7,FALSE))</f>
        <v>544.2920057428387</v>
      </c>
      <c r="H22" s="50">
        <f t="shared" si="0"/>
        <v>2</v>
      </c>
      <c r="I22" s="38">
        <v>18.07059669494629</v>
      </c>
      <c r="J22" s="38">
        <v>51.7266845703125</v>
      </c>
      <c r="K22" s="38">
        <v>108.56556701660156</v>
      </c>
      <c r="L22" s="38">
        <v>197.99050903320312</v>
      </c>
      <c r="M22" s="38">
        <v>325.5365295410156</v>
      </c>
      <c r="N22" s="80">
        <f>VLOOKUP('Hide - Control'!B$3,'All practice data'!A:CA,A22+29,FALSE)</f>
        <v>143.52273335832484</v>
      </c>
      <c r="O22" s="80">
        <f>VLOOKUP('Hide - Control'!C$3,'All practice data'!A:CA,A22+29,FALSE)</f>
        <v>282.45290788403287</v>
      </c>
      <c r="P22" s="38">
        <f>VLOOKUP('Hide - Control'!$B$4,'All practice data'!B:BC,A22+2,FALSE)</f>
        <v>402</v>
      </c>
      <c r="Q22" s="38">
        <f>VLOOKUP('Hide - Control'!$B$4,'All practice data'!B:BC,3,FALSE)</f>
        <v>280095</v>
      </c>
      <c r="R22" s="38">
        <f t="shared" si="21"/>
        <v>129.83340368882688</v>
      </c>
      <c r="S22" s="38">
        <f t="shared" si="22"/>
        <v>158.2626831093891</v>
      </c>
      <c r="T22" s="53">
        <f t="shared" si="19"/>
        <v>325.5365295410156</v>
      </c>
      <c r="U22" s="51">
        <f t="shared" si="20"/>
        <v>18.07059669494629</v>
      </c>
      <c r="V22" s="7"/>
      <c r="W22" s="27">
        <f t="shared" si="2"/>
        <v>-108.4053955078125</v>
      </c>
      <c r="X22" s="27">
        <f t="shared" si="3"/>
        <v>325.5365295410156</v>
      </c>
      <c r="Y22" s="27">
        <f t="shared" si="4"/>
        <v>-108.4053955078125</v>
      </c>
      <c r="Z22" s="27">
        <f t="shared" si="5"/>
        <v>325.5365295410156</v>
      </c>
      <c r="AA22" s="32">
        <f t="shared" si="6"/>
        <v>0.29145833786059605</v>
      </c>
      <c r="AB22" s="33">
        <f t="shared" si="7"/>
        <v>0.3690173058528663</v>
      </c>
      <c r="AC22" s="33">
        <v>0.5</v>
      </c>
      <c r="AD22" s="33">
        <f t="shared" si="8"/>
        <v>0.7060758291712406</v>
      </c>
      <c r="AE22" s="33">
        <f t="shared" si="9"/>
        <v>1</v>
      </c>
      <c r="AF22" s="33">
        <f t="shared" si="10"/>
        <v>-999</v>
      </c>
      <c r="AG22" s="33">
        <f t="shared" si="11"/>
        <v>0.9318088854443977</v>
      </c>
      <c r="AH22" s="33">
        <f t="shared" si="12"/>
        <v>-999</v>
      </c>
      <c r="AI22" s="34">
        <f t="shared" si="13"/>
        <v>0.9007156968017439</v>
      </c>
      <c r="AJ22" s="4">
        <v>18.841982673167745</v>
      </c>
      <c r="AK22" s="32">
        <f t="shared" si="14"/>
        <v>-999</v>
      </c>
      <c r="AL22" s="34">
        <f t="shared" si="15"/>
        <v>-999</v>
      </c>
      <c r="AY22" s="103" t="s">
        <v>149</v>
      </c>
      <c r="AZ22" s="103" t="s">
        <v>409</v>
      </c>
      <c r="BA22" s="103" t="s">
        <v>326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26.469280242919922</v>
      </c>
      <c r="K23" s="38">
        <v>44.86865234375</v>
      </c>
      <c r="L23" s="38">
        <v>62.73385238647461</v>
      </c>
      <c r="M23" s="38">
        <v>141.30946350097656</v>
      </c>
      <c r="N23" s="80">
        <f>VLOOKUP('Hide - Control'!B$3,'All practice data'!A:CA,A23+29,FALSE)</f>
        <v>49.26899801852943</v>
      </c>
      <c r="O23" s="80">
        <f>VLOOKUP('Hide - Control'!C$3,'All practice data'!A:CA,A23+29,FALSE)</f>
        <v>70.46674929228394</v>
      </c>
      <c r="P23" s="38">
        <f>VLOOKUP('Hide - Control'!$B$4,'All practice data'!B:BC,A23+2,FALSE)</f>
        <v>138</v>
      </c>
      <c r="Q23" s="38">
        <f>VLOOKUP('Hide - Control'!$B$4,'All practice data'!B:BC,3,FALSE)</f>
        <v>280095</v>
      </c>
      <c r="R23" s="38">
        <f t="shared" si="21"/>
        <v>41.39130421178956</v>
      </c>
      <c r="S23" s="38">
        <f t="shared" si="22"/>
        <v>58.20926006875905</v>
      </c>
      <c r="T23" s="53">
        <f t="shared" si="19"/>
        <v>141.30946350097656</v>
      </c>
      <c r="U23" s="51">
        <f t="shared" si="20"/>
        <v>3.248678207397461</v>
      </c>
      <c r="V23" s="7"/>
      <c r="W23" s="27">
        <f t="shared" si="2"/>
        <v>-51.57215881347656</v>
      </c>
      <c r="X23" s="27">
        <f t="shared" si="3"/>
        <v>141.30946350097656</v>
      </c>
      <c r="Y23" s="27">
        <f t="shared" si="4"/>
        <v>-51.57215881347656</v>
      </c>
      <c r="Z23" s="27">
        <f t="shared" si="5"/>
        <v>141.30946350097656</v>
      </c>
      <c r="AA23" s="32">
        <f t="shared" si="6"/>
        <v>0.28422011575317485</v>
      </c>
      <c r="AB23" s="33">
        <f t="shared" si="7"/>
        <v>0.40460795652768955</v>
      </c>
      <c r="AC23" s="33">
        <v>0.5</v>
      </c>
      <c r="AD23" s="33">
        <f t="shared" si="8"/>
        <v>0.592622613955409</v>
      </c>
      <c r="AE23" s="33">
        <f t="shared" si="9"/>
        <v>1</v>
      </c>
      <c r="AF23" s="33">
        <f t="shared" si="10"/>
        <v>-999</v>
      </c>
      <c r="AG23" s="33">
        <f t="shared" si="11"/>
        <v>-999</v>
      </c>
      <c r="AH23" s="33">
        <f t="shared" si="12"/>
        <v>-999</v>
      </c>
      <c r="AI23" s="34">
        <f t="shared" si="13"/>
        <v>0.6327140276060184</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v>
      </c>
      <c r="E24" s="38">
        <f>IF(LEFT(VLOOKUP($B24,'Indicator chart'!$D$1:$J$36,5,FALSE),1)=" "," ",VLOOKUP($B24,'Indicator chart'!$D$1:$J$36,5,FALSE))</f>
        <v>325.54010062148564</v>
      </c>
      <c r="F24" s="38">
        <f>IF(LEFT(VLOOKUP($B24,'Indicator chart'!$D$1:$J$36,6,FALSE),1)=" "," ",VLOOKUP($B24,'Indicator chart'!$D$1:$J$36,6,FALSE))</f>
        <v>162.28514646317802</v>
      </c>
      <c r="G24" s="38">
        <f>IF(LEFT(VLOOKUP($B24,'Indicator chart'!$D$1:$J$36,7,FALSE),1)=" "," ",VLOOKUP($B24,'Indicator chart'!$D$1:$J$36,7,FALSE))</f>
        <v>582.5217709207998</v>
      </c>
      <c r="H24" s="50">
        <f t="shared" si="0"/>
        <v>2</v>
      </c>
      <c r="I24" s="38">
        <v>27.3076171875</v>
      </c>
      <c r="J24" s="38">
        <v>57.296630859375</v>
      </c>
      <c r="K24" s="38">
        <v>120.00325012207031</v>
      </c>
      <c r="L24" s="38">
        <v>270.18707275390625</v>
      </c>
      <c r="M24" s="38">
        <v>634.920654296875</v>
      </c>
      <c r="N24" s="80">
        <f>VLOOKUP('Hide - Control'!B$3,'All practice data'!A:CA,A24+29,FALSE)</f>
        <v>206.71557864296042</v>
      </c>
      <c r="O24" s="80">
        <f>VLOOKUP('Hide - Control'!C$3,'All practice data'!A:CA,A24+29,FALSE)</f>
        <v>323.23046266988894</v>
      </c>
      <c r="P24" s="38">
        <f>VLOOKUP('Hide - Control'!$B$4,'All practice data'!B:BC,A24+2,FALSE)</f>
        <v>579</v>
      </c>
      <c r="Q24" s="38">
        <f>VLOOKUP('Hide - Control'!$B$4,'All practice data'!B:BC,3,FALSE)</f>
        <v>280095</v>
      </c>
      <c r="R24" s="38">
        <f t="shared" si="21"/>
        <v>190.21802857587724</v>
      </c>
      <c r="S24" s="38">
        <f t="shared" si="22"/>
        <v>224.2608990086728</v>
      </c>
      <c r="T24" s="53">
        <f t="shared" si="19"/>
        <v>634.920654296875</v>
      </c>
      <c r="U24" s="51">
        <f t="shared" si="20"/>
        <v>27.3076171875</v>
      </c>
      <c r="V24" s="7"/>
      <c r="W24" s="27">
        <f t="shared" si="2"/>
        <v>-394.9141540527344</v>
      </c>
      <c r="X24" s="27">
        <f t="shared" si="3"/>
        <v>634.920654296875</v>
      </c>
      <c r="Y24" s="27">
        <f t="shared" si="4"/>
        <v>-394.9141540527344</v>
      </c>
      <c r="Z24" s="27">
        <f t="shared" si="5"/>
        <v>634.920654296875</v>
      </c>
      <c r="AA24" s="32">
        <f t="shared" si="6"/>
        <v>0.40998980401223545</v>
      </c>
      <c r="AB24" s="33">
        <f t="shared" si="7"/>
        <v>0.4391100215740546</v>
      </c>
      <c r="AC24" s="33">
        <v>0.5</v>
      </c>
      <c r="AD24" s="33">
        <f t="shared" si="8"/>
        <v>0.6458329252557672</v>
      </c>
      <c r="AE24" s="33">
        <f t="shared" si="9"/>
        <v>1</v>
      </c>
      <c r="AF24" s="33">
        <f t="shared" si="10"/>
        <v>-999</v>
      </c>
      <c r="AG24" s="33">
        <f t="shared" si="11"/>
        <v>0.6995823493564023</v>
      </c>
      <c r="AH24" s="33">
        <f t="shared" si="12"/>
        <v>-999</v>
      </c>
      <c r="AI24" s="34">
        <f t="shared" si="13"/>
        <v>0.697339622724062</v>
      </c>
      <c r="AJ24" s="4">
        <v>20.99397352393159</v>
      </c>
      <c r="AK24" s="32">
        <f t="shared" si="14"/>
        <v>-999</v>
      </c>
      <c r="AL24" s="34">
        <f t="shared" si="15"/>
        <v>-999</v>
      </c>
      <c r="AY24" s="103" t="s">
        <v>65</v>
      </c>
      <c r="AZ24" s="103" t="s">
        <v>66</v>
      </c>
      <c r="BA24" s="103" t="s">
        <v>505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8</v>
      </c>
      <c r="E25" s="38">
        <f>IF(LEFT(VLOOKUP($B25,'Indicator chart'!$D$1:$J$36,5,FALSE),1)=" "," ",VLOOKUP($B25,'Indicator chart'!$D$1:$J$36,5,FALSE))</f>
        <v>236.75643681562593</v>
      </c>
      <c r="F25" s="38">
        <f>IF(LEFT(VLOOKUP($B25,'Indicator chart'!$D$1:$J$36,6,FALSE),1)=" "," ",VLOOKUP($B25,'Indicator chart'!$D$1:$J$36,6,FALSE))</f>
        <v>101.94236648889358</v>
      </c>
      <c r="G25" s="38">
        <f>IF(LEFT(VLOOKUP($B25,'Indicator chart'!$D$1:$J$36,7,FALSE),1)=" "," ",VLOOKUP($B25,'Indicator chart'!$D$1:$J$36,7,FALSE))</f>
        <v>466.533219650229</v>
      </c>
      <c r="H25" s="50">
        <f t="shared" si="0"/>
        <v>2</v>
      </c>
      <c r="I25" s="38">
        <v>154.79876708984375</v>
      </c>
      <c r="J25" s="38">
        <v>256.061279296875</v>
      </c>
      <c r="K25" s="38">
        <v>328.4101257324219</v>
      </c>
      <c r="L25" s="38">
        <v>403.5129089355469</v>
      </c>
      <c r="M25" s="38">
        <v>575.93212890625</v>
      </c>
      <c r="N25" s="80">
        <f>VLOOKUP('Hide - Control'!B$3,'All practice data'!A:CA,A25+29,FALSE)</f>
        <v>357.0217247719524</v>
      </c>
      <c r="O25" s="80">
        <f>VLOOKUP('Hide - Control'!C$3,'All practice data'!A:CA,A25+29,FALSE)</f>
        <v>562.6134400960308</v>
      </c>
      <c r="P25" s="38">
        <f>VLOOKUP('Hide - Control'!$B$4,'All practice data'!B:BC,A25+2,FALSE)</f>
        <v>1000</v>
      </c>
      <c r="Q25" s="38">
        <f>VLOOKUP('Hide - Control'!$B$4,'All practice data'!B:BC,3,FALSE)</f>
        <v>280095</v>
      </c>
      <c r="R25" s="38">
        <f t="shared" si="21"/>
        <v>335.2331911059229</v>
      </c>
      <c r="S25" s="38">
        <f t="shared" si="22"/>
        <v>379.854609342231</v>
      </c>
      <c r="T25" s="53">
        <f t="shared" si="19"/>
        <v>575.93212890625</v>
      </c>
      <c r="U25" s="51">
        <f t="shared" si="20"/>
        <v>154.79876708984375</v>
      </c>
      <c r="V25" s="7"/>
      <c r="W25" s="27">
        <f t="shared" si="2"/>
        <v>80.88812255859375</v>
      </c>
      <c r="X25" s="27">
        <f t="shared" si="3"/>
        <v>575.93212890625</v>
      </c>
      <c r="Y25" s="27">
        <f t="shared" si="4"/>
        <v>80.88812255859375</v>
      </c>
      <c r="Z25" s="27">
        <f t="shared" si="5"/>
        <v>575.93212890625</v>
      </c>
      <c r="AA25" s="32">
        <f t="shared" si="6"/>
        <v>0.14930116026764803</v>
      </c>
      <c r="AB25" s="33">
        <f t="shared" si="7"/>
        <v>0.3538537069273429</v>
      </c>
      <c r="AC25" s="33">
        <v>0.5</v>
      </c>
      <c r="AD25" s="33">
        <f t="shared" si="8"/>
        <v>0.6517093071325508</v>
      </c>
      <c r="AE25" s="33">
        <f t="shared" si="9"/>
        <v>1</v>
      </c>
      <c r="AF25" s="33">
        <f t="shared" si="10"/>
        <v>-999</v>
      </c>
      <c r="AG25" s="33">
        <f t="shared" si="11"/>
        <v>0.3148574919773294</v>
      </c>
      <c r="AH25" s="33">
        <f t="shared" si="12"/>
        <v>-999</v>
      </c>
      <c r="AI25" s="34">
        <f t="shared" si="13"/>
        <v>0.9730959497752896</v>
      </c>
      <c r="AJ25" s="4">
        <v>22.06996894931352</v>
      </c>
      <c r="AK25" s="32">
        <f t="shared" si="14"/>
        <v>-999</v>
      </c>
      <c r="AL25" s="34">
        <f t="shared" si="15"/>
        <v>-999</v>
      </c>
      <c r="AY25" s="103" t="s">
        <v>257</v>
      </c>
      <c r="AZ25" s="103" t="s">
        <v>258</v>
      </c>
      <c r="BA25" s="103" t="s">
        <v>505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207.1618822136727</v>
      </c>
      <c r="F26" s="38">
        <f>IF(LEFT(VLOOKUP($B26,'Indicator chart'!$D$1:$J$36,6,FALSE),1)=" "," ",VLOOKUP($B26,'Indicator chart'!$D$1:$J$36,6,FALSE))</f>
        <v>82.99434449773361</v>
      </c>
      <c r="G26" s="38">
        <f>IF(LEFT(VLOOKUP($B26,'Indicator chart'!$D$1:$J$36,7,FALSE),1)=" "," ",VLOOKUP($B26,'Indicator chart'!$D$1:$J$36,7,FALSE))</f>
        <v>426.8544971378562</v>
      </c>
      <c r="H26" s="50">
        <f t="shared" si="0"/>
        <v>2</v>
      </c>
      <c r="I26" s="38">
        <v>101.40274047851562</v>
      </c>
      <c r="J26" s="38">
        <v>160.07138061523438</v>
      </c>
      <c r="K26" s="38">
        <v>208.59141540527344</v>
      </c>
      <c r="L26" s="38">
        <v>255.53697204589844</v>
      </c>
      <c r="M26" s="38">
        <v>363.74658203125</v>
      </c>
      <c r="N26" s="80">
        <f>VLOOKUP('Hide - Control'!B$3,'All practice data'!A:CA,A26+29,FALSE)</f>
        <v>209.92877416590798</v>
      </c>
      <c r="O26" s="80">
        <f>VLOOKUP('Hide - Control'!C$3,'All practice data'!A:CA,A26+29,FALSE)</f>
        <v>405.57105879375996</v>
      </c>
      <c r="P26" s="38">
        <f>VLOOKUP('Hide - Control'!$B$4,'All practice data'!B:BC,A26+2,FALSE)</f>
        <v>588</v>
      </c>
      <c r="Q26" s="38">
        <f>VLOOKUP('Hide - Control'!$B$4,'All practice data'!B:BC,3,FALSE)</f>
        <v>280095</v>
      </c>
      <c r="R26" s="38">
        <f t="shared" si="21"/>
        <v>193.30084674315762</v>
      </c>
      <c r="S26" s="38">
        <f t="shared" si="22"/>
        <v>227.60436225923036</v>
      </c>
      <c r="T26" s="53">
        <f t="shared" si="19"/>
        <v>363.74658203125</v>
      </c>
      <c r="U26" s="51">
        <f t="shared" si="20"/>
        <v>101.40274047851562</v>
      </c>
      <c r="V26" s="7"/>
      <c r="W26" s="27">
        <f t="shared" si="2"/>
        <v>53.436248779296875</v>
      </c>
      <c r="X26" s="27">
        <f t="shared" si="3"/>
        <v>363.74658203125</v>
      </c>
      <c r="Y26" s="27">
        <f t="shared" si="4"/>
        <v>53.436248779296875</v>
      </c>
      <c r="Z26" s="27">
        <f t="shared" si="5"/>
        <v>363.74658203125</v>
      </c>
      <c r="AA26" s="32">
        <f t="shared" si="6"/>
        <v>0.15457587633819747</v>
      </c>
      <c r="AB26" s="33">
        <f t="shared" si="7"/>
        <v>0.34364028654294365</v>
      </c>
      <c r="AC26" s="33">
        <v>0.5</v>
      </c>
      <c r="AD26" s="33">
        <f t="shared" si="8"/>
        <v>0.651285831021644</v>
      </c>
      <c r="AE26" s="33">
        <f t="shared" si="9"/>
        <v>1</v>
      </c>
      <c r="AF26" s="33">
        <f t="shared" si="10"/>
        <v>-999</v>
      </c>
      <c r="AG26" s="33">
        <f t="shared" si="11"/>
        <v>0.4953932143457174</v>
      </c>
      <c r="AH26" s="33">
        <f t="shared" si="12"/>
        <v>-999</v>
      </c>
      <c r="AI26" s="34">
        <f t="shared" si="13"/>
        <v>1.1347827393442005</v>
      </c>
      <c r="AJ26" s="4">
        <v>23.145964374695435</v>
      </c>
      <c r="AK26" s="32">
        <f t="shared" si="14"/>
        <v>-999</v>
      </c>
      <c r="AL26" s="34">
        <f t="shared" si="15"/>
        <v>-999</v>
      </c>
      <c r="AY26" s="103" t="s">
        <v>120</v>
      </c>
      <c r="AZ26" s="103" t="s">
        <v>398</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22</v>
      </c>
      <c r="E27" s="38">
        <f>IF(LEFT(VLOOKUP($B27,'Indicator chart'!$D$1:$J$36,5,FALSE),1)=" "," ",VLOOKUP($B27,'Indicator chart'!$D$1:$J$36,5,FALSE))</f>
        <v>651.0802012429713</v>
      </c>
      <c r="F27" s="38">
        <f>IF(LEFT(VLOOKUP($B27,'Indicator chart'!$D$1:$J$36,6,FALSE),1)=" "," ",VLOOKUP($B27,'Indicator chart'!$D$1:$J$36,6,FALSE))</f>
        <v>407.8830734176014</v>
      </c>
      <c r="G27" s="38">
        <f>IF(LEFT(VLOOKUP($B27,'Indicator chart'!$D$1:$J$36,7,FALSE),1)=" "," ",VLOOKUP($B27,'Indicator chart'!$D$1:$J$36,7,FALSE))</f>
        <v>985.7946101414055</v>
      </c>
      <c r="H27" s="50">
        <f t="shared" si="0"/>
        <v>2</v>
      </c>
      <c r="I27" s="38">
        <v>358.0729064941406</v>
      </c>
      <c r="J27" s="38">
        <v>595.6179809570312</v>
      </c>
      <c r="K27" s="38">
        <v>707.5823364257812</v>
      </c>
      <c r="L27" s="38">
        <v>842.3408813476562</v>
      </c>
      <c r="M27" s="38">
        <v>1727.7962646484375</v>
      </c>
      <c r="N27" s="80">
        <f>VLOOKUP('Hide - Control'!B$3,'All practice data'!A:CA,A27+29,FALSE)</f>
        <v>744.0332744247487</v>
      </c>
      <c r="O27" s="80">
        <f>VLOOKUP('Hide - Control'!C$3,'All practice data'!A:CA,A27+29,FALSE)</f>
        <v>1059.3522061277838</v>
      </c>
      <c r="P27" s="38">
        <f>VLOOKUP('Hide - Control'!$B$4,'All practice data'!B:BC,A27+2,FALSE)</f>
        <v>2084</v>
      </c>
      <c r="Q27" s="38">
        <f>VLOOKUP('Hide - Control'!$B$4,'All practice data'!B:BC,3,FALSE)</f>
        <v>280095</v>
      </c>
      <c r="R27" s="38">
        <f t="shared" si="21"/>
        <v>712.4278968692165</v>
      </c>
      <c r="S27" s="38">
        <f t="shared" si="22"/>
        <v>776.679643272294</v>
      </c>
      <c r="T27" s="53">
        <f t="shared" si="19"/>
        <v>1727.7962646484375</v>
      </c>
      <c r="U27" s="51">
        <f t="shared" si="20"/>
        <v>358.0729064941406</v>
      </c>
      <c r="V27" s="7"/>
      <c r="W27" s="27">
        <f t="shared" si="2"/>
        <v>-312.631591796875</v>
      </c>
      <c r="X27" s="27">
        <f t="shared" si="3"/>
        <v>1727.7962646484375</v>
      </c>
      <c r="Y27" s="27">
        <f t="shared" si="4"/>
        <v>-312.631591796875</v>
      </c>
      <c r="Z27" s="27">
        <f t="shared" si="5"/>
        <v>1727.7962646484375</v>
      </c>
      <c r="AA27" s="32">
        <f t="shared" si="6"/>
        <v>0.32870777379969174</v>
      </c>
      <c r="AB27" s="33">
        <f t="shared" si="7"/>
        <v>0.445127020729953</v>
      </c>
      <c r="AC27" s="33">
        <v>0.5</v>
      </c>
      <c r="AD27" s="33">
        <f t="shared" si="8"/>
        <v>0.5660442585589092</v>
      </c>
      <c r="AE27" s="33">
        <f t="shared" si="9"/>
        <v>1</v>
      </c>
      <c r="AF27" s="33">
        <f t="shared" si="10"/>
        <v>-999</v>
      </c>
      <c r="AG27" s="33">
        <f t="shared" si="11"/>
        <v>0.4723086827087119</v>
      </c>
      <c r="AH27" s="33">
        <f t="shared" si="12"/>
        <v>-999</v>
      </c>
      <c r="AI27" s="34">
        <f t="shared" si="13"/>
        <v>0.6724000525629124</v>
      </c>
      <c r="AJ27" s="4">
        <v>24.221959800077364</v>
      </c>
      <c r="AK27" s="32">
        <f t="shared" si="14"/>
        <v>-999</v>
      </c>
      <c r="AL27" s="34">
        <f t="shared" si="15"/>
        <v>-999</v>
      </c>
      <c r="AY27" s="103" t="s">
        <v>115</v>
      </c>
      <c r="AZ27" s="103" t="s">
        <v>397</v>
      </c>
      <c r="BA27" s="103" t="s">
        <v>505</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283.89056396484375</v>
      </c>
      <c r="K28" s="38">
        <v>452.51220703125</v>
      </c>
      <c r="L28" s="38">
        <v>658.5382690429688</v>
      </c>
      <c r="M28" s="38">
        <v>1318.8883056640625</v>
      </c>
      <c r="N28" s="80">
        <f>VLOOKUP('Hide - Control'!B$3,'All practice data'!A:CA,A28+29,FALSE)</f>
        <v>513.0402184972955</v>
      </c>
      <c r="O28" s="80">
        <f>VLOOKUP('Hide - Control'!C$3,'All practice data'!A:CA,A28+29,FALSE)</f>
        <v>582.9390489900089</v>
      </c>
      <c r="P28" s="38">
        <f>VLOOKUP('Hide - Control'!$B$4,'All practice data'!B:BC,A28+2,FALSE)</f>
        <v>1437</v>
      </c>
      <c r="Q28" s="38">
        <f>VLOOKUP('Hide - Control'!$B$4,'All practice data'!B:BC,3,FALSE)</f>
        <v>280095</v>
      </c>
      <c r="R28" s="38">
        <f>100000*(P28*(1-1/(9*P28)-1.96/(3*SQRT(P28)))^3)/Q28</f>
        <v>486.8533908979102</v>
      </c>
      <c r="S28" s="38">
        <f>100000*((P28+1)*(1-1/(9*(P28+1))+1.96/(3*SQRT(P28+1)))^3)/Q28</f>
        <v>540.269586207537</v>
      </c>
      <c r="T28" s="53">
        <f t="shared" si="19"/>
        <v>1318.8883056640625</v>
      </c>
      <c r="U28" s="51">
        <f t="shared" si="20"/>
        <v>155.9251708984375</v>
      </c>
      <c r="V28" s="7"/>
      <c r="W28" s="27">
        <f t="shared" si="2"/>
        <v>-413.8638916015625</v>
      </c>
      <c r="X28" s="27">
        <f t="shared" si="3"/>
        <v>1318.8883056640625</v>
      </c>
      <c r="Y28" s="27">
        <f t="shared" si="4"/>
        <v>-413.8638916015625</v>
      </c>
      <c r="Z28" s="27">
        <f t="shared" si="5"/>
        <v>1318.8883056640625</v>
      </c>
      <c r="AA28" s="32">
        <f t="shared" si="6"/>
        <v>0.3288347078128987</v>
      </c>
      <c r="AB28" s="33">
        <f t="shared" si="7"/>
        <v>0.40268565618759555</v>
      </c>
      <c r="AC28" s="33">
        <v>0.5</v>
      </c>
      <c r="AD28" s="33">
        <f t="shared" si="8"/>
        <v>0.6189010536745179</v>
      </c>
      <c r="AE28" s="33">
        <f t="shared" si="9"/>
        <v>1</v>
      </c>
      <c r="AF28" s="33">
        <f t="shared" si="10"/>
        <v>-999</v>
      </c>
      <c r="AG28" s="33">
        <f t="shared" si="11"/>
        <v>-999</v>
      </c>
      <c r="AH28" s="33">
        <f t="shared" si="12"/>
        <v>-999</v>
      </c>
      <c r="AI28" s="34">
        <f t="shared" si="13"/>
        <v>0.57527149130994</v>
      </c>
      <c r="AJ28" s="4">
        <v>25.297955225459287</v>
      </c>
      <c r="AK28" s="32">
        <f t="shared" si="14"/>
        <v>-999</v>
      </c>
      <c r="AL28" s="34">
        <f t="shared" si="15"/>
        <v>-999</v>
      </c>
      <c r="AY28" s="103" t="s">
        <v>241</v>
      </c>
      <c r="AZ28" s="103" t="s">
        <v>242</v>
      </c>
      <c r="BA28" s="103" t="s">
        <v>505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400</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421</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380</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445</v>
      </c>
      <c r="BA33" s="103" t="s">
        <v>505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563</v>
      </c>
      <c r="I35" s="291"/>
      <c r="Y35" s="43"/>
      <c r="Z35" s="44"/>
      <c r="AA35" s="44"/>
      <c r="AB35" s="43"/>
      <c r="AC35" s="43"/>
      <c r="AY35" s="103" t="s">
        <v>159</v>
      </c>
      <c r="AZ35" s="103" t="s">
        <v>413</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402</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419</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446</v>
      </c>
      <c r="BA41" s="103" t="s">
        <v>505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443</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431</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422</v>
      </c>
      <c r="BA46" s="103" t="s">
        <v>505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426</v>
      </c>
      <c r="BA48" s="103" t="s">
        <v>505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437</v>
      </c>
      <c r="BA49" s="103" t="s">
        <v>505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403</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436</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377</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423</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393</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438</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383</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427</v>
      </c>
      <c r="BA61" s="103" t="s">
        <v>505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416</v>
      </c>
      <c r="BA63" s="103" t="s">
        <v>326</v>
      </c>
      <c r="BB63" s="10">
        <v>318405</v>
      </c>
      <c r="BE63" s="70"/>
      <c r="BF63" s="239"/>
    </row>
    <row r="64" spans="1:58" ht="12.75">
      <c r="A64" s="3"/>
      <c r="B64" s="12"/>
      <c r="C64" s="3"/>
      <c r="I64" s="11"/>
      <c r="V64" s="3"/>
      <c r="AY64" s="103" t="s">
        <v>78</v>
      </c>
      <c r="AZ64" s="103" t="s">
        <v>384</v>
      </c>
      <c r="BA64" s="103" t="s">
        <v>505</v>
      </c>
      <c r="BB64" s="10">
        <v>181285</v>
      </c>
      <c r="BE64" s="70"/>
      <c r="BF64" s="241"/>
    </row>
    <row r="65" spans="1:58" ht="12.75">
      <c r="A65" s="3"/>
      <c r="B65" s="12"/>
      <c r="C65" s="3"/>
      <c r="AY65" s="103" t="s">
        <v>494</v>
      </c>
      <c r="AZ65" s="103" t="s">
        <v>495</v>
      </c>
      <c r="BA65" s="103" t="s">
        <v>326</v>
      </c>
      <c r="BB65" s="10">
        <v>1169302</v>
      </c>
      <c r="BE65" s="70"/>
      <c r="BF65" s="241"/>
    </row>
    <row r="66" spans="1:58" ht="12.75">
      <c r="A66" s="3"/>
      <c r="B66" s="12"/>
      <c r="C66" s="3"/>
      <c r="E66" s="2"/>
      <c r="F66" s="2"/>
      <c r="G66" s="2"/>
      <c r="V66" s="2"/>
      <c r="AY66" s="103" t="s">
        <v>200</v>
      </c>
      <c r="AZ66" s="103" t="s">
        <v>424</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447</v>
      </c>
      <c r="BA70" s="103" t="s">
        <v>504</v>
      </c>
      <c r="BB70" s="10">
        <v>141474</v>
      </c>
      <c r="BE70" s="70"/>
      <c r="BF70" s="239"/>
    </row>
    <row r="71" spans="1:58" ht="12.75">
      <c r="A71" s="3"/>
      <c r="B71" s="12"/>
      <c r="C71" s="3"/>
      <c r="AY71" s="103" t="s">
        <v>127</v>
      </c>
      <c r="AZ71" s="103" t="s">
        <v>401</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376</v>
      </c>
      <c r="BA73" s="103" t="s">
        <v>326</v>
      </c>
      <c r="BB73" s="10">
        <v>190143</v>
      </c>
      <c r="BE73" s="70"/>
      <c r="BF73" s="239"/>
    </row>
    <row r="74" spans="1:58" ht="12.75">
      <c r="A74" s="3"/>
      <c r="B74" s="12"/>
      <c r="C74" s="3"/>
      <c r="AY74" s="103" t="s">
        <v>165</v>
      </c>
      <c r="AZ74" s="103" t="s">
        <v>166</v>
      </c>
      <c r="BA74" s="103" t="s">
        <v>505</v>
      </c>
      <c r="BB74" s="10">
        <v>419928</v>
      </c>
      <c r="BE74" s="70"/>
      <c r="BF74" s="241"/>
    </row>
    <row r="75" spans="1:58" ht="12.75">
      <c r="A75" s="3"/>
      <c r="B75" s="12"/>
      <c r="C75" s="3"/>
      <c r="AY75" s="103" t="s">
        <v>113</v>
      </c>
      <c r="AZ75" s="103" t="s">
        <v>395</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505</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429</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418</v>
      </c>
      <c r="BA81" s="103" t="s">
        <v>505</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392</v>
      </c>
      <c r="BA83" s="103" t="s">
        <v>505</v>
      </c>
      <c r="BB83" s="10">
        <v>208442</v>
      </c>
      <c r="BE83" s="70"/>
      <c r="BF83" s="241"/>
    </row>
    <row r="84" spans="1:58" ht="12.75">
      <c r="A84" s="3"/>
      <c r="B84" s="12"/>
      <c r="C84" s="3"/>
      <c r="AY84" s="103" t="s">
        <v>203</v>
      </c>
      <c r="AZ84" s="103" t="s">
        <v>204</v>
      </c>
      <c r="BA84" s="103" t="s">
        <v>505</v>
      </c>
      <c r="BB84" s="10">
        <v>545543</v>
      </c>
      <c r="BE84" s="70"/>
      <c r="BF84" s="241"/>
    </row>
    <row r="85" spans="1:58" ht="12.75">
      <c r="A85" s="3"/>
      <c r="B85" s="12"/>
      <c r="C85" s="3"/>
      <c r="AY85" s="103" t="s">
        <v>135</v>
      </c>
      <c r="AZ85" s="103" t="s">
        <v>407</v>
      </c>
      <c r="BA85" s="103" t="s">
        <v>505</v>
      </c>
      <c r="BB85" s="10">
        <v>274067</v>
      </c>
      <c r="BE85" s="70"/>
      <c r="BF85" s="241"/>
    </row>
    <row r="86" spans="1:58" ht="12.75">
      <c r="A86" s="3"/>
      <c r="B86" s="12"/>
      <c r="C86" s="3"/>
      <c r="AY86" s="103" t="s">
        <v>251</v>
      </c>
      <c r="AZ86" s="103" t="s">
        <v>252</v>
      </c>
      <c r="BA86" s="103" t="s">
        <v>505</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505</v>
      </c>
      <c r="BB88" s="10">
        <v>258492</v>
      </c>
      <c r="BE88" s="70"/>
      <c r="BF88" s="241"/>
    </row>
    <row r="89" spans="1:58" ht="12.75">
      <c r="A89" s="3"/>
      <c r="B89" s="12"/>
      <c r="C89" s="3"/>
      <c r="AY89" s="103" t="s">
        <v>81</v>
      </c>
      <c r="AZ89" s="103" t="s">
        <v>385</v>
      </c>
      <c r="BA89" s="103" t="s">
        <v>326</v>
      </c>
      <c r="BB89" s="10">
        <v>283085</v>
      </c>
      <c r="BE89" s="70"/>
      <c r="BF89" s="241"/>
    </row>
    <row r="90" spans="1:58" ht="12.75">
      <c r="A90" s="3"/>
      <c r="B90" s="12"/>
      <c r="C90" s="3"/>
      <c r="AY90" s="103" t="s">
        <v>76</v>
      </c>
      <c r="AZ90" s="103" t="s">
        <v>382</v>
      </c>
      <c r="BA90" s="103" t="s">
        <v>326</v>
      </c>
      <c r="BB90" s="10">
        <v>357346</v>
      </c>
      <c r="BE90" s="70"/>
      <c r="BF90" s="241"/>
    </row>
    <row r="91" spans="1:58" ht="12.75">
      <c r="A91" s="3"/>
      <c r="B91" s="12"/>
      <c r="C91" s="3"/>
      <c r="AY91" s="103" t="s">
        <v>243</v>
      </c>
      <c r="AZ91" s="103" t="s">
        <v>435</v>
      </c>
      <c r="BA91" s="103" t="s">
        <v>505</v>
      </c>
      <c r="BB91" s="10">
        <v>748575</v>
      </c>
      <c r="BE91" s="247"/>
      <c r="BF91" s="249"/>
    </row>
    <row r="92" spans="1:58" ht="12.75">
      <c r="A92" s="3"/>
      <c r="B92" s="12"/>
      <c r="C92" s="3"/>
      <c r="AY92" s="103" t="s">
        <v>249</v>
      </c>
      <c r="AZ92" s="103" t="s">
        <v>250</v>
      </c>
      <c r="BA92" s="103" t="s">
        <v>505</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420</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386</v>
      </c>
      <c r="BA98" s="103" t="s">
        <v>326</v>
      </c>
      <c r="BB98" s="10">
        <v>214052</v>
      </c>
      <c r="BE98" s="248"/>
      <c r="BF98" s="241"/>
    </row>
    <row r="99" spans="1:58" ht="12.75">
      <c r="A99" s="3"/>
      <c r="B99" s="12"/>
      <c r="C99" s="3"/>
      <c r="AY99" s="103" t="s">
        <v>205</v>
      </c>
      <c r="AZ99" s="103" t="s">
        <v>206</v>
      </c>
      <c r="BA99" s="103" t="s">
        <v>505</v>
      </c>
      <c r="BB99" s="10">
        <v>795503</v>
      </c>
      <c r="BE99" s="70"/>
      <c r="BF99" s="249"/>
    </row>
    <row r="100" spans="1:58" ht="12.75">
      <c r="A100" s="3"/>
      <c r="B100" s="12"/>
      <c r="C100" s="3"/>
      <c r="AY100" s="103" t="s">
        <v>226</v>
      </c>
      <c r="AZ100" s="103" t="s">
        <v>430</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417</v>
      </c>
      <c r="BA103" s="103" t="s">
        <v>326</v>
      </c>
      <c r="BB103" s="10">
        <v>656875</v>
      </c>
      <c r="BE103" s="70"/>
      <c r="BF103" s="239"/>
    </row>
    <row r="104" spans="51:58" ht="12.75">
      <c r="AY104" s="103" t="s">
        <v>114</v>
      </c>
      <c r="AZ104" s="103" t="s">
        <v>396</v>
      </c>
      <c r="BA104" s="103" t="s">
        <v>326</v>
      </c>
      <c r="BB104" s="10">
        <v>236592</v>
      </c>
      <c r="BF104" s="252"/>
    </row>
    <row r="105" spans="51:58" ht="12.75">
      <c r="AY105" s="103" t="s">
        <v>259</v>
      </c>
      <c r="AZ105" s="103" t="s">
        <v>439</v>
      </c>
      <c r="BA105" s="103" t="s">
        <v>505</v>
      </c>
      <c r="BB105" s="10">
        <v>671572</v>
      </c>
      <c r="BE105" s="237"/>
      <c r="BF105" s="238"/>
    </row>
    <row r="106" spans="51:58" ht="12.75">
      <c r="AY106" s="103" t="s">
        <v>239</v>
      </c>
      <c r="AZ106" s="103" t="s">
        <v>240</v>
      </c>
      <c r="BA106" s="103" t="s">
        <v>505</v>
      </c>
      <c r="BB106" s="10">
        <v>177882</v>
      </c>
      <c r="BF106" s="252"/>
    </row>
    <row r="107" spans="51:58" ht="12.75">
      <c r="AY107" s="103" t="s">
        <v>91</v>
      </c>
      <c r="AZ107" s="103" t="s">
        <v>389</v>
      </c>
      <c r="BA107" s="103" t="s">
        <v>326</v>
      </c>
      <c r="BB107" s="10">
        <v>274443</v>
      </c>
      <c r="BF107" s="252"/>
    </row>
    <row r="108" spans="51:58" ht="12.75">
      <c r="AY108" s="103" t="s">
        <v>95</v>
      </c>
      <c r="AZ108" s="103" t="s">
        <v>391</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411</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432</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410</v>
      </c>
      <c r="BA117" s="103" t="s">
        <v>505</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442</v>
      </c>
      <c r="BA119" s="103" t="s">
        <v>326</v>
      </c>
      <c r="BB119" s="10">
        <v>538131</v>
      </c>
      <c r="BE119" s="70"/>
      <c r="BF119" s="239"/>
    </row>
    <row r="120" spans="51:58" ht="12.75">
      <c r="AY120" s="103" t="s">
        <v>150</v>
      </c>
      <c r="AZ120" s="103" t="s">
        <v>151</v>
      </c>
      <c r="BA120" s="103" t="s">
        <v>505</v>
      </c>
      <c r="BB120" s="10">
        <v>389725</v>
      </c>
      <c r="BE120" s="70"/>
      <c r="BF120" s="239"/>
    </row>
    <row r="121" spans="51:58" ht="12.75">
      <c r="AY121" s="103" t="s">
        <v>212</v>
      </c>
      <c r="AZ121" s="103" t="s">
        <v>213</v>
      </c>
      <c r="BA121" s="103" t="s">
        <v>505</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434</v>
      </c>
      <c r="BA123" s="103" t="s">
        <v>505</v>
      </c>
      <c r="BB123" s="10">
        <v>615835</v>
      </c>
      <c r="BF123" s="252"/>
    </row>
    <row r="124" spans="51:58" ht="12.75">
      <c r="AY124" s="103" t="s">
        <v>130</v>
      </c>
      <c r="AZ124" s="103" t="s">
        <v>404</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406</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390</v>
      </c>
      <c r="BA128" s="103" t="s">
        <v>505</v>
      </c>
      <c r="BB128" s="10">
        <v>298190</v>
      </c>
      <c r="BE128" s="250"/>
      <c r="BF128" s="249"/>
    </row>
    <row r="129" spans="51:58" ht="12.75">
      <c r="AY129" s="103" t="s">
        <v>85</v>
      </c>
      <c r="AZ129" s="103" t="s">
        <v>387</v>
      </c>
      <c r="BA129" s="103" t="s">
        <v>326</v>
      </c>
      <c r="BB129" s="10">
        <v>191885</v>
      </c>
      <c r="BE129" s="70"/>
      <c r="BF129" s="249"/>
    </row>
    <row r="130" spans="51:58" ht="12.75">
      <c r="AY130" s="103" t="s">
        <v>233</v>
      </c>
      <c r="AZ130" s="103" t="s">
        <v>433</v>
      </c>
      <c r="BA130" s="103" t="s">
        <v>326</v>
      </c>
      <c r="BB130" s="10">
        <v>268223</v>
      </c>
      <c r="BE130" s="70"/>
      <c r="BF130" s="249"/>
    </row>
    <row r="131" spans="51:58" ht="12.75">
      <c r="AY131" s="103" t="s">
        <v>245</v>
      </c>
      <c r="AZ131" s="103" t="s">
        <v>246</v>
      </c>
      <c r="BA131" s="103" t="s">
        <v>505</v>
      </c>
      <c r="BB131" s="10">
        <v>616983</v>
      </c>
      <c r="BE131" s="247"/>
      <c r="BF131" s="249"/>
    </row>
    <row r="132" spans="51:58" ht="12.75">
      <c r="AY132" s="103" t="s">
        <v>131</v>
      </c>
      <c r="AZ132" s="103" t="s">
        <v>405</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412</v>
      </c>
      <c r="BA134" s="103" t="s">
        <v>326</v>
      </c>
      <c r="BB134" s="10">
        <v>390971</v>
      </c>
      <c r="BE134" s="243"/>
      <c r="BF134" s="238"/>
    </row>
    <row r="135" spans="51:58" ht="12.75">
      <c r="AY135" s="103" t="s">
        <v>121</v>
      </c>
      <c r="AZ135" s="103" t="s">
        <v>122</v>
      </c>
      <c r="BA135" s="103" t="s">
        <v>504</v>
      </c>
      <c r="BB135" s="10">
        <v>218182</v>
      </c>
      <c r="BE135" s="250"/>
      <c r="BF135" s="249"/>
    </row>
    <row r="136" spans="51:58" ht="12.75">
      <c r="AY136" s="103" t="s">
        <v>148</v>
      </c>
      <c r="AZ136" s="103" t="s">
        <v>408</v>
      </c>
      <c r="BA136" s="103" t="s">
        <v>505</v>
      </c>
      <c r="BB136" s="10">
        <v>236598</v>
      </c>
      <c r="BE136" s="237"/>
      <c r="BF136" s="238"/>
    </row>
    <row r="137" spans="51:58" ht="12.75">
      <c r="AY137" s="103" t="s">
        <v>160</v>
      </c>
      <c r="AZ137" s="103" t="s">
        <v>414</v>
      </c>
      <c r="BA137" s="103" t="s">
        <v>505</v>
      </c>
      <c r="BB137" s="10">
        <v>165993</v>
      </c>
      <c r="BF137" s="252"/>
    </row>
    <row r="138" spans="51:58" ht="12.75">
      <c r="AY138" s="103" t="s">
        <v>54</v>
      </c>
      <c r="AZ138" s="103" t="s">
        <v>55</v>
      </c>
      <c r="BA138" s="103" t="s">
        <v>326</v>
      </c>
      <c r="BB138" s="10">
        <v>145889</v>
      </c>
      <c r="BE138" s="70"/>
      <c r="BF138" s="239"/>
    </row>
    <row r="139" spans="51:58" ht="12.75">
      <c r="AY139" s="103" t="s">
        <v>75</v>
      </c>
      <c r="AZ139" s="103" t="s">
        <v>381</v>
      </c>
      <c r="BA139" s="103" t="s">
        <v>326</v>
      </c>
      <c r="BB139" s="10">
        <v>267393</v>
      </c>
      <c r="BE139" s="237"/>
      <c r="BF139" s="238"/>
    </row>
    <row r="140" spans="51:58" ht="12.75">
      <c r="AY140" s="103" t="s">
        <v>201</v>
      </c>
      <c r="AZ140" s="103" t="s">
        <v>202</v>
      </c>
      <c r="BA140" s="103" t="s">
        <v>505</v>
      </c>
      <c r="BB140" s="10">
        <v>232551</v>
      </c>
      <c r="BE140" s="70"/>
      <c r="BF140" s="239"/>
    </row>
    <row r="141" spans="51:58" ht="12.75">
      <c r="AY141" s="103" t="s">
        <v>167</v>
      </c>
      <c r="AZ141" s="103" t="s">
        <v>168</v>
      </c>
      <c r="BA141" s="103" t="s">
        <v>505</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428</v>
      </c>
      <c r="BA148" s="103" t="s">
        <v>505</v>
      </c>
      <c r="BB148" s="10">
        <v>707573</v>
      </c>
      <c r="BF148" s="252"/>
    </row>
    <row r="149" spans="51:58" ht="12.75">
      <c r="AY149" s="103" t="s">
        <v>218</v>
      </c>
      <c r="AZ149" s="103" t="s">
        <v>219</v>
      </c>
      <c r="BA149" s="103" t="s">
        <v>505</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505</v>
      </c>
      <c r="BB152" s="10">
        <v>462395</v>
      </c>
      <c r="BE152" s="250"/>
      <c r="BF152" s="239"/>
    </row>
    <row r="153" spans="51:58" ht="12.75">
      <c r="AY153" s="103" t="s">
        <v>191</v>
      </c>
      <c r="AZ153" s="103" t="s">
        <v>192</v>
      </c>
      <c r="BA153" s="103" t="s">
        <v>326</v>
      </c>
      <c r="BB153" s="10">
        <v>332176</v>
      </c>
      <c r="BF153" s="252"/>
    </row>
    <row r="154" spans="51:58" ht="12.75">
      <c r="AY154" s="103" t="s">
        <v>161</v>
      </c>
      <c r="AZ154" s="103" t="s">
        <v>415</v>
      </c>
      <c r="BA154" s="103" t="s">
        <v>326</v>
      </c>
      <c r="BB154" s="10">
        <v>246213</v>
      </c>
      <c r="BE154" s="237"/>
      <c r="BF154" s="238"/>
    </row>
    <row r="155" spans="51:58" ht="12.75">
      <c r="AY155" s="103" t="s">
        <v>235</v>
      </c>
      <c r="AZ155" s="103" t="s">
        <v>236</v>
      </c>
      <c r="BA155" s="103" t="s">
        <v>505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537</v>
      </c>
      <c r="B3" s="56" t="s">
        <v>380</v>
      </c>
      <c r="C3" s="56" t="s">
        <v>24</v>
      </c>
    </row>
    <row r="4" spans="1:2" ht="12.75">
      <c r="A4" s="76">
        <v>1</v>
      </c>
      <c r="B4" s="78" t="s">
        <v>74</v>
      </c>
    </row>
    <row r="5" ht="12.75">
      <c r="A5" s="280" t="s">
        <v>537</v>
      </c>
    </row>
    <row r="6" ht="12.75">
      <c r="A6" s="280" t="s">
        <v>523</v>
      </c>
    </row>
    <row r="7" ht="12.75">
      <c r="A7" s="280" t="s">
        <v>511</v>
      </c>
    </row>
    <row r="8" ht="12.75">
      <c r="A8" s="280" t="s">
        <v>519</v>
      </c>
    </row>
    <row r="9" ht="12.75">
      <c r="A9" s="280" t="s">
        <v>526</v>
      </c>
    </row>
    <row r="10" ht="12.75">
      <c r="A10" s="280" t="s">
        <v>533</v>
      </c>
    </row>
    <row r="11" ht="12.75">
      <c r="A11" s="280" t="s">
        <v>527</v>
      </c>
    </row>
    <row r="12" ht="12.75">
      <c r="A12" s="280" t="s">
        <v>550</v>
      </c>
    </row>
    <row r="13" ht="12.75">
      <c r="A13" s="280" t="s">
        <v>513</v>
      </c>
    </row>
    <row r="14" ht="12.75">
      <c r="A14" s="280" t="s">
        <v>549</v>
      </c>
    </row>
    <row r="15" ht="12.75">
      <c r="A15" s="280" t="s">
        <v>515</v>
      </c>
    </row>
    <row r="16" ht="12.75">
      <c r="A16" s="280" t="s">
        <v>510</v>
      </c>
    </row>
    <row r="17" ht="12.75">
      <c r="A17" s="280" t="s">
        <v>531</v>
      </c>
    </row>
    <row r="18" ht="12.75">
      <c r="A18" s="280" t="s">
        <v>517</v>
      </c>
    </row>
    <row r="19" ht="12.75">
      <c r="A19" s="280" t="s">
        <v>547</v>
      </c>
    </row>
    <row r="20" ht="12.75">
      <c r="A20" s="280" t="s">
        <v>536</v>
      </c>
    </row>
    <row r="21" ht="12.75">
      <c r="A21" s="280" t="s">
        <v>538</v>
      </c>
    </row>
    <row r="22" ht="12.75">
      <c r="A22" s="280" t="s">
        <v>516</v>
      </c>
    </row>
    <row r="23" ht="12.75">
      <c r="A23" s="280" t="s">
        <v>520</v>
      </c>
    </row>
    <row r="24" ht="12.75">
      <c r="A24" s="280" t="s">
        <v>512</v>
      </c>
    </row>
    <row r="25" ht="12.75">
      <c r="A25" s="280" t="s">
        <v>548</v>
      </c>
    </row>
    <row r="26" ht="12.75">
      <c r="A26" s="280" t="s">
        <v>518</v>
      </c>
    </row>
    <row r="27" ht="12.75">
      <c r="A27" s="280" t="s">
        <v>542</v>
      </c>
    </row>
    <row r="28" ht="12.75">
      <c r="A28" s="280" t="s">
        <v>524</v>
      </c>
    </row>
    <row r="29" ht="12.75">
      <c r="A29" s="280" t="s">
        <v>543</v>
      </c>
    </row>
    <row r="30" ht="12.75">
      <c r="A30" s="280" t="s">
        <v>532</v>
      </c>
    </row>
    <row r="31" ht="12.75">
      <c r="A31" s="280" t="s">
        <v>545</v>
      </c>
    </row>
    <row r="32" ht="12.75">
      <c r="A32" s="280" t="s">
        <v>528</v>
      </c>
    </row>
    <row r="33" ht="12.75">
      <c r="A33" s="280" t="s">
        <v>529</v>
      </c>
    </row>
    <row r="34" ht="12.75">
      <c r="A34" s="280" t="s">
        <v>540</v>
      </c>
    </row>
    <row r="35" ht="12.75">
      <c r="A35" s="280" t="s">
        <v>514</v>
      </c>
    </row>
    <row r="36" ht="12.75">
      <c r="A36" s="280" t="s">
        <v>534</v>
      </c>
    </row>
    <row r="37" ht="12.75">
      <c r="A37" s="280" t="s">
        <v>522</v>
      </c>
    </row>
    <row r="38" ht="12.75">
      <c r="A38" s="280" t="s">
        <v>553</v>
      </c>
    </row>
    <row r="39" ht="12.75">
      <c r="A39" s="280" t="s">
        <v>530</v>
      </c>
    </row>
    <row r="40" ht="12.75">
      <c r="A40" s="280" t="s">
        <v>539</v>
      </c>
    </row>
    <row r="41" ht="12.75">
      <c r="A41" s="280" t="s">
        <v>546</v>
      </c>
    </row>
    <row r="42" ht="12.75">
      <c r="A42" s="280" t="s">
        <v>544</v>
      </c>
    </row>
    <row r="43" ht="12.75">
      <c r="A43" s="280" t="s">
        <v>521</v>
      </c>
    </row>
    <row r="44" ht="12.75">
      <c r="A44" s="280" t="s">
        <v>541</v>
      </c>
    </row>
    <row r="45" ht="12.75">
      <c r="A45" s="280" t="s">
        <v>535</v>
      </c>
    </row>
    <row r="46" ht="12.75">
      <c r="A46" s="280" t="s">
        <v>552</v>
      </c>
    </row>
    <row r="47" ht="12.75">
      <c r="A47" s="280" t="s">
        <v>551</v>
      </c>
    </row>
    <row r="48" ht="12.75">
      <c r="A48" s="280" t="s">
        <v>525</v>
      </c>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