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<sst xmlns="http://schemas.openxmlformats.org/spreadsheetml/2006/main" count="1244" uniqueCount="550">
  <si>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</si>
  <si>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</si>
  <si>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</si>
  <si>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</si>
  <si>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</si>
  <si>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</si>
  <si>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</si>
  <si>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</si>
  <si>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</si>
  <si>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</si>
  <si>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</si>
  <si>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</si>
  <si>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</si>
  <si>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</si>
  <si>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</si>
  <si>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</si>
  <si>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</si>
  <si>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</si>
  <si>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</si>
  <si>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</si>
  <si>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</si>
  <si>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</si>
  <si>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</si>
  <si>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</si>
  <si>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</si>
  <si>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</si>
  <si>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</si>
  <si>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</si>
  <si>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</si>
  <si>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</si>
  <si>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</si>
  <si>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</si>
  <si>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</si>
  <si>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</si>
  <si>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</si>
  <si>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</si>
  <si>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</si>
  <si>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</si>
  <si>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</si>
  <si>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</si>
  <si>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</si>
  <si>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</si>
  <si>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</si>
  <si>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</si>
  <si>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</si>
  <si>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</si>
  <si>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</si>
  <si>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</si>
  <si>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</si>
  <si>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</si>
  <si>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</si>
  <si>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</si>
  <si>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</si>
  <si>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</si>
  <si>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</si>
  <si>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</si>
  <si>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</si>
  <si>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</si>
  <si>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</si>
  <si>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</si>
  <si>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</si>
  <si>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</si>
  <si>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</si>
  <si>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</si>
  <si>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</si>
  <si>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</si>
  <si>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</si>
  <si>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</si>
  <si>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</si>
  <si>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</si>
  <si>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</si>
  <si>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</si>
  <si>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</si>
  <si>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</si>
  <si>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</si>
  <si>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</si>
  <si>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</si>
  <si>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</si>
  <si>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</si>
  <si>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</si>
  <si>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</si>
  <si>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</si>
  <si>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</si>
  <si>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</si>
  <si>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</si>
  <si>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</si>
  <si>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</si>
  <si>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</si>
  <si>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</si>
  <si>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</si>
  <si>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</si>
  <si>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</si>
  <si>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</si>
  <si>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</si>
  <si>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</si>
  <si>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</si>
  <si>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</si>
  <si>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</si>
  <si>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</si>
  <si>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</si>
  <si>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</si>
  <si>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</si>
  <si>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</si>
  <si>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</si>
  <si>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</si>
  <si>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</si>
  <si>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</si>
  <si>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</si>
  <si>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</si>
  <si>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</si>
  <si>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</si>
  <si>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</si>
  <si>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</si>
  <si>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</si>
  <si>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</si>
  <si>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</si>
  <si>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</si>
  <si>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</si>
  <si>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</si>
  <si>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</si>
  <si>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</si>
  <si>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</si>
  <si>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</si>
  <si>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</si>
  <si>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</si>
  <si>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</si>
  <si>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</si>
  <si>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</si>
  <si>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</si>
  <si>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</si>
  <si>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</si>
  <si>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</si>
  <si>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</si>
  <si>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</si>
  <si>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</si>
  <si>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</si>
  <si>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</si>
  <si>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</si>
  <si>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</si>
  <si>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</si>
  <si>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</si>
  <si>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</si>
  <si>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</si>
  <si>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</si>
  <si>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</si>
  <si>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</si>
  <si>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</si>
  <si>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</si>
  <si>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</si>
  <si>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</si>
  <si>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</si>
  <si>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</si>
  <si>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</si>
  <si>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</si>
  <si>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</si>
  <si>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</si>
  <si>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</si>
  <si>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</si>
  <si>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</si>
  <si>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</si>
  <si>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</si>
  <si>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</si>
  <si>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</si>
  <si>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</si>
  <si>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</si>
  <si>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</si>
  <si>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</si>
  <si>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</si>
  <si>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</si>
  <si>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</si>
  <si>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</si>
  <si>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</si>
  <si>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</si>
  <si>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</si>
  <si>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</si>
  <si>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</si>
  <si>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</si>
  <si>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</si>
  <si>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</si>
  <si>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</si>
  <si>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</si>
  <si>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</si>
  <si>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</si>
  <si>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</si>
  <si>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</si>
  <si>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</si>
  <si>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</si>
  <si>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</si>
  <si>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</si>
  <si>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</si>
  <si>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</si>
  <si>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</si>
  <si>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</si>
  <si>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</si>
  <si>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</si>
  <si>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</si>
  <si>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</si>
  <si>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</si>
  <si>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</si>
  <si>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</si>
  <si>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</si>
  <si>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</si>
  <si>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</si>
  <si>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</si>
  <si>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</si>
  <si>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</si>
  <si>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</si>
  <si>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</si>
  <si>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</si>
  <si>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</si>
  <si>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</si>
  <si>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</si>
  <si>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</si>
  <si>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</si>
  <si>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</si>
  <si>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</si>
  <si>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</si>
  <si>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</si>
  <si>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</si>
  <si>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</si>
  <si>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</si>
  <si>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</si>
  <si>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</si>
  <si>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</si>
  <si>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</si>
  <si>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</si>
  <si>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</si>
  <si>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</si>
  <si>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</si>
  <si>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</si>
  <si>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</si>
  <si>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</si>
  <si>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</si>
  <si>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</si>
  <si>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</si>
  <si>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</si>
  <si>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</si>
  <si>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</si>
  <si>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</si>
  <si>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</si>
  <si>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</si>
  <si>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</si>
  <si>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</si>
  <si>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</si>
  <si>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</si>
  <si>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</si>
  <si>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</si>
  <si>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</si>
  <si>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</si>
  <si>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</si>
  <si>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</si>
  <si>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</si>
  <si>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</si>
  <si>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</si>
  <si>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</si>
  <si>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</si>
  <si>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</si>
  <si>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</si>
  <si>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</si>
  <si>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</si>
  <si>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</si>
  <si>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</si>
  <si>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</si>
  <si>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</si>
  <si>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</si>
  <si>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</si>
  <si>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</si>
  <si>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</si>
  <si>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</si>
  <si>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</si>
  <si>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</si>
  <si>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</si>
  <si>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</si>
  <si>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</si>
  <si>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</si>
  <si>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</si>
  <si>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</si>
  <si>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</si>
  <si>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</si>
  <si>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</si>
  <si>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</si>
  <si>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</si>
  <si>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A86003</t>
  </si>
  <si>
    <t>A86004</t>
  </si>
  <si>
    <t>A86006</t>
  </si>
  <si>
    <t>A86007</t>
  </si>
  <si>
    <t>A86008</t>
  </si>
  <si>
    <t>A86009</t>
  </si>
  <si>
    <t>A86010</t>
  </si>
  <si>
    <t>A86011</t>
  </si>
  <si>
    <t>A86012</t>
  </si>
  <si>
    <t>A86013</t>
  </si>
  <si>
    <t>A86015</t>
  </si>
  <si>
    <t>A86017</t>
  </si>
  <si>
    <t>A86018</t>
  </si>
  <si>
    <t>A86020</t>
  </si>
  <si>
    <t>A86021</t>
  </si>
  <si>
    <t>A86022</t>
  </si>
  <si>
    <t>A86023</t>
  </si>
  <si>
    <t>A86024</t>
  </si>
  <si>
    <t>A86025</t>
  </si>
  <si>
    <t>A86026</t>
  </si>
  <si>
    <t>A86027</t>
  </si>
  <si>
    <t>A86028</t>
  </si>
  <si>
    <t>A86029</t>
  </si>
  <si>
    <t>A86030</t>
  </si>
  <si>
    <t>A86031</t>
  </si>
  <si>
    <t>A86033</t>
  </si>
  <si>
    <t>A86035</t>
  </si>
  <si>
    <t>A86036</t>
  </si>
  <si>
    <t>A86038</t>
  </si>
  <si>
    <t>A86040</t>
  </si>
  <si>
    <t>A86601</t>
  </si>
  <si>
    <t>5CC</t>
  </si>
  <si>
    <t>Y00184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</si>
  <si>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</si>
  <si>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</si>
  <si>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</si>
  <si>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</si>
  <si>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</si>
  <si>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</si>
  <si>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</si>
  <si>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</si>
  <si>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</si>
  <si>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</si>
  <si>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</si>
  <si>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</si>
  <si>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</si>
  <si>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</si>
  <si>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</si>
  <si>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</si>
  <si>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</si>
  <si>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</si>
  <si>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</si>
  <si>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</si>
  <si>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</si>
  <si>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</si>
  <si>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</si>
  <si>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</si>
  <si>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</si>
  <si>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</si>
  <si>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</si>
  <si>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</si>
  <si>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</si>
  <si>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</si>
  <si>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</si>
  <si>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</si>
  <si>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</si>
  <si>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</si>
  <si>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</si>
  <si>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</si>
  <si>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</si>
  <si>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</si>
  <si>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</si>
  <si>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</si>
  <si>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</si>
  <si>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</si>
  <si>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</si>
  <si>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</si>
  <si>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</si>
  <si>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</si>
  <si>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</si>
  <si>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</si>
  <si>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</si>
  <si>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</si>
  <si>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</si>
  <si>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</si>
  <si>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</si>
  <si>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</si>
  <si>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</si>
  <si>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</si>
  <si>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</si>
  <si>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</si>
  <si>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</si>
  <si>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</si>
  <si>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</si>
  <si>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</si>
  <si>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</si>
  <si>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</si>
  <si>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</si>
  <si>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</si>
  <si>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</si>
  <si>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</si>
  <si>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</si>
  <si>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</si>
  <si>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</si>
  <si>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</si>
  <si>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</si>
  <si>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</si>
  <si>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</si>
  <si>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</si>
  <si>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</si>
  <si>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</si>
  <si>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</si>
  <si>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</si>
  <si>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</si>
  <si>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</si>
  <si>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</si>
  <si>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</si>
  <si>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</si>
  <si>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</si>
  <si>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</si>
  <si>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</si>
  <si>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</si>
  <si>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</si>
  <si>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</si>
  <si>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</si>
  <si>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</si>
  <si>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</si>
  <si>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</si>
  <si>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</si>
  <si>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</si>
  <si>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</si>
  <si>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</si>
  <si>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</si>
  <si>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</si>
  <si>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</si>
  <si>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</si>
  <si>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</si>
  <si>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</si>
  <si>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</si>
  <si>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</si>
  <si>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</si>
  <si>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</si>
  <si>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</si>
  <si>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</si>
  <si>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</si>
  <si>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</si>
  <si>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</si>
  <si>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</si>
  <si>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</si>
  <si>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</si>
  <si>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</si>
  <si>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</si>
  <si>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</si>
  <si>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</si>
  <si>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</si>
  <si>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</si>
  <si>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</si>
  <si>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</si>
  <si>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</si>
  <si>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</si>
  <si>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</si>
  <si>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</si>
  <si>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</si>
  <si>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</si>
  <si>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</si>
  <si>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</si>
  <si>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</si>
  <si>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</si>
  <si>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</si>
  <si>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</si>
  <si>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</si>
  <si>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</si>
  <si>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</si>
  <si>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</si>
  <si>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</si>
  <si>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</si>
  <si>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</si>
  <si>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</si>
  <si>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</si>
  <si>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</si>
  <si>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</si>
  <si>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</si>
  <si>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</si>
  <si>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</si>
  <si>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</si>
  <si>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</si>
  <si>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</si>
  <si>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</si>
  <si>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</si>
  <si>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</si>
  <si>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</si>
  <si>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</si>
  <si>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</si>
  <si>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</si>
  <si>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</si>
  <si>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</si>
  <si>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</si>
  <si>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</si>
  <si>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</si>
  <si>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</si>
  <si>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</si>
  <si>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</si>
  <si>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</si>
  <si>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</si>
  <si>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</si>
  <si>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</si>
  <si>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</si>
  <si>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</si>
  <si>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</si>
  <si>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</si>
  <si>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</si>
  <si>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</si>
  <si>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</si>
  <si>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</si>
  <si>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</si>
  <si>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A86037</t>
  </si>
  <si>
    <t>Y02711</t>
  </si>
  <si>
    <t>Y02726</t>
  </si>
  <si>
    <t>2010/11</t>
  </si>
  <si>
    <t>2008/09-2010/11</t>
  </si>
  <si>
    <t>2005/06-2010/11</t>
  </si>
  <si>
    <t>(A86003) SAVILLE MEDICAL GROUP</t>
  </si>
  <si>
    <t>(A86004) PROSPECT MEDICAL CENTRE</t>
  </si>
  <si>
    <t>(A86006) ROSEWORTH SURGERY</t>
  </si>
  <si>
    <t>(A86007) AVENUE MEDICAL PRACTICE</t>
  </si>
  <si>
    <t>(A86008) PARK MEDICAL GROUP</t>
  </si>
  <si>
    <t>(A86009) FALCON MEDICAL GROUP</t>
  </si>
  <si>
    <t>(A86010) BIDDLESTONE HEALTH GROUP</t>
  </si>
  <si>
    <t>(A86011) WALKER MEDICAL GROUP</t>
  </si>
  <si>
    <t>(A86012) WEST ROAD MEDICAL CENTRE</t>
  </si>
  <si>
    <t>(A86013) DENTON PARK MEDICAL GROUP</t>
  </si>
  <si>
    <t>(A86015) HOLLY MEDICAL GROUP</t>
  </si>
  <si>
    <t>(A86017) CRUDDAS PARK SURGERY</t>
  </si>
  <si>
    <t>(A86018) THE GROVE MEDICAL GROUP</t>
  </si>
  <si>
    <t>(A86020) THE SURGERY-OSBORNE ROAD</t>
  </si>
  <si>
    <t>(A86021) HOLMSIDE MEDICAL GROUP</t>
  </si>
  <si>
    <t>(A86022) PARKWAY MEDICAL GROUP</t>
  </si>
  <si>
    <t>(A86023) 37A MEDICAL CENTRE</t>
  </si>
  <si>
    <t>(A86024) HEATON ROAD SURGERY</t>
  </si>
  <si>
    <t>(A86025) WESTERHOPE MEDICAL GROUP</t>
  </si>
  <si>
    <t>(A86026) THROCKLEY PRIMARY CARE CENTRE</t>
  </si>
  <si>
    <t>(A86027) NEWCASTLE MEDICAL CENTRE</t>
  </si>
  <si>
    <t>(A86028) ELMFIELD HEALTH GROUP</t>
  </si>
  <si>
    <t>(A86029) THORNFIELD MEDICAL GROUP</t>
  </si>
  <si>
    <t>(A86030) BETTS AVENUE MEDICAL GROUP</t>
  </si>
  <si>
    <t>(A86031) FENHAM HALL SURGERY</t>
  </si>
  <si>
    <t>(A86033) BRUNTON PARK</t>
  </si>
  <si>
    <t>(A86035) BROADWAY MEDICAL CENTRE</t>
  </si>
  <si>
    <t>(A86036) GOSFORTH MEMORIAL MEDICAL CENTRE</t>
  </si>
  <si>
    <t>(A86037) GRAINGER MEDICAL GROUP</t>
  </si>
  <si>
    <t>(A86038) NEWBURN SURGERY</t>
  </si>
  <si>
    <t>(A86040) ST. ANTHONY'S HEALTH CENTRE</t>
  </si>
  <si>
    <t>(A86601) DENTON TURRET MEDICAL CENTRE</t>
  </si>
  <si>
    <t>(Y00184) DILSTON MEDICAL CENTRE</t>
  </si>
  <si>
    <t>(Y02711) PONTELAND ROAD HEALTH CENTRE</t>
  </si>
  <si>
    <t>(Y02726) SCOTSWOOD GP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</si>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</sst>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0.8276341070312758</c:v>
                </c:pt>
                <c:pt idx="3">
                  <c:v>1</c:v>
                </c:pt>
                <c:pt idx="4">
                  <c:v>0.9559470651831709</c:v>
                </c:pt>
                <c:pt idx="5">
                  <c:v>1</c:v>
                </c:pt>
                <c:pt idx="6">
                  <c:v>0.9166666456472341</c:v>
                </c:pt>
                <c:pt idx="7">
                  <c:v>0.6987380373592063</c:v>
                </c:pt>
                <c:pt idx="8">
                  <c:v>0.7627400553679785</c:v>
                </c:pt>
                <c:pt idx="9">
                  <c:v>0.6754762121300182</c:v>
                </c:pt>
                <c:pt idx="10">
                  <c:v>0.7367020590795844</c:v>
                </c:pt>
                <c:pt idx="11">
                  <c:v>0.7334018136500919</c:v>
                </c:pt>
                <c:pt idx="12">
                  <c:v>1</c:v>
                </c:pt>
                <c:pt idx="13">
                  <c:v>0</c:v>
                </c:pt>
                <c:pt idx="14">
                  <c:v>1</c:v>
                </c:pt>
                <c:pt idx="15">
                  <c:v>0.7453889537401703</c:v>
                </c:pt>
                <c:pt idx="16">
                  <c:v>1</c:v>
                </c:pt>
                <c:pt idx="17">
                  <c:v>1</c:v>
                </c:pt>
                <c:pt idx="18">
                  <c:v>1</c:v>
                </c:pt>
                <c:pt idx="19">
                  <c:v>1</c:v>
                </c:pt>
                <c:pt idx="20">
                  <c:v>0.9945069161569744</c:v>
                </c:pt>
                <c:pt idx="21">
                  <c:v>0.912057497967863</c:v>
                </c:pt>
                <c:pt idx="22">
                  <c:v>1</c:v>
                </c:pt>
                <c:pt idx="23">
                  <c:v>0.8480703409352445</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0.6246819997990647</c:v>
                </c:pt>
                <c:pt idx="3">
                  <c:v>0.6250000372529052</c:v>
                </c:pt>
                <c:pt idx="4">
                  <c:v>0.673806431556124</c:v>
                </c:pt>
                <c:pt idx="5">
                  <c:v>0.5929684392351745</c:v>
                </c:pt>
                <c:pt idx="6">
                  <c:v>0.7499999563442555</c:v>
                </c:pt>
                <c:pt idx="7">
                  <c:v>0.5646945560499034</c:v>
                </c:pt>
                <c:pt idx="8">
                  <c:v>0.557347671577769</c:v>
                </c:pt>
                <c:pt idx="9">
                  <c:v>0.549895221715354</c:v>
                </c:pt>
                <c:pt idx="10">
                  <c:v>0.5988501865806803</c:v>
                </c:pt>
                <c:pt idx="11">
                  <c:v>0.5706817871726255</c:v>
                </c:pt>
                <c:pt idx="12">
                  <c:v>0.5817116744156199</c:v>
                </c:pt>
                <c:pt idx="13">
                  <c:v>0</c:v>
                </c:pt>
                <c:pt idx="14">
                  <c:v>0.6054892572819424</c:v>
                </c:pt>
                <c:pt idx="15">
                  <c:v>0.5666521977796729</c:v>
                </c:pt>
                <c:pt idx="16">
                  <c:v>0.5812214316227035</c:v>
                </c:pt>
                <c:pt idx="17">
                  <c:v>0.5571067749273155</c:v>
                </c:pt>
                <c:pt idx="18">
                  <c:v>0.6046117482807636</c:v>
                </c:pt>
                <c:pt idx="19">
                  <c:v>0.616484955615194</c:v>
                </c:pt>
                <c:pt idx="20">
                  <c:v>0.6603375766180438</c:v>
                </c:pt>
                <c:pt idx="21">
                  <c:v>0.648014044315741</c:v>
                </c:pt>
                <c:pt idx="22">
                  <c:v>0.6288942990409498</c:v>
                </c:pt>
                <c:pt idx="23">
                  <c:v>0.5712182289087021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0.4418676675843139</c:v>
                </c:pt>
                <c:pt idx="3">
                  <c:v>0.2749999776482569</c:v>
                </c:pt>
                <c:pt idx="4">
                  <c:v>0.3862515562983822</c:v>
                </c:pt>
                <c:pt idx="5">
                  <c:v>0.4256747598341316</c:v>
                </c:pt>
                <c:pt idx="6">
                  <c:v>0.39583331918563835</c:v>
                </c:pt>
                <c:pt idx="7">
                  <c:v>0.41018855775571406</c:v>
                </c:pt>
                <c:pt idx="8">
                  <c:v>0.4281473099934888</c:v>
                </c:pt>
                <c:pt idx="9">
                  <c:v>0.45937747212566193</c:v>
                </c:pt>
                <c:pt idx="10">
                  <c:v>0.36790296576714193</c:v>
                </c:pt>
                <c:pt idx="11">
                  <c:v>0.3949399884193596</c:v>
                </c:pt>
                <c:pt idx="12">
                  <c:v>0.4534032595264999</c:v>
                </c:pt>
                <c:pt idx="13">
                  <c:v>0</c:v>
                </c:pt>
                <c:pt idx="14">
                  <c:v>0.39795916427916855</c:v>
                </c:pt>
                <c:pt idx="15">
                  <c:v>0.3349564567221773</c:v>
                </c:pt>
                <c:pt idx="16">
                  <c:v>0.2878385667051606</c:v>
                </c:pt>
                <c:pt idx="17">
                  <c:v>0.39675666227299916</c:v>
                </c:pt>
                <c:pt idx="18">
                  <c:v>0.3826698913634347</c:v>
                </c:pt>
                <c:pt idx="19">
                  <c:v>0.3676523023129327</c:v>
                </c:pt>
                <c:pt idx="20">
                  <c:v>0.4052839088323798</c:v>
                </c:pt>
                <c:pt idx="21">
                  <c:v>0.3413999301791597</c:v>
                </c:pt>
                <c:pt idx="22">
                  <c:v>0.3805320553240279</c:v>
                </c:pt>
                <c:pt idx="23">
                  <c:v>0.38267527899236137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0.07499997951090213</c:v>
                </c:pt>
                <c:pt idx="4">
                  <c:v>0</c:v>
                </c:pt>
                <c:pt idx="5">
                  <c:v>0.009849457004451855</c:v>
                </c:pt>
                <c:pt idx="6">
                  <c:v>0</c:v>
                </c:pt>
                <c:pt idx="7">
                  <c:v>0</c:v>
                </c:pt>
                <c:pt idx="8">
                  <c:v>0</c:v>
                </c:pt>
                <c:pt idx="9">
                  <c:v>0</c:v>
                </c:pt>
                <c:pt idx="10">
                  <c:v>0</c:v>
                </c:pt>
                <c:pt idx="11">
                  <c:v>0</c:v>
                </c:pt>
                <c:pt idx="12">
                  <c:v>0.2722508210171081</c:v>
                </c:pt>
                <c:pt idx="13">
                  <c:v>0</c:v>
                </c:pt>
                <c:pt idx="14">
                  <c:v>0.18582825788956278</c:v>
                </c:pt>
                <c:pt idx="15">
                  <c:v>0</c:v>
                </c:pt>
                <c:pt idx="16">
                  <c:v>0.06830097169224077</c:v>
                </c:pt>
                <c:pt idx="17">
                  <c:v>0.1587904996386908</c:v>
                </c:pt>
                <c:pt idx="18">
                  <c:v>0.2769563004894073</c:v>
                </c:pt>
                <c:pt idx="19">
                  <c:v>0.21177849877723431</c:v>
                </c:pt>
                <c:pt idx="20">
                  <c:v>0</c:v>
                </c:pt>
                <c:pt idx="21">
                  <c:v>0</c:v>
                </c:pt>
                <c:pt idx="22">
                  <c:v>0.09658656396838727</c:v>
                </c:pt>
                <c:pt idx="23">
                  <c:v>0</c:v>
                </c:pt>
                <c:pt idx="24">
                  <c:v>0</c:v>
                </c:pt>
                <c:pt idx="25">
                  <c:v>0</c:v>
                </c:pt>
                <c:pt idx="26">
                  <c:v>0</c:v>
                </c:pt>
              </c:numCache>
            </c:numRef>
          </c:val>
        </c:ser>
        <c:overlap val="100"/>
        <c:gapWidth val="100"/>
        <c:axId val="47207859"/>
        <c:axId val="2362164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0.591130921747846</c:v>
                </c:pt>
                <c:pt idx="3">
                  <c:v>0.3252732498795652</c:v>
                </c:pt>
                <c:pt idx="4">
                  <c:v>0.5018313752534288</c:v>
                </c:pt>
                <c:pt idx="5">
                  <c:v>0.43380108356277225</c:v>
                </c:pt>
                <c:pt idx="6">
                  <c:v>0.580863577327886</c:v>
                </c:pt>
                <c:pt idx="7">
                  <c:v>0.4994530005628691</c:v>
                </c:pt>
                <c:pt idx="8">
                  <c:v>0.5005798951980467</c:v>
                </c:pt>
                <c:pt idx="9">
                  <c:v>0.4986553328011441</c:v>
                </c:pt>
                <c:pt idx="10">
                  <c:v>0.48746305353260233</c:v>
                </c:pt>
                <c:pt idx="11">
                  <c:v>0.523259567898216</c:v>
                </c:pt>
                <c:pt idx="12">
                  <c:v>0.4576765309790026</c:v>
                </c:pt>
                <c:pt idx="13">
                  <c:v>0.5</c:v>
                </c:pt>
                <c:pt idx="14">
                  <c:v>0.6199344344453195</c:v>
                </c:pt>
                <c:pt idx="15">
                  <c:v>0.5019469317515594</c:v>
                </c:pt>
                <c:pt idx="16">
                  <c:v>0.49137242196675573</c:v>
                </c:pt>
                <c:pt idx="17">
                  <c:v>0.46644948644461914</c:v>
                </c:pt>
                <c:pt idx="18">
                  <c:v>0.5078565558527219</c:v>
                </c:pt>
                <c:pt idx="19">
                  <c:v>0.4523814602315047</c:v>
                </c:pt>
                <c:pt idx="20">
                  <c:v>0.4203744996944166</c:v>
                </c:pt>
                <c:pt idx="21">
                  <c:v>0.29208515118156153</c:v>
                </c:pt>
                <c:pt idx="22">
                  <c:v>0.32096489683652296</c:v>
                </c:pt>
                <c:pt idx="23">
                  <c:v>0.42667439441133415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0.6793246933173508</c:v>
                </c:pt>
                <c:pt idx="5">
                  <c:v>-999</c:v>
                </c:pt>
                <c:pt idx="6">
                  <c:v>0.4583333164983848</c:v>
                </c:pt>
                <c:pt idx="7">
                  <c:v>0.5146462235215493</c:v>
                </c:pt>
                <c:pt idx="8">
                  <c:v>0.49999998840640014</c:v>
                </c:pt>
                <c:pt idx="9">
                  <c:v>-999</c:v>
                </c:pt>
                <c:pt idx="10">
                  <c:v>0.46288953638059277</c:v>
                </c:pt>
                <c:pt idx="11">
                  <c:v>0.5037545453731679</c:v>
                </c:pt>
                <c:pt idx="12">
                  <c:v>-999</c:v>
                </c:pt>
                <c:pt idx="13">
                  <c:v>0.5385073584917005</c:v>
                </c:pt>
                <c:pt idx="14">
                  <c:v>0.5814631060673486</c:v>
                </c:pt>
                <c:pt idx="15">
                  <c:v>0.3349564429120341</c:v>
                </c:pt>
                <c:pt idx="16">
                  <c:v>0.39944438180935143</c:v>
                </c:pt>
                <c:pt idx="17">
                  <c:v>-999</c:v>
                </c:pt>
                <c:pt idx="18">
                  <c:v>0.5924040616314047</c:v>
                </c:pt>
                <c:pt idx="19">
                  <c:v>-999</c:v>
                </c:pt>
                <c:pt idx="20">
                  <c:v>0.5602250957832982</c:v>
                </c:pt>
                <c:pt idx="21">
                  <c:v>-999</c:v>
                </c:pt>
                <c:pt idx="22">
                  <c:v>0.43709834072124826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0.4266930219874403</c:v>
                </c:pt>
                <c:pt idx="3">
                  <c:v>0.5500000059604648</c:v>
                </c:pt>
                <c:pt idx="4">
                  <c:v>-999</c:v>
                </c:pt>
                <c:pt idx="5">
                  <c:v>0.7866251803818037</c:v>
                </c:pt>
                <c:pt idx="6">
                  <c:v>-999</c:v>
                </c:pt>
                <c:pt idx="7">
                  <c:v>-999</c:v>
                </c:pt>
                <c:pt idx="8">
                  <c:v>-999</c:v>
                </c:pt>
                <c:pt idx="9">
                  <c:v>0.5294522368337318</c:v>
                </c:pt>
                <c:pt idx="10">
                  <c:v>-999</c:v>
                </c:pt>
                <c:pt idx="11">
                  <c:v>-999</c:v>
                </c:pt>
                <c:pt idx="12">
                  <c:v>0.4500025387748614</c:v>
                </c:pt>
                <c:pt idx="13">
                  <c:v>-999</c:v>
                </c:pt>
                <c:pt idx="14">
                  <c:v>-999</c:v>
                </c:pt>
                <c:pt idx="15">
                  <c:v>-999</c:v>
                </c:pt>
                <c:pt idx="16">
                  <c:v>-999</c:v>
                </c:pt>
                <c:pt idx="17">
                  <c:v>0.35904831210862176</c:v>
                </c:pt>
                <c:pt idx="18">
                  <c:v>-999</c:v>
                </c:pt>
                <c:pt idx="19">
                  <c:v>0.31519708399863305</c:v>
                </c:pt>
                <c:pt idx="20">
                  <c:v>-999</c:v>
                </c:pt>
                <c:pt idx="21">
                  <c:v>0.7402307099654095</c:v>
                </c:pt>
                <c:pt idx="22">
                  <c:v>-999</c:v>
                </c:pt>
                <c:pt idx="23">
                  <c:v>0.6340761466244078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6658413"/>
        <c:axId val="50620950"/>
      </c:scatterChart>
      <c:catAx>
        <c:axId val="47207859"/>
        <c:scaling>
          <c:orientation val="maxMin"/>
        </c:scaling>
        <c:axPos val="l"/>
        <c:delete val="0"/>
        <c:numFmt formatCode="General" sourceLinked="1"/>
        <c:majorTickMark val="out"/>
        <c:minorTickMark val="none"/>
        <c:tickLblPos val="none"/>
        <c:spPr>
          <a:ln w="3175">
            <a:noFill/>
          </a:ln>
        </c:spPr>
        <c:crossAx val="23621644"/>
        <c:crosses val="autoZero"/>
        <c:auto val="1"/>
        <c:lblOffset val="100"/>
        <c:tickLblSkip val="1"/>
        <c:noMultiLvlLbl val="0"/>
      </c:catAx>
      <c:valAx>
        <c:axId val="23621644"/>
        <c:scaling>
          <c:orientation val="minMax"/>
          <c:max val="1"/>
          <c:min val="0"/>
        </c:scaling>
        <c:axPos val="t"/>
        <c:delete val="0"/>
        <c:numFmt formatCode="General" sourceLinked="1"/>
        <c:majorTickMark val="none"/>
        <c:minorTickMark val="none"/>
        <c:tickLblPos val="none"/>
        <c:spPr>
          <a:ln w="3175">
            <a:noFill/>
          </a:ln>
        </c:spPr>
        <c:crossAx val="47207859"/>
        <c:crossesAt val="1"/>
        <c:crossBetween val="between"/>
        <c:dispUnits/>
        <c:majorUnit val="1"/>
      </c:valAx>
      <c:valAx>
        <c:axId val="46658413"/>
        <c:scaling>
          <c:orientation val="minMax"/>
          <c:max val="1"/>
          <c:min val="0"/>
        </c:scaling>
        <c:axPos val="t"/>
        <c:delete val="0"/>
        <c:numFmt formatCode="General" sourceLinked="1"/>
        <c:majorTickMark val="none"/>
        <c:minorTickMark val="none"/>
        <c:tickLblPos val="none"/>
        <c:spPr>
          <a:ln w="3175">
            <a:noFill/>
          </a:ln>
        </c:spPr>
        <c:crossAx val="50620950"/>
        <c:crosses val="max"/>
        <c:crossBetween val="midCat"/>
        <c:dispUnits/>
        <c:majorUnit val="0.1"/>
        <c:minorUnit val="0.020000000000000004"/>
      </c:valAx>
      <c:valAx>
        <c:axId val="50620950"/>
        <c:scaling>
          <c:orientation val="maxMin"/>
          <c:max val="29"/>
          <c:min val="0"/>
        </c:scaling>
        <c:axPos val="l"/>
        <c:delete val="0"/>
        <c:numFmt formatCode="General" sourceLinked="1"/>
        <c:majorTickMark val="none"/>
        <c:minorTickMark val="none"/>
        <c:tickLblPos val="none"/>
        <c:spPr>
          <a:ln w="3175">
            <a:noFill/>
          </a:ln>
        </c:spPr>
        <c:crossAx val="4665841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(A86023) 37A MEDICAL CENTRE, NEWCASTLE PCT (5D7)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469</v>
      </c>
      <c r="Q3" s="65"/>
      <c r="R3" s="66"/>
      <c r="S3" s="66"/>
      <c r="T3" s="66"/>
      <c r="U3" s="66"/>
      <c r="V3" s="66"/>
      <c r="W3" s="66"/>
      <c r="X3" s="66"/>
      <c r="Y3" s="66"/>
      <c r="Z3" s="66"/>
      <c r="AA3" s="66"/>
      <c r="AB3" s="66"/>
      <c r="AC3" s="66"/>
    </row>
    <row r="4" spans="2:29" ht="18" customHeight="1">
      <c r="B4" s="319" t="s">
        <v>541</v>
      </c>
      <c r="C4" s="320"/>
      <c r="D4" s="320"/>
      <c r="E4" s="320"/>
      <c r="F4" s="320"/>
      <c r="G4" s="321"/>
      <c r="H4" s="112"/>
      <c r="I4" s="112"/>
      <c r="J4" s="112"/>
      <c r="K4" s="112"/>
      <c r="L4" s="113"/>
      <c r="M4" s="65"/>
      <c r="N4" s="65"/>
      <c r="O4" s="65"/>
      <c r="P4" s="134" t="s">
        <v>470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540</v>
      </c>
      <c r="C8" s="115"/>
      <c r="D8" s="115"/>
      <c r="E8" s="128">
        <f>VLOOKUP('Hide - Control'!A$3,'All practice data'!A:CA,4,FALSE)</f>
        <v>8414</v>
      </c>
      <c r="F8" s="310" t="str">
        <f>VLOOKUP('Hide - Control'!B4,'Hide - Calculation'!AY:BA,3,FALSE)</f>
        <v> </v>
      </c>
      <c r="G8" s="310"/>
      <c r="H8" s="310"/>
      <c r="I8" s="115"/>
      <c r="J8" s="115"/>
      <c r="K8" s="115"/>
      <c r="L8" s="115"/>
      <c r="M8" s="109"/>
      <c r="N8" s="314" t="s">
        <v>479</v>
      </c>
      <c r="O8" s="314"/>
      <c r="P8" s="314"/>
      <c r="Q8" s="314" t="s">
        <v>32</v>
      </c>
      <c r="R8" s="314"/>
      <c r="S8" s="314"/>
      <c r="T8" s="314" t="s">
        <v>544</v>
      </c>
      <c r="U8" s="314"/>
      <c r="V8" s="314" t="s">
        <v>33</v>
      </c>
      <c r="W8" s="314"/>
      <c r="X8" s="314"/>
      <c r="Y8" s="135"/>
      <c r="Z8" s="314" t="s">
        <v>472</v>
      </c>
      <c r="AA8" s="314"/>
      <c r="AB8" s="161"/>
      <c r="AC8" s="109"/>
    </row>
    <row r="9" spans="2:29" s="61" customFormat="1" ht="19.5" customHeight="1" thickBot="1">
      <c r="B9" s="114" t="s">
        <v>464</v>
      </c>
      <c r="C9" s="114"/>
      <c r="D9" s="114"/>
      <c r="E9" s="129">
        <f>VLOOKUP('Hide - Control'!B4,'Hide - Calculation'!AY:BB,4,FALSE)</f>
        <v>283085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442</v>
      </c>
      <c r="E11" s="317"/>
      <c r="F11" s="318"/>
      <c r="G11" s="263" t="s">
        <v>440</v>
      </c>
      <c r="H11" s="255" t="s">
        <v>441</v>
      </c>
      <c r="I11" s="255" t="s">
        <v>452</v>
      </c>
      <c r="J11" s="255" t="s">
        <v>453</v>
      </c>
      <c r="K11" s="255" t="s">
        <v>324</v>
      </c>
      <c r="L11" s="256" t="s">
        <v>366</v>
      </c>
      <c r="M11" s="257" t="s">
        <v>462</v>
      </c>
      <c r="N11" s="334" t="s">
        <v>460</v>
      </c>
      <c r="O11" s="334"/>
      <c r="P11" s="334"/>
      <c r="Q11" s="334"/>
      <c r="R11" s="334"/>
      <c r="S11" s="334"/>
      <c r="T11" s="334"/>
      <c r="U11" s="334"/>
      <c r="V11" s="334"/>
      <c r="W11" s="334"/>
      <c r="X11" s="334"/>
      <c r="Y11" s="334"/>
      <c r="Z11" s="334"/>
      <c r="AA11" s="258" t="s">
        <v>463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322</v>
      </c>
      <c r="C13" s="163">
        <v>1</v>
      </c>
      <c r="D13" s="312" t="s">
        <v>318</v>
      </c>
      <c r="E13" s="313"/>
      <c r="F13" s="313"/>
      <c r="G13" s="166">
        <f>IF(VLOOKUP('Hide - Control'!A$3,'All practice data'!A:CA,C13+4,FALSE)=" "," ",VLOOKUP('Hide - Control'!A$3,'All practice data'!A:CA,C13+4,FALSE))</f>
        <v>992</v>
      </c>
      <c r="H13" s="190">
        <f>IF(VLOOKUP('Hide - Control'!A$3,'All practice data'!A:CA,C13+30,FALSE)=" "," ",VLOOKUP('Hide - Control'!A$3,'All practice data'!A:CA,C13+30,FALSE))</f>
        <v>0.11789874019491324</v>
      </c>
      <c r="I13" s="191">
        <f>IF(LEFT(G13,1)=" "," n/a",+((2*G13+1.96^2-1.96*SQRT(1.96^2+4*G13*(1-G13/E$8)))/(2*(E$8+1.96^2))))</f>
        <v>0.11118169970784984</v>
      </c>
      <c r="J13" s="191">
        <f>IF(LEFT(G13,1)=" "," n/a",+((2*G13+1.96^2+1.96*SQRT(1.96^2+4*G13*(1-G13/E$8)))/(2*(E$8+1.96^2))))</f>
        <v>0.12496453521298782</v>
      </c>
      <c r="K13" s="190">
        <f>IF('Hide - Calculation'!N7="","",'Hide - Calculation'!N7)</f>
        <v>0.13258561916032288</v>
      </c>
      <c r="L13" s="192">
        <f>'Hide - Calculation'!O7</f>
        <v>0.1599882305185145</v>
      </c>
      <c r="M13" s="208">
        <f>IF(ISBLANK('Hide - Calculation'!K7),"",'Hide - Calculation'!U7)</f>
        <v>0.008682483807206154</v>
      </c>
      <c r="N13" s="173"/>
      <c r="O13" s="173"/>
      <c r="P13" s="173"/>
      <c r="Q13" s="173"/>
      <c r="R13" s="173"/>
      <c r="S13" s="173"/>
      <c r="T13" s="173"/>
      <c r="U13" s="173"/>
      <c r="V13" s="173"/>
      <c r="W13" s="173"/>
      <c r="X13" s="173"/>
      <c r="Y13" s="173"/>
      <c r="Z13" s="173"/>
      <c r="AA13" s="226">
        <f>IF(ISBLANK('Hide - Calculation'!K7),"",'Hide - Calculation'!T7)</f>
        <v>0.22052353620529175</v>
      </c>
      <c r="AB13" s="233" t="s">
        <v>538</v>
      </c>
      <c r="AC13" s="209" t="s">
        <v>539</v>
      </c>
    </row>
    <row r="14" spans="2:29" ht="33.75" customHeight="1">
      <c r="B14" s="306"/>
      <c r="C14" s="137">
        <v>2</v>
      </c>
      <c r="D14" s="132" t="s">
        <v>473</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0.24</v>
      </c>
      <c r="I14" s="120">
        <f>IF(LEFT(G14,1)=" "," n/a",+((2*H14*E8+1.96^2-1.96*SQRT(1.96^2+4*H14*E8*(1-H14*E8/E$8)))/(2*(E$8+1.96^2))))</f>
        <v>0.23099424367840724</v>
      </c>
      <c r="J14" s="120">
        <f>IF(LEFT(G14,1)=" "," n/a",+((2*H14*E8+1.96^2+1.96*SQRT(1.96^2+4*H14*E8*(1-H14*E8/E$8)))/(2*(E$8+1.96^2))))</f>
        <v>0.2492430656099975</v>
      </c>
      <c r="K14" s="119">
        <f>IF('Hide - Calculation'!N8="","",'Hide - Calculation'!N8)</f>
        <v>0.2082212762951057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0.41999998688697815</v>
      </c>
      <c r="AB14" s="234" t="s">
        <v>39</v>
      </c>
      <c r="AC14" s="130" t="s">
        <v>539</v>
      </c>
    </row>
    <row r="15" spans="2:39" s="63" customFormat="1" ht="33.75" customHeight="1">
      <c r="B15" s="306"/>
      <c r="C15" s="137">
        <v>3</v>
      </c>
      <c r="D15" s="132" t="s">
        <v>327</v>
      </c>
      <c r="E15" s="85"/>
      <c r="F15" s="85"/>
      <c r="G15" s="121">
        <f>IF(VLOOKUP('Hide - Control'!A$3,'All practice data'!A:CA,C15+4,FALSE)=" "," ",VLOOKUP('Hide - Control'!A$3,'All practice data'!A:CA,C15+4,FALSE))</f>
        <v>48</v>
      </c>
      <c r="H15" s="122">
        <f>IF(VLOOKUP('Hide - Control'!A$3,'All practice data'!A:CA,C15+30,FALSE)=" "," ",VLOOKUP('Hide - Control'!A$3,'All practice data'!A:CA,C15+30,FALSE))</f>
        <v>570.477775136677</v>
      </c>
      <c r="I15" s="123">
        <f>IF(LEFT(G15,1)=" "," n/a",IF(G15&lt;5,100000*VLOOKUP(G15,'Hide - Calculation'!AQ:AR,2,FALSE)/$E$8,100000*(G15*(1-1/(9*G15)-1.96/(3*SQRT(G15)))^3)/$E$8))</f>
        <v>420.587961539564</v>
      </c>
      <c r="J15" s="123">
        <f>IF(LEFT(G15,1)=" "," n/a",IF(G15&lt;5,100000*VLOOKUP(G15,'Hide - Calculation'!AQ:AS,3,FALSE)/$E$8,100000*((G15+1)*(1-1/(9*(G15+1))+1.96/(3*SQRT(G15+1)))^3)/$E$8))</f>
        <v>756.3909997884912</v>
      </c>
      <c r="K15" s="122">
        <f>IF('Hide - Calculation'!N9="","",'Hide - Calculation'!N9)</f>
        <v>443.68299274069625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765.068115234375</v>
      </c>
      <c r="AB15" s="234" t="s">
        <v>443</v>
      </c>
      <c r="AC15" s="131">
        <v>2009</v>
      </c>
      <c r="AD15" s="64"/>
      <c r="AE15" s="64"/>
      <c r="AF15" s="64"/>
      <c r="AG15" s="64"/>
      <c r="AH15" s="64"/>
      <c r="AI15" s="64"/>
      <c r="AJ15" s="64"/>
      <c r="AK15" s="64"/>
      <c r="AL15" s="64"/>
      <c r="AM15" s="64"/>
    </row>
    <row r="16" spans="2:29" s="63" customFormat="1" ht="33.75" customHeight="1">
      <c r="B16" s="306"/>
      <c r="C16" s="137">
        <v>4</v>
      </c>
      <c r="D16" s="132" t="s">
        <v>465</v>
      </c>
      <c r="E16" s="85"/>
      <c r="F16" s="85"/>
      <c r="G16" s="121">
        <f>IF(VLOOKUP('Hide - Control'!A$3,'All practice data'!A:CA,C16+4,FALSE)=" "," ",VLOOKUP('Hide - Control'!A$3,'All practice data'!A:CA,C16+4,FALSE))</f>
        <v>33</v>
      </c>
      <c r="H16" s="122">
        <f>IF(VLOOKUP('Hide - Control'!A$3,'All practice data'!A:CA,C16+30,FALSE)=" "," ",VLOOKUP('Hide - Control'!A$3,'All practice data'!A:CA,C16+30,FALSE))</f>
        <v>392.20347040646544</v>
      </c>
      <c r="I16" s="123">
        <f>IF(LEFT(G16,1)=" "," n/a",IF(G16&lt;5,100000*VLOOKUP(G16,'Hide - Calculation'!AQ:AR,2,FALSE)/$E$8,100000*(G16*(1-1/(9*G16)-1.96/(3*SQRT(G16)))^3)/$E$8))</f>
        <v>269.92885953524217</v>
      </c>
      <c r="J16" s="123">
        <f>IF(LEFT(G16,1)=" "," n/a",IF(G16&lt;5,100000*VLOOKUP(G16,'Hide - Calculation'!AQ:AS,3,FALSE)/$E$8,100000*((G16+1)*(1-1/(9*(G16+1))+1.96/(3*SQRT(G16+1)))^3)/$E$8))</f>
        <v>550.8203006621144</v>
      </c>
      <c r="K16" s="122">
        <f>IF('Hide - Calculation'!N10="","",'Hide - Calculation'!N10)</f>
        <v>257.1665754102125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487.80487060546875</v>
      </c>
      <c r="AB16" s="234" t="s">
        <v>321</v>
      </c>
      <c r="AC16" s="131" t="s">
        <v>500</v>
      </c>
    </row>
    <row r="17" spans="2:29" s="63" customFormat="1" ht="33.75" customHeight="1" thickBot="1">
      <c r="B17" s="309"/>
      <c r="C17" s="180">
        <v>5</v>
      </c>
      <c r="D17" s="195" t="s">
        <v>326</v>
      </c>
      <c r="E17" s="182"/>
      <c r="F17" s="182"/>
      <c r="G17" s="140">
        <f>IF(VLOOKUP('Hide - Control'!A$3,'All practice data'!A:CA,C17+4,FALSE)=" "," ",VLOOKUP('Hide - Control'!A$3,'All practice data'!A:CA,C17+4,FALSE))</f>
        <v>111</v>
      </c>
      <c r="H17" s="141">
        <f>IF(VLOOKUP('Hide - Control'!A$3,'All practice data'!A:CA,C17+30,FALSE)=" "," ",VLOOKUP('Hide - Control'!A$3,'All practice data'!A:CA,C17+30,FALSE))</f>
        <v>0.013000000000000001</v>
      </c>
      <c r="I17" s="142">
        <f>IF(LEFT(G17,1)=" "," n/a",+((2*G17+1.96^2-1.96*SQRT(1.96^2+4*G17*(1-G17/E$8)))/(2*(E$8+1.96^2))))</f>
        <v>0.0109669262104788</v>
      </c>
      <c r="J17" s="142">
        <f>IF(LEFT(G17,1)=" "," n/a",+((2*G17+1.96^2+1.96*SQRT(1.96^2+4*G17*(1-G17/E$8)))/(2*(E$8+1.96^2))))</f>
        <v>0.015861993925058084</v>
      </c>
      <c r="K17" s="141">
        <f>IF('Hide - Calculation'!N11="","",'Hide - Calculation'!N11)</f>
        <v>0.014511542469576276</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0.024000000208616257</v>
      </c>
      <c r="AB17" s="235" t="s">
        <v>466</v>
      </c>
      <c r="AC17" s="189" t="s">
        <v>500</v>
      </c>
    </row>
    <row r="18" spans="2:29" s="63" customFormat="1" ht="33.75" customHeight="1">
      <c r="B18" s="308" t="s">
        <v>13</v>
      </c>
      <c r="C18" s="163">
        <v>6</v>
      </c>
      <c r="D18" s="164" t="s">
        <v>474</v>
      </c>
      <c r="E18" s="165"/>
      <c r="F18" s="165"/>
      <c r="G18" s="219">
        <f>IF(OR(VLOOKUP('Hide - Control'!A$3,'All practice data'!A:CA,C18+4,FALSE)=" ",VLOOKUP('Hide - Control'!A$3,'All practice data'!A:CA,C18+52,FALSE)=0)," n/a",VLOOKUP('Hide - Control'!A$3,'All practice data'!A:CA,C18+4,FALSE))</f>
        <v>637</v>
      </c>
      <c r="H18" s="220">
        <f>IF(OR(VLOOKUP('Hide - Control'!A$3,'All practice data'!A:CA,C18+30,FALSE)=" ",VLOOKUP('Hide - Control'!A$3,'All practice data'!A:CA,C18+52,FALSE)=0)," n/a",VLOOKUP('Hide - Control'!A$3,'All practice data'!A:CA,C18+30,FALSE))</f>
        <v>0.733026</v>
      </c>
      <c r="I18" s="191">
        <f>IF(OR(LEFT(H18,1)=" ",VLOOKUP('Hide - Control'!A$3,'All practice data'!A:CA,C18+52,FALSE)=0)," n/a",+((2*G18+1.96^2-1.96*SQRT(1.96^2+4*G18*(1-G18/(VLOOKUP('Hide - Control'!A$3,'All practice data'!A:CA,C18+52,FALSE)))))/(2*(((VLOOKUP('Hide - Control'!A$3,'All practice data'!A:CA,C18+52,FALSE)))+1.96^2))))</f>
        <v>0.7026346877084907</v>
      </c>
      <c r="J18" s="191">
        <f>IF(OR(LEFT(H18,1)=" ",VLOOKUP('Hide - Control'!A$3,'All practice data'!A:CA,C18+52,FALSE)=0)," n/a",+((2*G18+1.96^2+1.96*SQRT(1.96^2+4*G18*(1-G18/(VLOOKUP('Hide - Control'!A$3,'All practice data'!A:CA,C18+52,FALSE)))))/(2*((VLOOKUP('Hide - Control'!A$3,'All practice data'!A:CA,C18+52,FALSE))+1.96^2))))</f>
        <v>0.7613670280667427</v>
      </c>
      <c r="K18" s="220">
        <f>IF('Hide - Calculation'!N12="","",'Hide - Calculation'!N12)</f>
        <v>0.7274063979342993</v>
      </c>
      <c r="L18" s="192">
        <f>'Hide - Calculation'!O12</f>
        <v>0.7248631360507991</v>
      </c>
      <c r="M18" s="193">
        <f>IF(ISBLANK('Hide - Calculation'!K12),"",'Hide - Calculation'!U12)</f>
        <v>0.45652198791503906</v>
      </c>
      <c r="N18" s="194"/>
      <c r="O18" s="173"/>
      <c r="P18" s="173"/>
      <c r="Q18" s="173"/>
      <c r="R18" s="173"/>
      <c r="S18" s="173"/>
      <c r="T18" s="173"/>
      <c r="U18" s="173"/>
      <c r="V18" s="173"/>
      <c r="W18" s="173"/>
      <c r="X18" s="173"/>
      <c r="Y18" s="173"/>
      <c r="Z18" s="174"/>
      <c r="AA18" s="193">
        <f>IF(ISBLANK('Hide - Calculation'!K12),"",'Hide - Calculation'!T12)</f>
        <v>0.8319330215454102</v>
      </c>
      <c r="AB18" s="233" t="s">
        <v>48</v>
      </c>
      <c r="AC18" s="175" t="s">
        <v>501</v>
      </c>
    </row>
    <row r="19" spans="2:29" s="63" customFormat="1" ht="33.75" customHeight="1">
      <c r="B19" s="306"/>
      <c r="C19" s="137">
        <v>7</v>
      </c>
      <c r="D19" s="132" t="s">
        <v>475</v>
      </c>
      <c r="E19" s="85"/>
      <c r="F19" s="85"/>
      <c r="G19" s="221">
        <f>IF(OR(VLOOKUP('Hide - Control'!A$3,'All practice data'!A:CA,C19+4,FALSE)=" ",VLOOKUP('Hide - Control'!A$3,'All practice data'!A:CA,C19+52,FALSE)=0)," n/a",VLOOKUP('Hide - Control'!A$3,'All practice data'!A:CA,C19+4,FALSE))</f>
        <v>635</v>
      </c>
      <c r="H19" s="218">
        <f>IF(OR(VLOOKUP('Hide - Control'!A$3,'All practice data'!A:CA,C19+30,FALSE)=" ",VLOOKUP('Hide - Control'!A$3,'All practice data'!A:CA,C19+52,FALSE)=0)," n/a",VLOOKUP('Hide - Control'!A$3,'All practice data'!A:CA,C19+30,FALSE))</f>
        <v>0.746181</v>
      </c>
      <c r="I19" s="120">
        <f>IF(OR(LEFT(H19,1)=" ",VLOOKUP('Hide - Control'!A$3,'All practice data'!A:CA,C19+52,FALSE)=0)," n/a",+((2*G19+1.96^2-1.96*SQRT(1.96^2+4*G19*(1-G19/(VLOOKUP('Hide - Control'!A$3,'All practice data'!A:CA,C19+52,FALSE)))))/(2*(((VLOOKUP('Hide - Control'!A$3,'All practice data'!A:CA,C19+52,FALSE)))+1.96^2))))</f>
        <v>0.7158795768550922</v>
      </c>
      <c r="J19" s="120">
        <f>IF(OR(LEFT(H19,1)=" ",VLOOKUP('Hide - Control'!A$3,'All practice data'!A:CA,C19+52,FALSE)=0)," n/a",+((2*G19+1.96^2+1.96*SQRT(1.96^2+4*G19*(1-G19/(VLOOKUP('Hide - Control'!A$3,'All practice data'!A:CA,C19+52,FALSE)))))/(2*((VLOOKUP('Hide - Control'!A$3,'All practice data'!A:CA,C19+52,FALSE))+1.96^2))))</f>
        <v>0.7742697092816612</v>
      </c>
      <c r="K19" s="218">
        <f>IF('Hide - Calculation'!N13="","",'Hide - Calculation'!N13)</f>
        <v>0.7388468352391689</v>
      </c>
      <c r="L19" s="155">
        <f>'Hide - Calculation'!O13</f>
        <v>0.7467412166569077</v>
      </c>
      <c r="M19" s="152">
        <f>IF(ISBLANK('Hide - Calculation'!K13),"",'Hide - Calculation'!U13)</f>
        <v>0.26315799355506897</v>
      </c>
      <c r="N19" s="160"/>
      <c r="O19" s="84"/>
      <c r="P19" s="84"/>
      <c r="Q19" s="84"/>
      <c r="R19" s="84"/>
      <c r="S19" s="84"/>
      <c r="T19" s="84"/>
      <c r="U19" s="84"/>
      <c r="V19" s="84"/>
      <c r="W19" s="84"/>
      <c r="X19" s="84"/>
      <c r="Y19" s="84"/>
      <c r="Z19" s="88"/>
      <c r="AA19" s="152">
        <f>IF(ISBLANK('Hide - Calculation'!K13),"",'Hide - Calculation'!T13)</f>
        <v>1</v>
      </c>
      <c r="AB19" s="234" t="s">
        <v>48</v>
      </c>
      <c r="AC19" s="131" t="s">
        <v>500</v>
      </c>
    </row>
    <row r="20" spans="2:29" s="63" customFormat="1" ht="33.75" customHeight="1">
      <c r="B20" s="306"/>
      <c r="C20" s="137">
        <v>8</v>
      </c>
      <c r="D20" s="132" t="s">
        <v>476</v>
      </c>
      <c r="E20" s="85"/>
      <c r="F20" s="85"/>
      <c r="G20" s="221">
        <f>IF(OR(VLOOKUP('Hide - Control'!A$3,'All practice data'!A:CA,C20+4,FALSE)=" ",VLOOKUP('Hide - Control'!A$3,'All practice data'!A:CA,C20+52,FALSE)=0)," n/a",VLOOKUP('Hide - Control'!A$3,'All practice data'!A:CA,C20+4,FALSE))</f>
        <v>1485</v>
      </c>
      <c r="H20" s="218">
        <f>IF(OR(VLOOKUP('Hide - Control'!A$3,'All practice data'!A:CA,C20+30,FALSE)=" ",VLOOKUP('Hide - Control'!A$3,'All practice data'!A:CA,C20+52,FALSE)=0)," n/a",VLOOKUP('Hide - Control'!A$3,'All practice data'!A:CA,C20+30,FALSE))</f>
        <v>0.779119</v>
      </c>
      <c r="I20" s="120">
        <f>IF(OR(LEFT(H20,1)=" ",VLOOKUP('Hide - Control'!A$3,'All practice data'!A:CA,C20+52,FALSE)=0)," n/a",+((2*G20+1.96^2-1.96*SQRT(1.96^2+4*G20*(1-G20/(VLOOKUP('Hide - Control'!A$3,'All practice data'!A:CA,C20+52,FALSE)))))/(2*(((VLOOKUP('Hide - Control'!A$3,'All practice data'!A:CA,C20+52,FALSE)))+1.96^2))))</f>
        <v>0.7599432736659834</v>
      </c>
      <c r="J20" s="120">
        <f>IF(OR(LEFT(H20,1)=" ",VLOOKUP('Hide - Control'!A$3,'All practice data'!A:CA,C20+52,FALSE)=0)," n/a",+((2*G20+1.96^2+1.96*SQRT(1.96^2+4*G20*(1-G20/(VLOOKUP('Hide - Control'!A$3,'All practice data'!A:CA,C20+52,FALSE)))))/(2*((VLOOKUP('Hide - Control'!A$3,'All practice data'!A:CA,C20+52,FALSE))+1.96^2))))</f>
        <v>0.7971709917264975</v>
      </c>
      <c r="K20" s="218">
        <f>IF('Hide - Calculation'!N14="","",'Hide - Calculation'!N14)</f>
        <v>0.740475252326251</v>
      </c>
      <c r="L20" s="155">
        <f>'Hide - Calculation'!O14</f>
        <v>0.7559681673907895</v>
      </c>
      <c r="M20" s="152">
        <f>IF(ISBLANK('Hide - Calculation'!K14),"",'Hide - Calculation'!U14)</f>
        <v>0.38111600279808044</v>
      </c>
      <c r="N20" s="160"/>
      <c r="O20" s="84"/>
      <c r="P20" s="84"/>
      <c r="Q20" s="84"/>
      <c r="R20" s="84"/>
      <c r="S20" s="84"/>
      <c r="T20" s="84"/>
      <c r="U20" s="84"/>
      <c r="V20" s="84"/>
      <c r="W20" s="84"/>
      <c r="X20" s="84"/>
      <c r="Y20" s="84"/>
      <c r="Z20" s="88"/>
      <c r="AA20" s="152">
        <f>IF(ISBLANK('Hide - Calculation'!K14),"",'Hide - Calculation'!T14)</f>
        <v>0.8888890147209167</v>
      </c>
      <c r="AB20" s="234" t="s">
        <v>48</v>
      </c>
      <c r="AC20" s="131" t="s">
        <v>502</v>
      </c>
    </row>
    <row r="21" spans="2:29" s="63" customFormat="1" ht="33.75" customHeight="1">
      <c r="B21" s="306"/>
      <c r="C21" s="137">
        <v>9</v>
      </c>
      <c r="D21" s="132" t="s">
        <v>477</v>
      </c>
      <c r="E21" s="85"/>
      <c r="F21" s="85"/>
      <c r="G21" s="221">
        <f>IF(OR(VLOOKUP('Hide - Control'!A$3,'All practice data'!A:CA,C21+4,FALSE)=" ",VLOOKUP('Hide - Control'!A$3,'All practice data'!A:CA,C21+52,FALSE)=0)," n/a",VLOOKUP('Hide - Control'!A$3,'All practice data'!A:CA,C21+4,FALSE))</f>
        <v>359</v>
      </c>
      <c r="H21" s="218">
        <f>IF(OR(VLOOKUP('Hide - Control'!A$3,'All practice data'!A:CA,C21+30,FALSE)=" ",VLOOKUP('Hide - Control'!A$3,'All practice data'!A:CA,C21+52,FALSE)=0)," n/a",VLOOKUP('Hide - Control'!A$3,'All practice data'!A:CA,C21+30,FALSE))</f>
        <v>0.502801</v>
      </c>
      <c r="I21" s="120">
        <f>IF(OR(LEFT(H21,1)=" ",VLOOKUP('Hide - Control'!A$3,'All practice data'!A:CA,C21+52,FALSE)=0)," n/a",+((2*G21+1.96^2-1.96*SQRT(1.96^2+4*G21*(1-G21/(VLOOKUP('Hide - Control'!A$3,'All practice data'!A:CA,C21+52,FALSE)))))/(2*(((VLOOKUP('Hide - Control'!A$3,'All practice data'!A:CA,C21+52,FALSE)))+1.96^2))))</f>
        <v>0.46620939079387747</v>
      </c>
      <c r="J21" s="120">
        <f>IF(OR(LEFT(H21,1)=" ",VLOOKUP('Hide - Control'!A$3,'All practice data'!A:CA,C21+52,FALSE)=0)," n/a",+((2*G21+1.96^2+1.96*SQRT(1.96^2+4*G21*(1-G21/(VLOOKUP('Hide - Control'!A$3,'All practice data'!A:CA,C21+52,FALSE)))))/(2*((VLOOKUP('Hide - Control'!A$3,'All practice data'!A:CA,C21+52,FALSE))+1.96^2))))</f>
        <v>0.539362869158736</v>
      </c>
      <c r="K21" s="218">
        <f>IF('Hide - Calculation'!N15="","",'Hide - Calculation'!N15)</f>
        <v>0.515607323920057</v>
      </c>
      <c r="L21" s="155">
        <f>'Hide - Calculation'!O15</f>
        <v>0.5147293797466616</v>
      </c>
      <c r="M21" s="152">
        <f>IF(ISBLANK('Hide - Calculation'!K15),"",'Hide - Calculation'!U15)</f>
        <v>0.2781069874763489</v>
      </c>
      <c r="N21" s="160"/>
      <c r="O21" s="84"/>
      <c r="P21" s="84"/>
      <c r="Q21" s="84"/>
      <c r="R21" s="84"/>
      <c r="S21" s="84"/>
      <c r="T21" s="84"/>
      <c r="U21" s="84"/>
      <c r="V21" s="84"/>
      <c r="W21" s="84"/>
      <c r="X21" s="84"/>
      <c r="Y21" s="84"/>
      <c r="Z21" s="88"/>
      <c r="AA21" s="152">
        <f>IF(ISBLANK('Hide - Calculation'!K15),"",'Hide - Calculation'!T15)</f>
        <v>0.6357139945030212</v>
      </c>
      <c r="AB21" s="234" t="s">
        <v>48</v>
      </c>
      <c r="AC21" s="131" t="s">
        <v>501</v>
      </c>
    </row>
    <row r="22" spans="2:29" s="63" customFormat="1" ht="33.75" customHeight="1" thickBot="1">
      <c r="B22" s="309"/>
      <c r="C22" s="180">
        <v>10</v>
      </c>
      <c r="D22" s="195" t="s">
        <v>478</v>
      </c>
      <c r="E22" s="182"/>
      <c r="F22" s="182"/>
      <c r="G22" s="222">
        <f>IF(OR(VLOOKUP('Hide - Control'!A$3,'All practice data'!A:CA,C22+4,FALSE)=" ",VLOOKUP('Hide - Control'!A$3,'All practice data'!A:CA,C22+52,FALSE)=0)," n/a",VLOOKUP('Hide - Control'!A$3,'All practice data'!A:CA,C22+4,FALSE))</f>
        <v>188</v>
      </c>
      <c r="H22" s="223">
        <f>IF(OR(VLOOKUP('Hide - Control'!A$3,'All practice data'!A:CA,C22+30,FALSE)=" ",VLOOKUP('Hide - Control'!A$3,'All practice data'!A:CA,C22+52,FALSE)=0)," n/a",VLOOKUP('Hide - Control'!A$3,'All practice data'!A:CA,C22+30,FALSE))</f>
        <v>0.564565</v>
      </c>
      <c r="I22" s="196">
        <f>IF(OR(LEFT(H22,1)=" ",VLOOKUP('Hide - Control'!A$3,'All practice data'!A:CA,C22+52,FALSE)=0)," n/a",+((2*G22+1.96^2-1.96*SQRT(1.96^2+4*G22*(1-G22/(VLOOKUP('Hide - Control'!A$3,'All practice data'!A:CA,C22+52,FALSE)))))/(2*(((VLOOKUP('Hide - Control'!A$3,'All practice data'!A:CA,C22+52,FALSE)))+1.96^2))))</f>
        <v>0.5108735961967837</v>
      </c>
      <c r="J22" s="196">
        <f>IF(OR(LEFT(H22,1)=" ",VLOOKUP('Hide - Control'!A$3,'All practice data'!A:CA,C22+52,FALSE)=0)," n/a",+((2*G22+1.96^2+1.96*SQRT(1.96^2+4*G22*(1-G22/(VLOOKUP('Hide - Control'!A$3,'All practice data'!A:CA,C22+52,FALSE)))))/(2*((VLOOKUP('Hide - Control'!A$3,'All practice data'!A:CA,C22+52,FALSE))+1.96^2))))</f>
        <v>0.6167828452878785</v>
      </c>
      <c r="K22" s="223">
        <f>IF('Hide - Calculation'!N16="","",'Hide - Calculation'!N16)</f>
        <v>0.5561797752808989</v>
      </c>
      <c r="L22" s="197">
        <f>'Hide - Calculation'!O16</f>
        <v>0.5752927626212945</v>
      </c>
      <c r="M22" s="198">
        <f>IF(ISBLANK('Hide - Calculation'!K16),"",'Hide - Calculation'!U16)</f>
        <v>0.2874999940395355</v>
      </c>
      <c r="N22" s="199"/>
      <c r="O22" s="91"/>
      <c r="P22" s="91"/>
      <c r="Q22" s="91"/>
      <c r="R22" s="91"/>
      <c r="S22" s="91"/>
      <c r="T22" s="91"/>
      <c r="U22" s="91"/>
      <c r="V22" s="91"/>
      <c r="W22" s="91"/>
      <c r="X22" s="91"/>
      <c r="Y22" s="91"/>
      <c r="Z22" s="188"/>
      <c r="AA22" s="198">
        <f>IF(ISBLANK('Hide - Calculation'!K16),"",'Hide - Calculation'!T16)</f>
        <v>0.690871000289917</v>
      </c>
      <c r="AB22" s="235" t="s">
        <v>48</v>
      </c>
      <c r="AC22" s="189" t="s">
        <v>500</v>
      </c>
    </row>
    <row r="23" spans="2:29" s="63" customFormat="1" ht="33.75" customHeight="1">
      <c r="B23" s="308" t="s">
        <v>316</v>
      </c>
      <c r="C23" s="163">
        <v>11</v>
      </c>
      <c r="D23" s="179" t="s">
        <v>328</v>
      </c>
      <c r="E23" s="165"/>
      <c r="F23" s="165"/>
      <c r="G23" s="118">
        <f>IF(VLOOKUP('Hide - Control'!A$3,'All practice data'!A:CA,C23+4,FALSE)=" "," ",VLOOKUP('Hide - Control'!A$3,'All practice data'!A:CA,C23+4,FALSE))</f>
        <v>148</v>
      </c>
      <c r="H23" s="216">
        <f>IF(VLOOKUP('Hide - Control'!A$3,'All practice data'!A:CA,C23+30,FALSE)=" "," ",VLOOKUP('Hide - Control'!A$3,'All practice data'!A:CA,C23+30,FALSE))</f>
        <v>1758.973140004754</v>
      </c>
      <c r="I23" s="215">
        <f>IF(LEFT(G23,1)=" "," n/a",IF(G23&lt;5,100000*VLOOKUP(G23,'Hide - Calculation'!AQ:AR,2,FALSE)/$E$8,100000*(G23*(1-1/(9*G23)-1.96/(3*SQRT(G23)))^3)/$E$8))</f>
        <v>1486.9850915310653</v>
      </c>
      <c r="J23" s="215">
        <f>IF(LEFT(G23,1)=" "," n/a",IF(G23&lt;5,100000*VLOOKUP(G23,'Hide - Calculation'!AQ:AS,3,FALSE)/$E$8,100000*((G23+1)*(1-1/(9*(G23+1))+1.96/(3*SQRT(G23+1)))^3)/$E$8))</f>
        <v>2066.300450077241</v>
      </c>
      <c r="K23" s="216">
        <f>IF('Hide - Calculation'!N17="","",'Hide - Calculation'!N17)</f>
        <v>2304.254905770352</v>
      </c>
      <c r="L23" s="217">
        <f>'Hide - Calculation'!O17</f>
        <v>1812.1669120472948</v>
      </c>
      <c r="M23" s="170">
        <f>IF(ISBLANK('Hide - Calculation'!K17),"",'Hide - Calculation'!U17)</f>
        <v>526.8524780273438</v>
      </c>
      <c r="N23" s="171"/>
      <c r="O23" s="172"/>
      <c r="P23" s="172"/>
      <c r="Q23" s="172"/>
      <c r="R23" s="173"/>
      <c r="S23" s="173"/>
      <c r="T23" s="173"/>
      <c r="U23" s="173"/>
      <c r="V23" s="173"/>
      <c r="W23" s="173"/>
      <c r="X23" s="173"/>
      <c r="Y23" s="173"/>
      <c r="Z23" s="174"/>
      <c r="AA23" s="170">
        <f>IF(ISBLANK('Hide - Calculation'!K17),"",'Hide - Calculation'!T17)</f>
        <v>5571.3876953125</v>
      </c>
      <c r="AB23" s="233" t="s">
        <v>26</v>
      </c>
      <c r="AC23" s="175" t="s">
        <v>500</v>
      </c>
    </row>
    <row r="24" spans="2:29" s="63" customFormat="1" ht="33.75" customHeight="1">
      <c r="B24" s="306"/>
      <c r="C24" s="137">
        <v>12</v>
      </c>
      <c r="D24" s="147" t="s">
        <v>484</v>
      </c>
      <c r="E24" s="85"/>
      <c r="F24" s="85"/>
      <c r="G24" s="118">
        <f>IF(VLOOKUP('Hide - Control'!A$3,'All practice data'!A:CA,C24+4,FALSE)=" "," ",VLOOKUP('Hide - Control'!A$3,'All practice data'!A:CA,C24+4,FALSE))</f>
        <v>148</v>
      </c>
      <c r="H24" s="119">
        <f>IF(VLOOKUP('Hide - Control'!A$3,'All practice data'!A:CA,C24+30,FALSE)=" "," ",VLOOKUP('Hide - Control'!A$3,'All practice data'!A:CA,C24+30,FALSE))</f>
        <v>1.132156067</v>
      </c>
      <c r="I24" s="212">
        <f>IF(LEFT(VLOOKUP('Hide - Control'!A$3,'All practice data'!A:CA,C24+44,FALSE),1)=" "," n/a",VLOOKUP('Hide - Control'!A$3,'All practice data'!A:CA,C24+44,FALSE))</f>
        <v>0.9571064758</v>
      </c>
      <c r="J24" s="212">
        <f>IF(LEFT(VLOOKUP('Hide - Control'!A$3,'All practice data'!A:CA,C24+45,FALSE),1)=" "," n/a",VLOOKUP('Hide - Control'!A$3,'All practice data'!A:CA,C24+45,FALSE))</f>
        <v>1.329954681</v>
      </c>
      <c r="K24" s="152" t="s">
        <v>543</v>
      </c>
      <c r="L24" s="213">
        <v>1</v>
      </c>
      <c r="M24" s="152">
        <f>IF(ISBLANK('Hide - Calculation'!K18),"",'Hide - Calculation'!U18)</f>
        <v>0.5768538117408752</v>
      </c>
      <c r="N24" s="86"/>
      <c r="O24" s="87"/>
      <c r="P24" s="87"/>
      <c r="Q24" s="87"/>
      <c r="R24" s="84"/>
      <c r="S24" s="84"/>
      <c r="T24" s="84"/>
      <c r="U24" s="84"/>
      <c r="V24" s="84"/>
      <c r="W24" s="84"/>
      <c r="X24" s="84"/>
      <c r="Y24" s="84"/>
      <c r="Z24" s="88"/>
      <c r="AA24" s="152">
        <f>IF(ISBLANK('Hide - Calculation'!K18),"",'Hide - Calculation'!T18)</f>
        <v>2.715984582901001</v>
      </c>
      <c r="AB24" s="234" t="s">
        <v>26</v>
      </c>
      <c r="AC24" s="131" t="s">
        <v>500</v>
      </c>
    </row>
    <row r="25" spans="2:29" s="63" customFormat="1" ht="33.75" customHeight="1">
      <c r="B25" s="306"/>
      <c r="C25" s="137">
        <v>13</v>
      </c>
      <c r="D25" s="147" t="s">
        <v>323</v>
      </c>
      <c r="E25" s="85"/>
      <c r="F25" s="85"/>
      <c r="G25" s="118">
        <f>IF(VLOOKUP('Hide - Control'!A$3,'All practice data'!A:CA,C25+4,FALSE)=" "," ",VLOOKUP('Hide - Control'!A$3,'All practice data'!A:CA,C25+4,FALSE))</f>
        <v>15</v>
      </c>
      <c r="H25" s="119">
        <f>IF(VLOOKUP('Hide - Control'!A$3,'All practice data'!A:CA,C25+30,FALSE)=" "," ",VLOOKUP('Hide - Control'!A$3,'All practice data'!A:CA,C25+30,FALSE))</f>
        <v>0.10135135135135136</v>
      </c>
      <c r="I25" s="120">
        <f>IF(LEFT(G25,1)=" "," n/a",IF(G25=0," n/a",+((2*G25+1.96^2-1.96*SQRT(1.96^2+4*G25*(1-G25/G23)))/(2*(G23+1.96^2)))))</f>
        <v>0.06238584514033463</v>
      </c>
      <c r="J25" s="120">
        <f>IF(LEFT(G25,1)=" "," n/a",IF(G25=0," n/a",+((2*G25+1.96^2+1.96*SQRT(1.96^2+4*G25*(1-G25/G23)))/(2*(G23+1.96^2)))))</f>
        <v>0.16048851867037336</v>
      </c>
      <c r="K25" s="125">
        <f>IF('Hide - Calculation'!N19="","",'Hide - Calculation'!N19)</f>
        <v>0.08508355051356738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0.18666666746139526</v>
      </c>
      <c r="AB25" s="234" t="s">
        <v>26</v>
      </c>
      <c r="AC25" s="131" t="s">
        <v>500</v>
      </c>
    </row>
    <row r="26" spans="2:29" s="63" customFormat="1" ht="33.75" customHeight="1">
      <c r="B26" s="306"/>
      <c r="C26" s="137">
        <v>14</v>
      </c>
      <c r="D26" s="147" t="s">
        <v>467</v>
      </c>
      <c r="E26" s="85"/>
      <c r="F26" s="85"/>
      <c r="G26" s="121">
        <f>IF(VLOOKUP('Hide - Control'!A$3,'All practice data'!A:CA,C26+4,FALSE)=" "," ",VLOOKUP('Hide - Control'!A$3,'All practice data'!A:CA,C26+4,FALSE))</f>
        <v>45</v>
      </c>
      <c r="H26" s="119">
        <f>IF(VLOOKUP('Hide - Control'!A$3,'All practice data'!A:CA,C26+30,FALSE)=" "," ",VLOOKUP('Hide - Control'!A$3,'All practice data'!A:CA,C26+30,FALSE))</f>
        <v>0.3333333333333333</v>
      </c>
      <c r="I26" s="120">
        <f>IF(OR(LEFT(G26,1)=" ",LEFT(G25,1)=" ")," n/a",IF(G26=0," n/a",+((2*G25+1.96^2-1.96*SQRT(1.96^2+4*G25*(1-G25/G26)))/(2*(G26+1.96^2)))))</f>
        <v>0.21358692207276764</v>
      </c>
      <c r="J26" s="120">
        <f>IF(OR(LEFT(G26,1)=" ",LEFT(G25,1)=" ")," n/a",IF(G26=0," n/a",+((2*G25+1.96^2+1.96*SQRT(1.96^2+4*G25*(1-G25/G26)))/(2*(G26+1.96^2)))))</f>
        <v>0.47929783190744596</v>
      </c>
      <c r="K26" s="125">
        <f>IF('Hide - Calculation'!N20="","",'Hide - Calculation'!N20)</f>
        <v>0.43359375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0.6285714507102966</v>
      </c>
      <c r="AB26" s="234" t="s">
        <v>26</v>
      </c>
      <c r="AC26" s="131" t="s">
        <v>500</v>
      </c>
    </row>
    <row r="27" spans="2:29" s="63" customFormat="1" ht="33.75" customHeight="1">
      <c r="B27" s="306"/>
      <c r="C27" s="137">
        <v>15</v>
      </c>
      <c r="D27" s="147" t="s">
        <v>454</v>
      </c>
      <c r="E27" s="85"/>
      <c r="F27" s="85"/>
      <c r="G27" s="121">
        <f>IF(VLOOKUP('Hide - Control'!A$3,'All practice data'!A:CA,C27+4,FALSE)=" "," ",VLOOKUP('Hide - Control'!A$3,'All practice data'!A:CA,C27+4,FALSE))</f>
        <v>26</v>
      </c>
      <c r="H27" s="122">
        <f>IF(VLOOKUP('Hide - Control'!A$3,'All practice data'!A:CA,C27+30,FALSE)=" "," ",VLOOKUP('Hide - Control'!A$3,'All practice data'!A:CA,C27+30,FALSE))</f>
        <v>309.0087948657</v>
      </c>
      <c r="I27" s="123">
        <f>IF(LEFT(G27,1)=" "," n/a",IF(G27&lt;5,100000*VLOOKUP(G27,'Hide - Calculation'!AQ:AR,2,FALSE)/$E$8,100000*(G27*(1-1/(9*G27)-1.96/(3*SQRT(G27)))^3)/$E$8))</f>
        <v>201.8019678170904</v>
      </c>
      <c r="J27" s="123">
        <f>IF(LEFT(G27,1)=" "," n/a",IF(G27&lt;5,100000*VLOOKUP(G27,'Hide - Calculation'!AQ:AS,3,FALSE)/$E$8,100000*((G27+1)*(1-1/(9*(G27+1))+1.96/(3*SQRT(G27+1)))^3)/$E$8))</f>
        <v>452.79032062986494</v>
      </c>
      <c r="K27" s="122">
        <f>IF('Hide - Calculation'!N21="","",'Hide - Calculation'!N21)</f>
        <v>354.6637935602381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757.9522705078125</v>
      </c>
      <c r="AB27" s="234" t="s">
        <v>26</v>
      </c>
      <c r="AC27" s="131" t="s">
        <v>500</v>
      </c>
    </row>
    <row r="28" spans="2:29" s="63" customFormat="1" ht="33.75" customHeight="1">
      <c r="B28" s="306"/>
      <c r="C28" s="137">
        <v>16</v>
      </c>
      <c r="D28" s="147" t="s">
        <v>455</v>
      </c>
      <c r="E28" s="85"/>
      <c r="F28" s="85"/>
      <c r="G28" s="121">
        <f>IF(VLOOKUP('Hide - Control'!A$3,'All practice data'!A:CA,C28+4,FALSE)=" "," ",VLOOKUP('Hide - Control'!A$3,'All practice data'!A:CA,C28+4,FALSE))</f>
        <v>16</v>
      </c>
      <c r="H28" s="122">
        <f>IF(VLOOKUP('Hide - Control'!A$3,'All practice data'!A:CA,C28+30,FALSE)=" "," ",VLOOKUP('Hide - Control'!A$3,'All practice data'!A:CA,C28+30,FALSE))</f>
        <v>190.15925837889233</v>
      </c>
      <c r="I28" s="123">
        <f>IF(LEFT(G28,1)=" "," n/a",IF(G28&lt;5,100000*VLOOKUP(G28,'Hide - Calculation'!AQ:AR,2,FALSE)/$E$8,100000*(G28*(1-1/(9*G28)-1.96/(3*SQRT(G28)))^3)/$E$8))</f>
        <v>108.6214611409295</v>
      </c>
      <c r="J28" s="123">
        <f>IF(LEFT(G28,1)=" "," n/a",IF(G28&lt;5,100000*VLOOKUP(G28,'Hide - Calculation'!AQ:AS,3,FALSE)/$E$8,100000*((G28+1)*(1-1/(9*(G28+1))+1.96/(3*SQRT(G28+1)))^3)/$E$8))</f>
        <v>308.8261853512229</v>
      </c>
      <c r="K28" s="122">
        <f>IF('Hide - Calculation'!N22="","",'Hide - Calculation'!N22)</f>
        <v>315.09970503559003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740.9518432617188</v>
      </c>
      <c r="AB28" s="234" t="s">
        <v>26</v>
      </c>
      <c r="AC28" s="131" t="s">
        <v>500</v>
      </c>
    </row>
    <row r="29" spans="2:29" s="63" customFormat="1" ht="33.75" customHeight="1">
      <c r="B29" s="306"/>
      <c r="C29" s="137">
        <v>17</v>
      </c>
      <c r="D29" s="147" t="s">
        <v>456</v>
      </c>
      <c r="E29" s="85"/>
      <c r="F29" s="85"/>
      <c r="G29" s="121">
        <f>IF(VLOOKUP('Hide - Control'!A$3,'All practice data'!A:CA,C29+4,FALSE)=" "," ",VLOOKUP('Hide - Control'!A$3,'All practice data'!A:CA,C29+4,FALSE))</f>
        <v>8</v>
      </c>
      <c r="H29" s="122">
        <f>IF(VLOOKUP('Hide - Control'!A$3,'All practice data'!A:CA,C29+30,FALSE)=" "," ",VLOOKUP('Hide - Control'!A$3,'All practice data'!A:CA,C29+30,FALSE))</f>
        <v>95.07962918944617</v>
      </c>
      <c r="I29" s="123">
        <f>IF(LEFT(G29,1)=" "," n/a",IF(G29&lt;5,100000*VLOOKUP(G29,'Hide - Calculation'!AQ:AR,2,FALSE)/$E$8,100000*(G29*(1-1/(9*G29)-1.96/(3*SQRT(G29)))^3)/$E$8))</f>
        <v>40.939298355832115</v>
      </c>
      <c r="J29" s="123">
        <f>IF(LEFT(G29,1)=" "," n/a",IF(G29&lt;5,100000*VLOOKUP(G29,'Hide - Calculation'!AQ:AS,3,FALSE)/$E$8,100000*((G29+1)*(1-1/(9*(G29+1))+1.96/(3*SQRT(G29+1)))^3)/$E$8))</f>
        <v>187.3562811027007</v>
      </c>
      <c r="K29" s="122">
        <f>IF('Hide - Calculation'!N23="","",'Hide - Calculation'!N23)</f>
        <v>75.94891993570836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213.73611450195312</v>
      </c>
      <c r="AB29" s="234" t="s">
        <v>26</v>
      </c>
      <c r="AC29" s="131" t="s">
        <v>500</v>
      </c>
    </row>
    <row r="30" spans="2:29" s="63" customFormat="1" ht="33.75" customHeight="1" thickBot="1">
      <c r="B30" s="309"/>
      <c r="C30" s="180">
        <v>18</v>
      </c>
      <c r="D30" s="181" t="s">
        <v>457</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154.50439743285</v>
      </c>
      <c r="I30" s="185">
        <f>IF(LEFT(G30,1)=" "," n/a",IF(G30&lt;5,100000*VLOOKUP(G30,'Hide - Calculation'!AQ:AR,2,FALSE)/$E$8,100000*(G30*(1-1/(9*G30)-1.96/(3*SQRT(G30)))^3)/$E$8))</f>
        <v>82.18630488785985</v>
      </c>
      <c r="J30" s="185">
        <f>IF(LEFT(G30,1)=" "," n/a",IF(G30&lt;5,100000*VLOOKUP(G30,'Hide - Calculation'!AQ:AS,3,FALSE)/$E$8,100000*((G30+1)*(1-1/(9*(G30+1))+1.96/(3*SQRT(G30+1)))^3)/$E$8))</f>
        <v>264.225224997057</v>
      </c>
      <c r="K30" s="184">
        <f>IF('Hide - Calculation'!N24="","",'Hide - Calculation'!N24)</f>
        <v>432.7322182383383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996.7584838867188</v>
      </c>
      <c r="AB30" s="235" t="s">
        <v>26</v>
      </c>
      <c r="AC30" s="189" t="s">
        <v>500</v>
      </c>
    </row>
    <row r="31" spans="2:29" s="63" customFormat="1" ht="33.75" customHeight="1">
      <c r="B31" s="304" t="s">
        <v>325</v>
      </c>
      <c r="C31" s="163">
        <v>19</v>
      </c>
      <c r="D31" s="164" t="s">
        <v>329</v>
      </c>
      <c r="E31" s="165"/>
      <c r="F31" s="165"/>
      <c r="G31" s="166">
        <f>IF(VLOOKUP('Hide - Control'!A$3,'All practice data'!A:CA,C31+4,FALSE)=" "," ",VLOOKUP('Hide - Control'!A$3,'All practice data'!A:CA,C31+4,FALSE))</f>
        <v>58</v>
      </c>
      <c r="H31" s="167">
        <f>IF(VLOOKUP('Hide - Control'!A$3,'All practice data'!A:CA,C31+30,FALSE)=" "," ",VLOOKUP('Hide - Control'!A$3,'All practice data'!A:CA,C31+30,FALSE))</f>
        <v>689.3273116234847</v>
      </c>
      <c r="I31" s="168">
        <f>IF(LEFT(G31,1)=" "," n/a",IF(G31&lt;5,100000*VLOOKUP(G31,'Hide - Calculation'!AQ:AR,2,FALSE)/$E$8,100000*(G31*(1-1/(9*G31)-1.96/(3*SQRT(G31)))^3)/$E$8))</f>
        <v>523.401337795754</v>
      </c>
      <c r="J31" s="168">
        <f>IF(LEFT(G31,1)=" "," n/a",IF(G31&lt;5,100000*VLOOKUP(G31,'Hide - Calculation'!AQ:AS,3,FALSE)/$E$8,100000*((G31+1)*(1-1/(9*(G31+1))+1.96/(3*SQRT(G31+1)))^3)/$E$8))</f>
        <v>891.1352075308296</v>
      </c>
      <c r="K31" s="167">
        <f>IF('Hide - Calculation'!N25="","",'Hide - Calculation'!N25)</f>
        <v>649.9814543335041</v>
      </c>
      <c r="L31" s="169">
        <f>'Hide - Calculation'!O25</f>
        <v>562.6134400960308</v>
      </c>
      <c r="M31" s="170">
        <f>IF(ISBLANK('Hide - Calculation'!K25),"",'Hide - Calculation'!U25)</f>
        <v>181.7263946533203</v>
      </c>
      <c r="N31" s="171"/>
      <c r="O31" s="172"/>
      <c r="P31" s="172"/>
      <c r="Q31" s="172"/>
      <c r="R31" s="173"/>
      <c r="S31" s="173"/>
      <c r="T31" s="173"/>
      <c r="U31" s="173"/>
      <c r="V31" s="173"/>
      <c r="W31" s="173"/>
      <c r="X31" s="173"/>
      <c r="Y31" s="173"/>
      <c r="Z31" s="174"/>
      <c r="AA31" s="170">
        <f>IF(ISBLANK('Hide - Calculation'!K25),"",'Hide - Calculation'!T25)</f>
        <v>1082.8153076171875</v>
      </c>
      <c r="AB31" s="233" t="s">
        <v>47</v>
      </c>
      <c r="AC31" s="175" t="s">
        <v>500</v>
      </c>
    </row>
    <row r="32" spans="2:29" s="63" customFormat="1" ht="33.75" customHeight="1">
      <c r="B32" s="305"/>
      <c r="C32" s="137">
        <v>20</v>
      </c>
      <c r="D32" s="132" t="s">
        <v>330</v>
      </c>
      <c r="E32" s="85"/>
      <c r="F32" s="85"/>
      <c r="G32" s="121">
        <f>IF(VLOOKUP('Hide - Control'!A$3,'All practice data'!A:CA,C32+4,FALSE)=" "," ",VLOOKUP('Hide - Control'!A$3,'All practice data'!A:CA,C32+4,FALSE))</f>
        <v>72</v>
      </c>
      <c r="H32" s="122">
        <f>IF(VLOOKUP('Hide - Control'!A$3,'All practice data'!A:CA,C32+30,FALSE)=" "," ",VLOOKUP('Hide - Control'!A$3,'All practice data'!A:CA,C32+30,FALSE))</f>
        <v>855.7166627050154</v>
      </c>
      <c r="I32" s="123">
        <f>IF(LEFT(G32,1)=" "," n/a",IF(G32&lt;5,100000*VLOOKUP(G32,'Hide - Calculation'!AQ:AR,2,FALSE)/$E$8,100000*(G32*(1-1/(9*G32)-1.96/(3*SQRT(G32)))^3)/$E$8))</f>
        <v>669.5152397846242</v>
      </c>
      <c r="J32" s="123">
        <f>IF(LEFT(G32,1)=" "," n/a",IF(G32&lt;5,100000*VLOOKUP(G32,'Hide - Calculation'!AQ:AS,3,FALSE)/$E$8,100000*((G32+1)*(1-1/(9*(G32+1))+1.96/(3*SQRT(G32+1)))^3)/$E$8))</f>
        <v>1077.6527895995778</v>
      </c>
      <c r="K32" s="122">
        <f>IF('Hide - Calculation'!N26="","",'Hide - Calculation'!N26)</f>
        <v>602.2925976296872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1028.310302734375</v>
      </c>
      <c r="AB32" s="234" t="s">
        <v>47</v>
      </c>
      <c r="AC32" s="131" t="s">
        <v>500</v>
      </c>
    </row>
    <row r="33" spans="2:29" s="63" customFormat="1" ht="33.75" customHeight="1">
      <c r="B33" s="305"/>
      <c r="C33" s="137">
        <v>21</v>
      </c>
      <c r="D33" s="132" t="s">
        <v>332</v>
      </c>
      <c r="E33" s="85"/>
      <c r="F33" s="85"/>
      <c r="G33" s="121">
        <f>IF(VLOOKUP('Hide - Control'!A$3,'All practice data'!A:CA,C33+4,FALSE)=" "," ",VLOOKUP('Hide - Control'!A$3,'All practice data'!A:CA,C33+4,FALSE))</f>
        <v>119</v>
      </c>
      <c r="H33" s="122">
        <f>IF(VLOOKUP('Hide - Control'!A$3,'All practice data'!A:CA,C33+30,FALSE)=" "," ",VLOOKUP('Hide - Control'!A$3,'All practice data'!A:CA,C33+30,FALSE))</f>
        <v>1414.3094841930117</v>
      </c>
      <c r="I33" s="123">
        <f>IF(LEFT(G33,1)=" "," n/a",IF(G33&lt;5,100000*VLOOKUP(G33,'Hide - Calculation'!AQ:AR,2,FALSE)/$E$8,100000*(G33*(1-1/(9*G33)-1.96/(3*SQRT(G33)))^3)/$E$8))</f>
        <v>1171.6137900677265</v>
      </c>
      <c r="J33" s="123">
        <f>IF(LEFT(G33,1)=" "," n/a",IF(G33&lt;5,100000*VLOOKUP(G33,'Hide - Calculation'!AQ:AS,3,FALSE)/$E$8,100000*((G33+1)*(1-1/(9*(G33+1))+1.96/(3*SQRT(G33+1)))^3)/$E$8))</f>
        <v>1692.4502295727164</v>
      </c>
      <c r="K33" s="122">
        <f>IF('Hide - Calculation'!N27="","",'Hide - Calculation'!N27)</f>
        <v>1631.6654008513344</v>
      </c>
      <c r="L33" s="156">
        <f>'Hide - Calculation'!O27</f>
        <v>1059.3522061277838</v>
      </c>
      <c r="M33" s="148">
        <f>IF(ISBLANK('Hide - Calculation'!K27),"",'Hide - Calculation'!U27)</f>
        <v>373.5487060546875</v>
      </c>
      <c r="N33" s="86"/>
      <c r="O33" s="87"/>
      <c r="P33" s="87"/>
      <c r="Q33" s="87"/>
      <c r="R33" s="84"/>
      <c r="S33" s="84"/>
      <c r="T33" s="84"/>
      <c r="U33" s="84"/>
      <c r="V33" s="84"/>
      <c r="W33" s="84"/>
      <c r="X33" s="84"/>
      <c r="Y33" s="84"/>
      <c r="Z33" s="88"/>
      <c r="AA33" s="148">
        <f>IF(ISBLANK('Hide - Calculation'!K27),"",'Hide - Calculation'!T27)</f>
        <v>3134.796142578125</v>
      </c>
      <c r="AB33" s="234" t="s">
        <v>47</v>
      </c>
      <c r="AC33" s="131" t="s">
        <v>500</v>
      </c>
    </row>
    <row r="34" spans="2:29" s="63" customFormat="1" ht="33.75" customHeight="1">
      <c r="B34" s="305"/>
      <c r="C34" s="137">
        <v>22</v>
      </c>
      <c r="D34" s="132" t="s">
        <v>331</v>
      </c>
      <c r="E34" s="85"/>
      <c r="F34" s="85"/>
      <c r="G34" s="118">
        <f>IF(VLOOKUP('Hide - Control'!A$3,'All practice data'!A:CA,C34+4,FALSE)=" "," ",VLOOKUP('Hide - Control'!A$3,'All practice data'!A:CA,C34+4,FALSE))</f>
        <v>70</v>
      </c>
      <c r="H34" s="122">
        <f>IF(VLOOKUP('Hide - Control'!A$3,'All practice data'!A:CA,C34+30,FALSE)=" "," ",VLOOKUP('Hide - Control'!A$3,'All practice data'!A:CA,C34+30,FALSE))</f>
        <v>831.9467554076539</v>
      </c>
      <c r="I34" s="123">
        <f>IF(LEFT(G34,1)=" "," n/a",IF(G34&lt;5,100000*VLOOKUP(G34,'Hide - Calculation'!AQ:AR,2,FALSE)/$E$8,100000*(G34*(1-1/(9*G34)-1.96/(3*SQRT(G34)))^3)/$E$8))</f>
        <v>648.5125468696475</v>
      </c>
      <c r="J34" s="123">
        <f>IF(LEFT(G34,1)=" "," n/a",IF(G34&lt;5,100000*VLOOKUP(G34,'Hide - Calculation'!AQ:AS,3,FALSE)/$E$8,100000*((G34+1)*(1-1/(9*(G34+1))+1.96/(3*SQRT(G34+1)))^3)/$E$8))</f>
        <v>1051.1340202255635</v>
      </c>
      <c r="K34" s="122">
        <f>IF('Hide - Calculation'!N28="","",'Hide - Calculation'!N28)</f>
        <v>612.1836197608492</v>
      </c>
      <c r="L34" s="156">
        <f>'Hide - Calculation'!O28</f>
        <v>582.9390489900089</v>
      </c>
      <c r="M34" s="148">
        <f>IF(ISBLANK('Hide - Calculation'!K28),"",'Hide - Calculation'!U28)</f>
        <v>70.67137908935547</v>
      </c>
      <c r="N34" s="86"/>
      <c r="O34" s="87"/>
      <c r="P34" s="87"/>
      <c r="Q34" s="87"/>
      <c r="R34" s="84"/>
      <c r="S34" s="84"/>
      <c r="T34" s="84"/>
      <c r="U34" s="84"/>
      <c r="V34" s="84"/>
      <c r="W34" s="84"/>
      <c r="X34" s="84"/>
      <c r="Y34" s="84"/>
      <c r="Z34" s="88"/>
      <c r="AA34" s="148">
        <f>IF(ISBLANK('Hide - Calculation'!K28),"",'Hide - Calculation'!T28)</f>
        <v>1088.869384765625</v>
      </c>
      <c r="AB34" s="234" t="s">
        <v>47</v>
      </c>
      <c r="AC34" s="131" t="s">
        <v>500</v>
      </c>
    </row>
    <row r="35" spans="2:29" s="63" customFormat="1" ht="33.75" customHeight="1">
      <c r="B35" s="305"/>
      <c r="C35" s="137">
        <v>23</v>
      </c>
      <c r="D35" s="138" t="s">
        <v>458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317</v>
      </c>
      <c r="AC35" s="131">
        <v>2008</v>
      </c>
    </row>
    <row r="36" spans="2:29" ht="33.75" customHeight="1">
      <c r="B36" s="306"/>
      <c r="C36" s="137">
        <v>24</v>
      </c>
      <c r="D36" s="224" t="s">
        <v>459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317</v>
      </c>
      <c r="AC36" s="131">
        <v>2008</v>
      </c>
    </row>
    <row r="37" spans="2:29" ht="33.75" customHeight="1" thickBot="1">
      <c r="B37" s="307"/>
      <c r="C37" s="176">
        <v>25</v>
      </c>
      <c r="D37" s="177" t="s">
        <v>333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317</v>
      </c>
      <c r="AC37" s="149">
        <v>2008</v>
      </c>
    </row>
    <row r="38" spans="2:29" ht="16.5" customHeight="1">
      <c r="B38" s="69"/>
      <c r="C38" s="69"/>
      <c r="D38" s="65" t="s">
        <v>315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542</v>
      </c>
      <c r="C39" s="244"/>
      <c r="D39" s="244"/>
      <c r="E39" s="303" t="s">
        <v>546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483</v>
      </c>
      <c r="BE2" s="341"/>
      <c r="BF2" s="341"/>
      <c r="BG2" s="341"/>
      <c r="BH2" s="341"/>
      <c r="BI2" s="341"/>
      <c r="BJ2" s="342"/>
    </row>
    <row r="3" spans="1:82" s="72" customFormat="1" ht="76.5" customHeight="1">
      <c r="A3" s="266" t="s">
        <v>276</v>
      </c>
      <c r="B3" s="275" t="s">
        <v>277</v>
      </c>
      <c r="C3" s="276" t="s">
        <v>49</v>
      </c>
      <c r="D3" s="274" t="s">
        <v>468</v>
      </c>
      <c r="E3" s="267" t="s">
        <v>340</v>
      </c>
      <c r="F3" s="267" t="s">
        <v>451</v>
      </c>
      <c r="G3" s="267" t="s">
        <v>342</v>
      </c>
      <c r="H3" s="267" t="s">
        <v>343</v>
      </c>
      <c r="I3" s="267" t="s">
        <v>344</v>
      </c>
      <c r="J3" s="267" t="s">
        <v>492</v>
      </c>
      <c r="K3" s="267" t="s">
        <v>493</v>
      </c>
      <c r="L3" s="267" t="s">
        <v>494</v>
      </c>
      <c r="M3" s="267" t="s">
        <v>345</v>
      </c>
      <c r="N3" s="267" t="s">
        <v>346</v>
      </c>
      <c r="O3" s="267" t="s">
        <v>347</v>
      </c>
      <c r="P3" s="267" t="s">
        <v>482</v>
      </c>
      <c r="Q3" s="267" t="s">
        <v>348</v>
      </c>
      <c r="R3" s="267" t="s">
        <v>349</v>
      </c>
      <c r="S3" s="267" t="s">
        <v>350</v>
      </c>
      <c r="T3" s="267" t="s">
        <v>351</v>
      </c>
      <c r="U3" s="267" t="s">
        <v>352</v>
      </c>
      <c r="V3" s="267" t="s">
        <v>353</v>
      </c>
      <c r="W3" s="267" t="s">
        <v>354</v>
      </c>
      <c r="X3" s="267" t="s">
        <v>355</v>
      </c>
      <c r="Y3" s="267" t="s">
        <v>356</v>
      </c>
      <c r="Z3" s="267" t="s">
        <v>357</v>
      </c>
      <c r="AA3" s="267" t="s">
        <v>358</v>
      </c>
      <c r="AB3" s="267" t="s">
        <v>359</v>
      </c>
      <c r="AC3" s="267" t="s">
        <v>360</v>
      </c>
      <c r="AD3" s="268" t="s">
        <v>361</v>
      </c>
      <c r="AE3" s="268" t="s">
        <v>340</v>
      </c>
      <c r="AF3" s="269" t="s">
        <v>341</v>
      </c>
      <c r="AG3" s="268" t="s">
        <v>342</v>
      </c>
      <c r="AH3" s="268" t="s">
        <v>343</v>
      </c>
      <c r="AI3" s="268" t="s">
        <v>344</v>
      </c>
      <c r="AJ3" s="268" t="s">
        <v>492</v>
      </c>
      <c r="AK3" s="268" t="s">
        <v>493</v>
      </c>
      <c r="AL3" s="268" t="s">
        <v>494</v>
      </c>
      <c r="AM3" s="268" t="s">
        <v>345</v>
      </c>
      <c r="AN3" s="268" t="s">
        <v>346</v>
      </c>
      <c r="AO3" s="268" t="s">
        <v>347</v>
      </c>
      <c r="AP3" s="268" t="s">
        <v>482</v>
      </c>
      <c r="AQ3" s="268" t="s">
        <v>348</v>
      </c>
      <c r="AR3" s="268" t="s">
        <v>349</v>
      </c>
      <c r="AS3" s="268" t="s">
        <v>350</v>
      </c>
      <c r="AT3" s="268" t="s">
        <v>351</v>
      </c>
      <c r="AU3" s="268" t="s">
        <v>352</v>
      </c>
      <c r="AV3" s="268" t="s">
        <v>353</v>
      </c>
      <c r="AW3" s="268" t="s">
        <v>354</v>
      </c>
      <c r="AX3" s="268" t="s">
        <v>355</v>
      </c>
      <c r="AY3" s="270" t="s">
        <v>356</v>
      </c>
      <c r="AZ3" s="271" t="s">
        <v>357</v>
      </c>
      <c r="BA3" s="271" t="s">
        <v>358</v>
      </c>
      <c r="BB3" s="271" t="s">
        <v>359</v>
      </c>
      <c r="BC3" s="272" t="s">
        <v>360</v>
      </c>
      <c r="BD3" s="273" t="s">
        <v>480</v>
      </c>
      <c r="BE3" s="273" t="s">
        <v>481</v>
      </c>
      <c r="BF3" s="273" t="s">
        <v>488</v>
      </c>
      <c r="BG3" s="273" t="s">
        <v>489</v>
      </c>
      <c r="BH3" s="273" t="s">
        <v>487</v>
      </c>
      <c r="BI3" s="273" t="s">
        <v>490</v>
      </c>
      <c r="BJ3" s="273" t="s">
        <v>491</v>
      </c>
      <c r="BK3" s="73"/>
      <c r="BL3" s="73"/>
      <c r="BM3" s="73"/>
      <c r="BN3" s="73"/>
      <c r="BO3" s="73"/>
      <c r="BP3" s="73"/>
      <c r="BQ3" s="73"/>
      <c r="BR3" s="73"/>
      <c r="BS3" s="73"/>
      <c r="BT3" s="73"/>
      <c r="BU3" s="73"/>
      <c r="BV3" s="73"/>
      <c r="BW3" s="73"/>
      <c r="BX3" s="73"/>
      <c r="BY3" s="73"/>
      <c r="BZ3" s="73"/>
      <c r="CA3" s="73"/>
      <c r="CB3" s="73"/>
      <c r="CC3" s="73"/>
      <c r="CD3" s="73"/>
    </row>
    <row r="4" spans="1:66" ht="12.75">
      <c r="A4" s="79" t="s">
        <v>519</v>
      </c>
      <c r="B4" s="79" t="s">
        <v>298</v>
      </c>
      <c r="C4" s="79" t="s">
        <v>81</v>
      </c>
      <c r="D4" s="99">
        <v>8414</v>
      </c>
      <c r="E4" s="99">
        <v>992</v>
      </c>
      <c r="F4" s="99" t="s">
        <v>335</v>
      </c>
      <c r="G4" s="99">
        <v>48</v>
      </c>
      <c r="H4" s="99">
        <v>33</v>
      </c>
      <c r="I4" s="99">
        <v>111</v>
      </c>
      <c r="J4" s="99">
        <v>637</v>
      </c>
      <c r="K4" s="99">
        <v>635</v>
      </c>
      <c r="L4" s="99">
        <v>1485</v>
      </c>
      <c r="M4" s="99">
        <v>359</v>
      </c>
      <c r="N4" s="99">
        <v>188</v>
      </c>
      <c r="O4" s="99">
        <v>148</v>
      </c>
      <c r="P4" s="159">
        <v>148</v>
      </c>
      <c r="Q4" s="99">
        <v>15</v>
      </c>
      <c r="R4" s="99">
        <v>45</v>
      </c>
      <c r="S4" s="99">
        <v>26</v>
      </c>
      <c r="T4" s="99">
        <v>16</v>
      </c>
      <c r="U4" s="99">
        <v>8</v>
      </c>
      <c r="V4" s="99">
        <v>13</v>
      </c>
      <c r="W4" s="99">
        <v>58</v>
      </c>
      <c r="X4" s="99">
        <v>72</v>
      </c>
      <c r="Y4" s="99">
        <v>119</v>
      </c>
      <c r="Z4" s="99">
        <v>70</v>
      </c>
      <c r="AA4" s="99" t="s">
        <v>545</v>
      </c>
      <c r="AB4" s="99" t="s">
        <v>545</v>
      </c>
      <c r="AC4" s="99" t="s">
        <v>545</v>
      </c>
      <c r="AD4" s="98" t="s">
        <v>315</v>
      </c>
      <c r="AE4" s="100">
        <v>0.11789874019491324</v>
      </c>
      <c r="AF4" s="100">
        <v>0.24</v>
      </c>
      <c r="AG4" s="98">
        <v>570.477775136677</v>
      </c>
      <c r="AH4" s="98">
        <v>392.20347040646544</v>
      </c>
      <c r="AI4" s="100">
        <v>0.013000000000000001</v>
      </c>
      <c r="AJ4" s="100">
        <v>0.733026</v>
      </c>
      <c r="AK4" s="100">
        <v>0.746181</v>
      </c>
      <c r="AL4" s="100">
        <v>0.779119</v>
      </c>
      <c r="AM4" s="100">
        <v>0.502801</v>
      </c>
      <c r="AN4" s="100">
        <v>0.564565</v>
      </c>
      <c r="AO4" s="98">
        <v>1758.973140004754</v>
      </c>
      <c r="AP4" s="158">
        <v>1.132156067</v>
      </c>
      <c r="AQ4" s="100">
        <v>0.10135135135135136</v>
      </c>
      <c r="AR4" s="100">
        <v>0.3333333333333333</v>
      </c>
      <c r="AS4" s="98">
        <v>309.0087948657</v>
      </c>
      <c r="AT4" s="98">
        <v>190.15925837889233</v>
      </c>
      <c r="AU4" s="98">
        <v>95.07962918944617</v>
      </c>
      <c r="AV4" s="98">
        <v>154.50439743285</v>
      </c>
      <c r="AW4" s="98">
        <v>689.3273116234847</v>
      </c>
      <c r="AX4" s="98">
        <v>855.7166627050154</v>
      </c>
      <c r="AY4" s="98">
        <v>1414.3094841930117</v>
      </c>
      <c r="AZ4" s="98">
        <v>831.9467554076539</v>
      </c>
      <c r="BA4" s="100" t="s">
        <v>545</v>
      </c>
      <c r="BB4" s="100" t="s">
        <v>545</v>
      </c>
      <c r="BC4" s="100" t="s">
        <v>545</v>
      </c>
      <c r="BD4" s="158">
        <v>0.9571064758</v>
      </c>
      <c r="BE4" s="158">
        <v>1.329954681</v>
      </c>
      <c r="BF4" s="162">
        <v>869</v>
      </c>
      <c r="BG4" s="162">
        <v>851</v>
      </c>
      <c r="BH4" s="162">
        <v>1906</v>
      </c>
      <c r="BI4" s="162">
        <v>714</v>
      </c>
      <c r="BJ4" s="162">
        <v>333</v>
      </c>
      <c r="BK4" s="97"/>
      <c r="BL4" s="97"/>
      <c r="BM4" s="97"/>
      <c r="BN4" s="97"/>
    </row>
    <row r="5" spans="1:66" ht="12.75">
      <c r="A5" s="79" t="s">
        <v>506</v>
      </c>
      <c r="B5" s="79" t="s">
        <v>285</v>
      </c>
      <c r="C5" s="79" t="s">
        <v>81</v>
      </c>
      <c r="D5" s="99">
        <v>2713</v>
      </c>
      <c r="E5" s="99">
        <v>231</v>
      </c>
      <c r="F5" s="99" t="s">
        <v>339</v>
      </c>
      <c r="G5" s="99" t="s">
        <v>545</v>
      </c>
      <c r="H5" s="99" t="s">
        <v>545</v>
      </c>
      <c r="I5" s="99">
        <v>28</v>
      </c>
      <c r="J5" s="99">
        <v>165</v>
      </c>
      <c r="K5" s="99">
        <v>160</v>
      </c>
      <c r="L5" s="99">
        <v>504</v>
      </c>
      <c r="M5" s="99">
        <v>93</v>
      </c>
      <c r="N5" s="99">
        <v>43</v>
      </c>
      <c r="O5" s="99">
        <v>49</v>
      </c>
      <c r="P5" s="159">
        <v>49</v>
      </c>
      <c r="Q5" s="99" t="s">
        <v>545</v>
      </c>
      <c r="R5" s="99">
        <v>6</v>
      </c>
      <c r="S5" s="99" t="s">
        <v>545</v>
      </c>
      <c r="T5" s="99" t="s">
        <v>545</v>
      </c>
      <c r="U5" s="99" t="s">
        <v>545</v>
      </c>
      <c r="V5" s="99">
        <v>16</v>
      </c>
      <c r="W5" s="99">
        <v>16</v>
      </c>
      <c r="X5" s="99">
        <v>12</v>
      </c>
      <c r="Y5" s="99">
        <v>25</v>
      </c>
      <c r="Z5" s="99">
        <v>6</v>
      </c>
      <c r="AA5" s="99" t="s">
        <v>545</v>
      </c>
      <c r="AB5" s="99" t="s">
        <v>545</v>
      </c>
      <c r="AC5" s="99" t="s">
        <v>545</v>
      </c>
      <c r="AD5" s="98" t="s">
        <v>315</v>
      </c>
      <c r="AE5" s="100">
        <v>0.08514559528197567</v>
      </c>
      <c r="AF5" s="100">
        <v>0.06</v>
      </c>
      <c r="AG5" s="98" t="s">
        <v>545</v>
      </c>
      <c r="AH5" s="98" t="s">
        <v>545</v>
      </c>
      <c r="AI5" s="100">
        <v>0.01</v>
      </c>
      <c r="AJ5" s="100">
        <v>0.785714</v>
      </c>
      <c r="AK5" s="100">
        <v>0.80402</v>
      </c>
      <c r="AL5" s="100">
        <v>0.762481</v>
      </c>
      <c r="AM5" s="100">
        <v>0.567073</v>
      </c>
      <c r="AN5" s="100">
        <v>0.597222</v>
      </c>
      <c r="AO5" s="98">
        <v>1806.118687799484</v>
      </c>
      <c r="AP5" s="158">
        <v>1.32829895</v>
      </c>
      <c r="AQ5" s="100" t="s">
        <v>545</v>
      </c>
      <c r="AR5" s="100" t="s">
        <v>545</v>
      </c>
      <c r="AS5" s="98" t="s">
        <v>545</v>
      </c>
      <c r="AT5" s="98" t="s">
        <v>545</v>
      </c>
      <c r="AU5" s="98" t="s">
        <v>545</v>
      </c>
      <c r="AV5" s="98">
        <v>589.7530409141173</v>
      </c>
      <c r="AW5" s="98">
        <v>589.7530409141173</v>
      </c>
      <c r="AX5" s="98">
        <v>442.3147806855879</v>
      </c>
      <c r="AY5" s="98">
        <v>921.4891264283082</v>
      </c>
      <c r="AZ5" s="98">
        <v>221.15739034279395</v>
      </c>
      <c r="BA5" s="101" t="s">
        <v>545</v>
      </c>
      <c r="BB5" s="101" t="s">
        <v>545</v>
      </c>
      <c r="BC5" s="101" t="s">
        <v>545</v>
      </c>
      <c r="BD5" s="158">
        <v>0.9826828766</v>
      </c>
      <c r="BE5" s="158">
        <v>1.7560816959999999</v>
      </c>
      <c r="BF5" s="162">
        <v>210</v>
      </c>
      <c r="BG5" s="162">
        <v>199</v>
      </c>
      <c r="BH5" s="162">
        <v>661</v>
      </c>
      <c r="BI5" s="162">
        <v>164</v>
      </c>
      <c r="BJ5" s="162">
        <v>72</v>
      </c>
      <c r="BK5" s="97"/>
      <c r="BL5" s="97"/>
      <c r="BM5" s="97"/>
      <c r="BN5" s="97"/>
    </row>
    <row r="6" spans="1:66" ht="12.75">
      <c r="A6" s="79" t="s">
        <v>526</v>
      </c>
      <c r="B6" s="79" t="s">
        <v>305</v>
      </c>
      <c r="C6" s="79" t="s">
        <v>81</v>
      </c>
      <c r="D6" s="99">
        <v>10267</v>
      </c>
      <c r="E6" s="99">
        <v>1326</v>
      </c>
      <c r="F6" s="99" t="s">
        <v>336</v>
      </c>
      <c r="G6" s="99">
        <v>40</v>
      </c>
      <c r="H6" s="99">
        <v>28</v>
      </c>
      <c r="I6" s="99">
        <v>74</v>
      </c>
      <c r="J6" s="99">
        <v>810</v>
      </c>
      <c r="K6" s="99">
        <v>792</v>
      </c>
      <c r="L6" s="99">
        <v>1966</v>
      </c>
      <c r="M6" s="99">
        <v>413</v>
      </c>
      <c r="N6" s="99">
        <v>220</v>
      </c>
      <c r="O6" s="99">
        <v>141</v>
      </c>
      <c r="P6" s="159">
        <v>141</v>
      </c>
      <c r="Q6" s="99">
        <v>19</v>
      </c>
      <c r="R6" s="99">
        <v>61</v>
      </c>
      <c r="S6" s="99">
        <v>22</v>
      </c>
      <c r="T6" s="99">
        <v>37</v>
      </c>
      <c r="U6" s="99">
        <v>7</v>
      </c>
      <c r="V6" s="99">
        <v>19</v>
      </c>
      <c r="W6" s="99">
        <v>76</v>
      </c>
      <c r="X6" s="99">
        <v>63</v>
      </c>
      <c r="Y6" s="99">
        <v>174</v>
      </c>
      <c r="Z6" s="99">
        <v>69</v>
      </c>
      <c r="AA6" s="99" t="s">
        <v>545</v>
      </c>
      <c r="AB6" s="99" t="s">
        <v>545</v>
      </c>
      <c r="AC6" s="99" t="s">
        <v>545</v>
      </c>
      <c r="AD6" s="98" t="s">
        <v>315</v>
      </c>
      <c r="AE6" s="100">
        <v>0.12915165092042466</v>
      </c>
      <c r="AF6" s="100">
        <v>0.27</v>
      </c>
      <c r="AG6" s="98">
        <v>389.59774033310606</v>
      </c>
      <c r="AH6" s="98">
        <v>272.71841823317425</v>
      </c>
      <c r="AI6" s="100">
        <v>0.006999999999999999</v>
      </c>
      <c r="AJ6" s="100">
        <v>0.725157</v>
      </c>
      <c r="AK6" s="100">
        <v>0.729954</v>
      </c>
      <c r="AL6" s="100">
        <v>0.76707</v>
      </c>
      <c r="AM6" s="100">
        <v>0.446004</v>
      </c>
      <c r="AN6" s="100">
        <v>0.469083</v>
      </c>
      <c r="AO6" s="98">
        <v>1373.332034674199</v>
      </c>
      <c r="AP6" s="158">
        <v>0.8178848267</v>
      </c>
      <c r="AQ6" s="100">
        <v>0.1347517730496454</v>
      </c>
      <c r="AR6" s="100">
        <v>0.3114754098360656</v>
      </c>
      <c r="AS6" s="98">
        <v>214.27875718320834</v>
      </c>
      <c r="AT6" s="98">
        <v>360.3779098081231</v>
      </c>
      <c r="AU6" s="98">
        <v>68.17960455829356</v>
      </c>
      <c r="AV6" s="98">
        <v>185.05892665822537</v>
      </c>
      <c r="AW6" s="98">
        <v>740.2357066329015</v>
      </c>
      <c r="AX6" s="98">
        <v>613.6164410246421</v>
      </c>
      <c r="AY6" s="98">
        <v>1694.7501704490114</v>
      </c>
      <c r="AZ6" s="98">
        <v>672.056102074608</v>
      </c>
      <c r="BA6" s="100" t="s">
        <v>545</v>
      </c>
      <c r="BB6" s="100" t="s">
        <v>545</v>
      </c>
      <c r="BC6" s="100" t="s">
        <v>545</v>
      </c>
      <c r="BD6" s="158">
        <v>0.6884609222</v>
      </c>
      <c r="BE6" s="158">
        <v>0.9645700073000001</v>
      </c>
      <c r="BF6" s="162">
        <v>1117</v>
      </c>
      <c r="BG6" s="162">
        <v>1085</v>
      </c>
      <c r="BH6" s="162">
        <v>2563</v>
      </c>
      <c r="BI6" s="162">
        <v>926</v>
      </c>
      <c r="BJ6" s="162">
        <v>469</v>
      </c>
      <c r="BK6" s="97"/>
      <c r="BL6" s="97"/>
      <c r="BM6" s="97"/>
      <c r="BN6" s="97"/>
    </row>
    <row r="7" spans="1:66" ht="12.75">
      <c r="A7" s="79" t="s">
        <v>509</v>
      </c>
      <c r="B7" s="79" t="s">
        <v>288</v>
      </c>
      <c r="C7" s="79" t="s">
        <v>81</v>
      </c>
      <c r="D7" s="99">
        <v>8809</v>
      </c>
      <c r="E7" s="99">
        <v>1107</v>
      </c>
      <c r="F7" s="99" t="s">
        <v>337</v>
      </c>
      <c r="G7" s="99">
        <v>34</v>
      </c>
      <c r="H7" s="99">
        <v>22</v>
      </c>
      <c r="I7" s="99">
        <v>120</v>
      </c>
      <c r="J7" s="99">
        <v>649</v>
      </c>
      <c r="K7" s="99">
        <v>634</v>
      </c>
      <c r="L7" s="99">
        <v>1716</v>
      </c>
      <c r="M7" s="99">
        <v>351</v>
      </c>
      <c r="N7" s="99">
        <v>194</v>
      </c>
      <c r="O7" s="99">
        <v>231</v>
      </c>
      <c r="P7" s="159">
        <v>231</v>
      </c>
      <c r="Q7" s="99">
        <v>23</v>
      </c>
      <c r="R7" s="99">
        <v>42</v>
      </c>
      <c r="S7" s="99">
        <v>45</v>
      </c>
      <c r="T7" s="99">
        <v>26</v>
      </c>
      <c r="U7" s="99" t="s">
        <v>545</v>
      </c>
      <c r="V7" s="99">
        <v>46</v>
      </c>
      <c r="W7" s="99">
        <v>55</v>
      </c>
      <c r="X7" s="99">
        <v>62</v>
      </c>
      <c r="Y7" s="99">
        <v>143</v>
      </c>
      <c r="Z7" s="99">
        <v>35</v>
      </c>
      <c r="AA7" s="99" t="s">
        <v>545</v>
      </c>
      <c r="AB7" s="99" t="s">
        <v>545</v>
      </c>
      <c r="AC7" s="99" t="s">
        <v>545</v>
      </c>
      <c r="AD7" s="98" t="s">
        <v>315</v>
      </c>
      <c r="AE7" s="100">
        <v>0.1256669315472812</v>
      </c>
      <c r="AF7" s="100">
        <v>0.12</v>
      </c>
      <c r="AG7" s="98">
        <v>385.96889544783744</v>
      </c>
      <c r="AH7" s="98">
        <v>249.74457940742423</v>
      </c>
      <c r="AI7" s="100">
        <v>0.013999999999999999</v>
      </c>
      <c r="AJ7" s="100">
        <v>0.800247</v>
      </c>
      <c r="AK7" s="100">
        <v>0.810742</v>
      </c>
      <c r="AL7" s="100">
        <v>0.741894</v>
      </c>
      <c r="AM7" s="100">
        <v>0.548438</v>
      </c>
      <c r="AN7" s="100">
        <v>0.610063</v>
      </c>
      <c r="AO7" s="98">
        <v>2622.318083777954</v>
      </c>
      <c r="AP7" s="158">
        <v>1.615803986</v>
      </c>
      <c r="AQ7" s="100">
        <v>0.09956709956709957</v>
      </c>
      <c r="AR7" s="100">
        <v>0.5476190476190477</v>
      </c>
      <c r="AS7" s="98">
        <v>510.84118515154955</v>
      </c>
      <c r="AT7" s="98">
        <v>295.15268475422863</v>
      </c>
      <c r="AU7" s="98" t="s">
        <v>545</v>
      </c>
      <c r="AV7" s="98">
        <v>522.1932114882507</v>
      </c>
      <c r="AW7" s="98">
        <v>624.3614485185606</v>
      </c>
      <c r="AX7" s="98">
        <v>703.8256328754683</v>
      </c>
      <c r="AY7" s="98">
        <v>1623.3397661482575</v>
      </c>
      <c r="AZ7" s="98">
        <v>397.32092178453854</v>
      </c>
      <c r="BA7" s="100" t="s">
        <v>545</v>
      </c>
      <c r="BB7" s="100" t="s">
        <v>545</v>
      </c>
      <c r="BC7" s="100" t="s">
        <v>545</v>
      </c>
      <c r="BD7" s="158">
        <v>1.414138184</v>
      </c>
      <c r="BE7" s="158">
        <v>1.838161316</v>
      </c>
      <c r="BF7" s="162">
        <v>811</v>
      </c>
      <c r="BG7" s="162">
        <v>782</v>
      </c>
      <c r="BH7" s="162">
        <v>2313</v>
      </c>
      <c r="BI7" s="162">
        <v>640</v>
      </c>
      <c r="BJ7" s="162">
        <v>318</v>
      </c>
      <c r="BK7" s="97"/>
      <c r="BL7" s="97"/>
      <c r="BM7" s="97"/>
      <c r="BN7" s="97"/>
    </row>
    <row r="8" spans="1:66" ht="12.75">
      <c r="A8" s="79" t="s">
        <v>529</v>
      </c>
      <c r="B8" s="79" t="s">
        <v>308</v>
      </c>
      <c r="C8" s="79" t="s">
        <v>81</v>
      </c>
      <c r="D8" s="99">
        <v>2459</v>
      </c>
      <c r="E8" s="99">
        <v>352</v>
      </c>
      <c r="F8" s="99" t="s">
        <v>338</v>
      </c>
      <c r="G8" s="99">
        <v>11</v>
      </c>
      <c r="H8" s="99">
        <v>7</v>
      </c>
      <c r="I8" s="99">
        <v>31</v>
      </c>
      <c r="J8" s="99">
        <v>176</v>
      </c>
      <c r="K8" s="99">
        <v>10</v>
      </c>
      <c r="L8" s="99">
        <v>461</v>
      </c>
      <c r="M8" s="99">
        <v>114</v>
      </c>
      <c r="N8" s="99">
        <v>64</v>
      </c>
      <c r="O8" s="99">
        <v>46</v>
      </c>
      <c r="P8" s="159">
        <v>46</v>
      </c>
      <c r="Q8" s="99">
        <v>7</v>
      </c>
      <c r="R8" s="99">
        <v>14</v>
      </c>
      <c r="S8" s="99" t="s">
        <v>545</v>
      </c>
      <c r="T8" s="99">
        <v>8</v>
      </c>
      <c r="U8" s="99" t="s">
        <v>545</v>
      </c>
      <c r="V8" s="99" t="s">
        <v>545</v>
      </c>
      <c r="W8" s="99">
        <v>16</v>
      </c>
      <c r="X8" s="99">
        <v>17</v>
      </c>
      <c r="Y8" s="99">
        <v>31</v>
      </c>
      <c r="Z8" s="99">
        <v>22</v>
      </c>
      <c r="AA8" s="99" t="s">
        <v>545</v>
      </c>
      <c r="AB8" s="99" t="s">
        <v>545</v>
      </c>
      <c r="AC8" s="99" t="s">
        <v>545</v>
      </c>
      <c r="AD8" s="98" t="s">
        <v>315</v>
      </c>
      <c r="AE8" s="100">
        <v>0.14314762098413988</v>
      </c>
      <c r="AF8" s="100">
        <v>0.13</v>
      </c>
      <c r="AG8" s="98">
        <v>447.3363155754372</v>
      </c>
      <c r="AH8" s="98">
        <v>284.6685644570964</v>
      </c>
      <c r="AI8" s="100">
        <v>0.013000000000000001</v>
      </c>
      <c r="AJ8" s="100">
        <v>0.598639</v>
      </c>
      <c r="AK8" s="100">
        <v>0.714286</v>
      </c>
      <c r="AL8" s="100">
        <v>0.756979</v>
      </c>
      <c r="AM8" s="100">
        <v>0.44186</v>
      </c>
      <c r="AN8" s="100">
        <v>0.5</v>
      </c>
      <c r="AO8" s="98">
        <v>1870.6791378609191</v>
      </c>
      <c r="AP8" s="158">
        <v>1.052530594</v>
      </c>
      <c r="AQ8" s="100">
        <v>0.15217391304347827</v>
      </c>
      <c r="AR8" s="100">
        <v>0.5</v>
      </c>
      <c r="AS8" s="98" t="s">
        <v>545</v>
      </c>
      <c r="AT8" s="98">
        <v>325.3355022366816</v>
      </c>
      <c r="AU8" s="98" t="s">
        <v>545</v>
      </c>
      <c r="AV8" s="98" t="s">
        <v>545</v>
      </c>
      <c r="AW8" s="98">
        <v>650.6710044733632</v>
      </c>
      <c r="AX8" s="98">
        <v>691.3379422529483</v>
      </c>
      <c r="AY8" s="98">
        <v>1260.6750711671411</v>
      </c>
      <c r="AZ8" s="98">
        <v>894.6726311508744</v>
      </c>
      <c r="BA8" s="100" t="s">
        <v>545</v>
      </c>
      <c r="BB8" s="100" t="s">
        <v>545</v>
      </c>
      <c r="BC8" s="100" t="s">
        <v>545</v>
      </c>
      <c r="BD8" s="158">
        <v>0.7705847168</v>
      </c>
      <c r="BE8" s="158">
        <v>1.4039283750000002</v>
      </c>
      <c r="BF8" s="162">
        <v>294</v>
      </c>
      <c r="BG8" s="162">
        <v>14</v>
      </c>
      <c r="BH8" s="162">
        <v>609</v>
      </c>
      <c r="BI8" s="162">
        <v>258</v>
      </c>
      <c r="BJ8" s="162">
        <v>128</v>
      </c>
      <c r="BK8" s="97"/>
      <c r="BL8" s="97"/>
      <c r="BM8" s="97"/>
      <c r="BN8" s="97"/>
    </row>
    <row r="9" spans="1:66" ht="12.75">
      <c r="A9" s="79" t="s">
        <v>528</v>
      </c>
      <c r="B9" s="79" t="s">
        <v>307</v>
      </c>
      <c r="C9" s="79" t="s">
        <v>81</v>
      </c>
      <c r="D9" s="99">
        <v>3847</v>
      </c>
      <c r="E9" s="99">
        <v>678</v>
      </c>
      <c r="F9" s="99" t="s">
        <v>339</v>
      </c>
      <c r="G9" s="99">
        <v>13</v>
      </c>
      <c r="H9" s="99">
        <v>9</v>
      </c>
      <c r="I9" s="99">
        <v>77</v>
      </c>
      <c r="J9" s="99">
        <v>303</v>
      </c>
      <c r="K9" s="99">
        <v>283</v>
      </c>
      <c r="L9" s="99">
        <v>811</v>
      </c>
      <c r="M9" s="99">
        <v>178</v>
      </c>
      <c r="N9" s="99">
        <v>94</v>
      </c>
      <c r="O9" s="99">
        <v>59</v>
      </c>
      <c r="P9" s="159">
        <v>59</v>
      </c>
      <c r="Q9" s="99" t="s">
        <v>545</v>
      </c>
      <c r="R9" s="99">
        <v>15</v>
      </c>
      <c r="S9" s="99">
        <v>16</v>
      </c>
      <c r="T9" s="99">
        <v>13</v>
      </c>
      <c r="U9" s="99" t="s">
        <v>545</v>
      </c>
      <c r="V9" s="99">
        <v>10</v>
      </c>
      <c r="W9" s="99">
        <v>14</v>
      </c>
      <c r="X9" s="99">
        <v>18</v>
      </c>
      <c r="Y9" s="99">
        <v>39</v>
      </c>
      <c r="Z9" s="99">
        <v>28</v>
      </c>
      <c r="AA9" s="99" t="s">
        <v>545</v>
      </c>
      <c r="AB9" s="99" t="s">
        <v>545</v>
      </c>
      <c r="AC9" s="99" t="s">
        <v>545</v>
      </c>
      <c r="AD9" s="98" t="s">
        <v>315</v>
      </c>
      <c r="AE9" s="100">
        <v>0.17624122693007538</v>
      </c>
      <c r="AF9" s="100">
        <v>0.05</v>
      </c>
      <c r="AG9" s="98">
        <v>337.92565635560175</v>
      </c>
      <c r="AH9" s="98">
        <v>233.9485313231089</v>
      </c>
      <c r="AI9" s="100">
        <v>0.02</v>
      </c>
      <c r="AJ9" s="100">
        <v>0.812332</v>
      </c>
      <c r="AK9" s="100">
        <v>0.827485</v>
      </c>
      <c r="AL9" s="100">
        <v>0.81019</v>
      </c>
      <c r="AM9" s="100">
        <v>0.635714</v>
      </c>
      <c r="AN9" s="100">
        <v>0.648276</v>
      </c>
      <c r="AO9" s="98">
        <v>1533.6625942292696</v>
      </c>
      <c r="AP9" s="158">
        <v>0.8182836150999999</v>
      </c>
      <c r="AQ9" s="100" t="s">
        <v>545</v>
      </c>
      <c r="AR9" s="100" t="s">
        <v>545</v>
      </c>
      <c r="AS9" s="98">
        <v>415.9085001299714</v>
      </c>
      <c r="AT9" s="98">
        <v>337.92565635560175</v>
      </c>
      <c r="AU9" s="98" t="s">
        <v>545</v>
      </c>
      <c r="AV9" s="98">
        <v>259.94281258123215</v>
      </c>
      <c r="AW9" s="98">
        <v>363.919937613725</v>
      </c>
      <c r="AX9" s="98">
        <v>467.8970626462178</v>
      </c>
      <c r="AY9" s="98">
        <v>1013.7769690668053</v>
      </c>
      <c r="AZ9" s="98">
        <v>727.83987522745</v>
      </c>
      <c r="BA9" s="100" t="s">
        <v>545</v>
      </c>
      <c r="BB9" s="100" t="s">
        <v>545</v>
      </c>
      <c r="BC9" s="100" t="s">
        <v>545</v>
      </c>
      <c r="BD9" s="158">
        <v>0.6229154204999999</v>
      </c>
      <c r="BE9" s="158">
        <v>1.055526276</v>
      </c>
      <c r="BF9" s="162">
        <v>373</v>
      </c>
      <c r="BG9" s="162">
        <v>342</v>
      </c>
      <c r="BH9" s="162">
        <v>1001</v>
      </c>
      <c r="BI9" s="162">
        <v>280</v>
      </c>
      <c r="BJ9" s="162">
        <v>145</v>
      </c>
      <c r="BK9" s="97"/>
      <c r="BL9" s="97"/>
      <c r="BM9" s="97"/>
      <c r="BN9" s="97"/>
    </row>
    <row r="10" spans="1:66" ht="12.75">
      <c r="A10" s="79" t="s">
        <v>514</v>
      </c>
      <c r="B10" s="79" t="s">
        <v>293</v>
      </c>
      <c r="C10" s="79" t="s">
        <v>81</v>
      </c>
      <c r="D10" s="99">
        <v>9691</v>
      </c>
      <c r="E10" s="99">
        <v>1225</v>
      </c>
      <c r="F10" s="99" t="s">
        <v>336</v>
      </c>
      <c r="G10" s="99">
        <v>62</v>
      </c>
      <c r="H10" s="99">
        <v>36</v>
      </c>
      <c r="I10" s="99">
        <v>158</v>
      </c>
      <c r="J10" s="99">
        <v>622</v>
      </c>
      <c r="K10" s="99">
        <v>7</v>
      </c>
      <c r="L10" s="99">
        <v>1554</v>
      </c>
      <c r="M10" s="99">
        <v>338</v>
      </c>
      <c r="N10" s="99">
        <v>163</v>
      </c>
      <c r="O10" s="99">
        <v>212</v>
      </c>
      <c r="P10" s="159">
        <v>212</v>
      </c>
      <c r="Q10" s="99">
        <v>17</v>
      </c>
      <c r="R10" s="99">
        <v>37</v>
      </c>
      <c r="S10" s="99">
        <v>28</v>
      </c>
      <c r="T10" s="99">
        <v>29</v>
      </c>
      <c r="U10" s="99">
        <v>17</v>
      </c>
      <c r="V10" s="99">
        <v>37</v>
      </c>
      <c r="W10" s="99">
        <v>46</v>
      </c>
      <c r="X10" s="99">
        <v>75</v>
      </c>
      <c r="Y10" s="99">
        <v>201</v>
      </c>
      <c r="Z10" s="99">
        <v>71</v>
      </c>
      <c r="AA10" s="99" t="s">
        <v>545</v>
      </c>
      <c r="AB10" s="99" t="s">
        <v>545</v>
      </c>
      <c r="AC10" s="99" t="s">
        <v>545</v>
      </c>
      <c r="AD10" s="98" t="s">
        <v>315</v>
      </c>
      <c r="AE10" s="100">
        <v>0.1264059436590651</v>
      </c>
      <c r="AF10" s="100">
        <v>0.32</v>
      </c>
      <c r="AG10" s="98">
        <v>639.7688577030234</v>
      </c>
      <c r="AH10" s="98">
        <v>371.47869156949747</v>
      </c>
      <c r="AI10" s="100">
        <v>0.016</v>
      </c>
      <c r="AJ10" s="100">
        <v>0.601547</v>
      </c>
      <c r="AK10" s="100">
        <v>0.777778</v>
      </c>
      <c r="AL10" s="100">
        <v>0.709913</v>
      </c>
      <c r="AM10" s="100">
        <v>0.387171</v>
      </c>
      <c r="AN10" s="100">
        <v>0.39372</v>
      </c>
      <c r="AO10" s="98">
        <v>2187.5967392425964</v>
      </c>
      <c r="AP10" s="158">
        <v>1.3269841</v>
      </c>
      <c r="AQ10" s="100">
        <v>0.08018867924528301</v>
      </c>
      <c r="AR10" s="100">
        <v>0.4594594594594595</v>
      </c>
      <c r="AS10" s="98">
        <v>288.92787122072025</v>
      </c>
      <c r="AT10" s="98">
        <v>299.2467237643174</v>
      </c>
      <c r="AU10" s="98">
        <v>175.42049324115158</v>
      </c>
      <c r="AV10" s="98">
        <v>381.7975441130946</v>
      </c>
      <c r="AW10" s="98">
        <v>474.667217005469</v>
      </c>
      <c r="AX10" s="98">
        <v>773.9139407697864</v>
      </c>
      <c r="AY10" s="98">
        <v>2074.0893612630275</v>
      </c>
      <c r="AZ10" s="98">
        <v>732.6385305953978</v>
      </c>
      <c r="BA10" s="100" t="s">
        <v>545</v>
      </c>
      <c r="BB10" s="100" t="s">
        <v>545</v>
      </c>
      <c r="BC10" s="100" t="s">
        <v>545</v>
      </c>
      <c r="BD10" s="158">
        <v>1.154357986</v>
      </c>
      <c r="BE10" s="158">
        <v>1.5181436160000001</v>
      </c>
      <c r="BF10" s="162">
        <v>1034</v>
      </c>
      <c r="BG10" s="162">
        <v>9</v>
      </c>
      <c r="BH10" s="162">
        <v>2189</v>
      </c>
      <c r="BI10" s="162">
        <v>873</v>
      </c>
      <c r="BJ10" s="162">
        <v>414</v>
      </c>
      <c r="BK10" s="97"/>
      <c r="BL10" s="97"/>
      <c r="BM10" s="97"/>
      <c r="BN10" s="97"/>
    </row>
    <row r="11" spans="1:66" ht="12.75">
      <c r="A11" s="79" t="s">
        <v>512</v>
      </c>
      <c r="B11" s="79" t="s">
        <v>291</v>
      </c>
      <c r="C11" s="79" t="s">
        <v>81</v>
      </c>
      <c r="D11" s="99">
        <v>7018</v>
      </c>
      <c r="E11" s="99">
        <v>1442</v>
      </c>
      <c r="F11" s="99" t="s">
        <v>335</v>
      </c>
      <c r="G11" s="99">
        <v>41</v>
      </c>
      <c r="H11" s="99">
        <v>24</v>
      </c>
      <c r="I11" s="99">
        <v>166</v>
      </c>
      <c r="J11" s="99">
        <v>628</v>
      </c>
      <c r="K11" s="99">
        <v>576</v>
      </c>
      <c r="L11" s="99">
        <v>1276</v>
      </c>
      <c r="M11" s="99">
        <v>408</v>
      </c>
      <c r="N11" s="99">
        <v>217</v>
      </c>
      <c r="O11" s="99">
        <v>391</v>
      </c>
      <c r="P11" s="159">
        <v>391</v>
      </c>
      <c r="Q11" s="99">
        <v>30</v>
      </c>
      <c r="R11" s="99">
        <v>57</v>
      </c>
      <c r="S11" s="99">
        <v>52</v>
      </c>
      <c r="T11" s="99">
        <v>52</v>
      </c>
      <c r="U11" s="99">
        <v>15</v>
      </c>
      <c r="V11" s="99">
        <v>61</v>
      </c>
      <c r="W11" s="99">
        <v>72</v>
      </c>
      <c r="X11" s="99">
        <v>69</v>
      </c>
      <c r="Y11" s="99">
        <v>220</v>
      </c>
      <c r="Z11" s="99">
        <v>64</v>
      </c>
      <c r="AA11" s="99" t="s">
        <v>545</v>
      </c>
      <c r="AB11" s="99" t="s">
        <v>545</v>
      </c>
      <c r="AC11" s="99" t="s">
        <v>545</v>
      </c>
      <c r="AD11" s="98" t="s">
        <v>315</v>
      </c>
      <c r="AE11" s="100">
        <v>0.2054716443431177</v>
      </c>
      <c r="AF11" s="100">
        <v>0.23</v>
      </c>
      <c r="AG11" s="98">
        <v>584.2120262182958</v>
      </c>
      <c r="AH11" s="98">
        <v>341.9777714448561</v>
      </c>
      <c r="AI11" s="100">
        <v>0.024</v>
      </c>
      <c r="AJ11" s="100">
        <v>0.72101</v>
      </c>
      <c r="AK11" s="100">
        <v>0.83237</v>
      </c>
      <c r="AL11" s="100">
        <v>0.781863</v>
      </c>
      <c r="AM11" s="100">
        <v>0.525773</v>
      </c>
      <c r="AN11" s="100">
        <v>0.592896</v>
      </c>
      <c r="AO11" s="98">
        <v>5571.3878597891135</v>
      </c>
      <c r="AP11" s="158">
        <v>2.715984497</v>
      </c>
      <c r="AQ11" s="100">
        <v>0.07672634271099744</v>
      </c>
      <c r="AR11" s="100">
        <v>0.5263157894736842</v>
      </c>
      <c r="AS11" s="98">
        <v>740.9518381305215</v>
      </c>
      <c r="AT11" s="98">
        <v>740.9518381305215</v>
      </c>
      <c r="AU11" s="98">
        <v>213.73610715303505</v>
      </c>
      <c r="AV11" s="98">
        <v>869.1935024223426</v>
      </c>
      <c r="AW11" s="98">
        <v>1025.9333143345682</v>
      </c>
      <c r="AX11" s="98">
        <v>983.1860929039613</v>
      </c>
      <c r="AY11" s="98">
        <v>3134.796238244514</v>
      </c>
      <c r="AZ11" s="98">
        <v>911.9407238529495</v>
      </c>
      <c r="BA11" s="101" t="s">
        <v>545</v>
      </c>
      <c r="BB11" s="101" t="s">
        <v>545</v>
      </c>
      <c r="BC11" s="101" t="s">
        <v>545</v>
      </c>
      <c r="BD11" s="158">
        <v>2.4534094239999997</v>
      </c>
      <c r="BE11" s="158">
        <v>2.9990045170000004</v>
      </c>
      <c r="BF11" s="162">
        <v>871</v>
      </c>
      <c r="BG11" s="162">
        <v>692</v>
      </c>
      <c r="BH11" s="162">
        <v>1632</v>
      </c>
      <c r="BI11" s="162">
        <v>776</v>
      </c>
      <c r="BJ11" s="162">
        <v>366</v>
      </c>
      <c r="BK11" s="97"/>
      <c r="BL11" s="97"/>
      <c r="BM11" s="97"/>
      <c r="BN11" s="97"/>
    </row>
    <row r="12" spans="1:66" ht="12.75">
      <c r="A12" s="79" t="s">
        <v>534</v>
      </c>
      <c r="B12" s="79" t="s">
        <v>312</v>
      </c>
      <c r="C12" s="79" t="s">
        <v>81</v>
      </c>
      <c r="D12" s="99">
        <v>8048</v>
      </c>
      <c r="E12" s="99">
        <v>1373</v>
      </c>
      <c r="F12" s="99" t="s">
        <v>335</v>
      </c>
      <c r="G12" s="99">
        <v>43</v>
      </c>
      <c r="H12" s="99">
        <v>24</v>
      </c>
      <c r="I12" s="99">
        <v>162</v>
      </c>
      <c r="J12" s="99">
        <v>749</v>
      </c>
      <c r="K12" s="99">
        <v>24</v>
      </c>
      <c r="L12" s="99">
        <v>1633</v>
      </c>
      <c r="M12" s="99">
        <v>510</v>
      </c>
      <c r="N12" s="99">
        <v>269</v>
      </c>
      <c r="O12" s="99">
        <v>267</v>
      </c>
      <c r="P12" s="159">
        <v>267</v>
      </c>
      <c r="Q12" s="99">
        <v>22</v>
      </c>
      <c r="R12" s="99">
        <v>47</v>
      </c>
      <c r="S12" s="99">
        <v>61</v>
      </c>
      <c r="T12" s="99">
        <v>29</v>
      </c>
      <c r="U12" s="99">
        <v>8</v>
      </c>
      <c r="V12" s="99">
        <v>36</v>
      </c>
      <c r="W12" s="99">
        <v>87</v>
      </c>
      <c r="X12" s="99">
        <v>74</v>
      </c>
      <c r="Y12" s="99">
        <v>198</v>
      </c>
      <c r="Z12" s="99">
        <v>54</v>
      </c>
      <c r="AA12" s="99" t="s">
        <v>545</v>
      </c>
      <c r="AB12" s="99" t="s">
        <v>545</v>
      </c>
      <c r="AC12" s="99" t="s">
        <v>545</v>
      </c>
      <c r="AD12" s="98" t="s">
        <v>315</v>
      </c>
      <c r="AE12" s="100">
        <v>0.1706013916500994</v>
      </c>
      <c r="AF12" s="100">
        <v>0.19</v>
      </c>
      <c r="AG12" s="98">
        <v>534.2942345924454</v>
      </c>
      <c r="AH12" s="98">
        <v>298.2107355864811</v>
      </c>
      <c r="AI12" s="100">
        <v>0.02</v>
      </c>
      <c r="AJ12" s="100">
        <v>0.755802</v>
      </c>
      <c r="AK12" s="100">
        <v>0.774194</v>
      </c>
      <c r="AL12" s="100">
        <v>0.794647</v>
      </c>
      <c r="AM12" s="100">
        <v>0.586881</v>
      </c>
      <c r="AN12" s="100">
        <v>0.660934</v>
      </c>
      <c r="AO12" s="98">
        <v>3317.594433399602</v>
      </c>
      <c r="AP12" s="158">
        <v>1.735400238</v>
      </c>
      <c r="AQ12" s="100">
        <v>0.08239700374531835</v>
      </c>
      <c r="AR12" s="100">
        <v>0.46808510638297873</v>
      </c>
      <c r="AS12" s="98">
        <v>757.9522862823062</v>
      </c>
      <c r="AT12" s="98">
        <v>360.337972166998</v>
      </c>
      <c r="AU12" s="98">
        <v>99.40357852882704</v>
      </c>
      <c r="AV12" s="98">
        <v>447.31610337972165</v>
      </c>
      <c r="AW12" s="98">
        <v>1081.0139165009941</v>
      </c>
      <c r="AX12" s="98">
        <v>919.48310139165</v>
      </c>
      <c r="AY12" s="98">
        <v>2460.238568588469</v>
      </c>
      <c r="AZ12" s="98">
        <v>670.9741550695825</v>
      </c>
      <c r="BA12" s="101" t="s">
        <v>545</v>
      </c>
      <c r="BB12" s="101" t="s">
        <v>545</v>
      </c>
      <c r="BC12" s="101" t="s">
        <v>545</v>
      </c>
      <c r="BD12" s="158">
        <v>1.533465424</v>
      </c>
      <c r="BE12" s="158">
        <v>1.956533051</v>
      </c>
      <c r="BF12" s="162">
        <v>991</v>
      </c>
      <c r="BG12" s="162">
        <v>31</v>
      </c>
      <c r="BH12" s="162">
        <v>2055</v>
      </c>
      <c r="BI12" s="162">
        <v>869</v>
      </c>
      <c r="BJ12" s="162">
        <v>407</v>
      </c>
      <c r="BK12" s="97"/>
      <c r="BL12" s="97"/>
      <c r="BM12" s="97"/>
      <c r="BN12" s="97"/>
    </row>
    <row r="13" spans="1:66" ht="12.75">
      <c r="A13" s="79" t="s">
        <v>535</v>
      </c>
      <c r="B13" s="79" t="s">
        <v>314</v>
      </c>
      <c r="C13" s="79" t="s">
        <v>81</v>
      </c>
      <c r="D13" s="99">
        <v>5884</v>
      </c>
      <c r="E13" s="99">
        <v>258</v>
      </c>
      <c r="F13" s="99" t="s">
        <v>336</v>
      </c>
      <c r="G13" s="99" t="s">
        <v>545</v>
      </c>
      <c r="H13" s="99" t="s">
        <v>545</v>
      </c>
      <c r="I13" s="99">
        <v>24</v>
      </c>
      <c r="J13" s="99">
        <v>105</v>
      </c>
      <c r="K13" s="99">
        <v>7</v>
      </c>
      <c r="L13" s="99">
        <v>755</v>
      </c>
      <c r="M13" s="99">
        <v>47</v>
      </c>
      <c r="N13" s="99">
        <v>23</v>
      </c>
      <c r="O13" s="99">
        <v>31</v>
      </c>
      <c r="P13" s="159">
        <v>31</v>
      </c>
      <c r="Q13" s="99" t="s">
        <v>545</v>
      </c>
      <c r="R13" s="99" t="s">
        <v>545</v>
      </c>
      <c r="S13" s="99" t="s">
        <v>545</v>
      </c>
      <c r="T13" s="99">
        <v>8</v>
      </c>
      <c r="U13" s="99" t="s">
        <v>545</v>
      </c>
      <c r="V13" s="99" t="s">
        <v>545</v>
      </c>
      <c r="W13" s="99">
        <v>12</v>
      </c>
      <c r="X13" s="99">
        <v>17</v>
      </c>
      <c r="Y13" s="99">
        <v>39</v>
      </c>
      <c r="Z13" s="99">
        <v>16</v>
      </c>
      <c r="AA13" s="99" t="s">
        <v>545</v>
      </c>
      <c r="AB13" s="99" t="s">
        <v>545</v>
      </c>
      <c r="AC13" s="99" t="s">
        <v>545</v>
      </c>
      <c r="AD13" s="98" t="s">
        <v>315</v>
      </c>
      <c r="AE13" s="100">
        <v>0.04384772263766146</v>
      </c>
      <c r="AF13" s="100">
        <v>0.27</v>
      </c>
      <c r="AG13" s="98" t="s">
        <v>545</v>
      </c>
      <c r="AH13" s="98" t="s">
        <v>545</v>
      </c>
      <c r="AI13" s="100">
        <v>0.004</v>
      </c>
      <c r="AJ13" s="100">
        <v>0.456522</v>
      </c>
      <c r="AK13" s="100">
        <v>0.269231</v>
      </c>
      <c r="AL13" s="100">
        <v>0.643649</v>
      </c>
      <c r="AM13" s="100">
        <v>0.278107</v>
      </c>
      <c r="AN13" s="100">
        <v>0.2875</v>
      </c>
      <c r="AO13" s="98">
        <v>526.8524813052345</v>
      </c>
      <c r="AP13" s="158">
        <v>0.5768537903</v>
      </c>
      <c r="AQ13" s="100" t="s">
        <v>545</v>
      </c>
      <c r="AR13" s="100" t="s">
        <v>545</v>
      </c>
      <c r="AS13" s="98" t="s">
        <v>545</v>
      </c>
      <c r="AT13" s="98">
        <v>135.96193065941537</v>
      </c>
      <c r="AU13" s="98" t="s">
        <v>545</v>
      </c>
      <c r="AV13" s="98" t="s">
        <v>545</v>
      </c>
      <c r="AW13" s="98">
        <v>203.94289598912306</v>
      </c>
      <c r="AX13" s="98">
        <v>288.9191026512577</v>
      </c>
      <c r="AY13" s="98">
        <v>662.8144119646499</v>
      </c>
      <c r="AZ13" s="98">
        <v>271.92386131883075</v>
      </c>
      <c r="BA13" s="101" t="s">
        <v>545</v>
      </c>
      <c r="BB13" s="101" t="s">
        <v>545</v>
      </c>
      <c r="BC13" s="101" t="s">
        <v>545</v>
      </c>
      <c r="BD13" s="158">
        <v>0.3919441605</v>
      </c>
      <c r="BE13" s="158">
        <v>0.8187979126</v>
      </c>
      <c r="BF13" s="162">
        <v>230</v>
      </c>
      <c r="BG13" s="162">
        <v>26</v>
      </c>
      <c r="BH13" s="162">
        <v>1173</v>
      </c>
      <c r="BI13" s="162">
        <v>169</v>
      </c>
      <c r="BJ13" s="162">
        <v>80</v>
      </c>
      <c r="BK13" s="97"/>
      <c r="BL13" s="97"/>
      <c r="BM13" s="97"/>
      <c r="BN13" s="97"/>
    </row>
    <row r="14" spans="1:66" ht="12.75">
      <c r="A14" s="79" t="s">
        <v>524</v>
      </c>
      <c r="B14" s="79" t="s">
        <v>303</v>
      </c>
      <c r="C14" s="79" t="s">
        <v>81</v>
      </c>
      <c r="D14" s="99">
        <v>3912</v>
      </c>
      <c r="E14" s="99">
        <v>638</v>
      </c>
      <c r="F14" s="99" t="s">
        <v>338</v>
      </c>
      <c r="G14" s="99">
        <v>19</v>
      </c>
      <c r="H14" s="99">
        <v>11</v>
      </c>
      <c r="I14" s="99">
        <v>82</v>
      </c>
      <c r="J14" s="99">
        <v>402</v>
      </c>
      <c r="K14" s="99" t="s">
        <v>545</v>
      </c>
      <c r="L14" s="99">
        <v>810</v>
      </c>
      <c r="M14" s="99">
        <v>253</v>
      </c>
      <c r="N14" s="99">
        <v>126</v>
      </c>
      <c r="O14" s="99">
        <v>75</v>
      </c>
      <c r="P14" s="159">
        <v>75</v>
      </c>
      <c r="Q14" s="99">
        <v>14</v>
      </c>
      <c r="R14" s="99">
        <v>24</v>
      </c>
      <c r="S14" s="99">
        <v>9</v>
      </c>
      <c r="T14" s="99">
        <v>11</v>
      </c>
      <c r="U14" s="99" t="s">
        <v>545</v>
      </c>
      <c r="V14" s="99">
        <v>9</v>
      </c>
      <c r="W14" s="99">
        <v>42</v>
      </c>
      <c r="X14" s="99">
        <v>39</v>
      </c>
      <c r="Y14" s="99">
        <v>70</v>
      </c>
      <c r="Z14" s="99">
        <v>24</v>
      </c>
      <c r="AA14" s="99" t="s">
        <v>545</v>
      </c>
      <c r="AB14" s="99" t="s">
        <v>545</v>
      </c>
      <c r="AC14" s="99" t="s">
        <v>545</v>
      </c>
      <c r="AD14" s="98" t="s">
        <v>315</v>
      </c>
      <c r="AE14" s="100">
        <v>0.1630879345603272</v>
      </c>
      <c r="AF14" s="100">
        <v>0.13</v>
      </c>
      <c r="AG14" s="98">
        <v>485.6850715746421</v>
      </c>
      <c r="AH14" s="98">
        <v>281.18609406952964</v>
      </c>
      <c r="AI14" s="100">
        <v>0.021</v>
      </c>
      <c r="AJ14" s="100">
        <v>0.733577</v>
      </c>
      <c r="AK14" s="100" t="s">
        <v>545</v>
      </c>
      <c r="AL14" s="100">
        <v>0.788705</v>
      </c>
      <c r="AM14" s="100">
        <v>0.524896</v>
      </c>
      <c r="AN14" s="100">
        <v>0.529412</v>
      </c>
      <c r="AO14" s="98">
        <v>1917.1779141104294</v>
      </c>
      <c r="AP14" s="158">
        <v>0.9876706695999999</v>
      </c>
      <c r="AQ14" s="100">
        <v>0.18666666666666668</v>
      </c>
      <c r="AR14" s="100">
        <v>0.5833333333333334</v>
      </c>
      <c r="AS14" s="98">
        <v>230.06134969325154</v>
      </c>
      <c r="AT14" s="98">
        <v>281.18609406952964</v>
      </c>
      <c r="AU14" s="98" t="s">
        <v>545</v>
      </c>
      <c r="AV14" s="98">
        <v>230.06134969325154</v>
      </c>
      <c r="AW14" s="98">
        <v>1073.6196319018404</v>
      </c>
      <c r="AX14" s="98">
        <v>996.9325153374233</v>
      </c>
      <c r="AY14" s="98">
        <v>1789.3660531697342</v>
      </c>
      <c r="AZ14" s="98">
        <v>613.4969325153374</v>
      </c>
      <c r="BA14" s="100" t="s">
        <v>545</v>
      </c>
      <c r="BB14" s="100" t="s">
        <v>545</v>
      </c>
      <c r="BC14" s="100" t="s">
        <v>545</v>
      </c>
      <c r="BD14" s="158">
        <v>0.7768656158</v>
      </c>
      <c r="BE14" s="158">
        <v>1.2380537409999999</v>
      </c>
      <c r="BF14" s="162">
        <v>548</v>
      </c>
      <c r="BG14" s="162" t="s">
        <v>545</v>
      </c>
      <c r="BH14" s="162">
        <v>1027</v>
      </c>
      <c r="BI14" s="162">
        <v>482</v>
      </c>
      <c r="BJ14" s="162">
        <v>238</v>
      </c>
      <c r="BK14" s="97"/>
      <c r="BL14" s="97"/>
      <c r="BM14" s="97"/>
      <c r="BN14" s="97"/>
    </row>
    <row r="15" spans="1:66" ht="12.75">
      <c r="A15" s="79" t="s">
        <v>508</v>
      </c>
      <c r="B15" s="79" t="s">
        <v>287</v>
      </c>
      <c r="C15" s="79" t="s">
        <v>81</v>
      </c>
      <c r="D15" s="99">
        <v>5995</v>
      </c>
      <c r="E15" s="99">
        <v>914</v>
      </c>
      <c r="F15" s="99" t="s">
        <v>336</v>
      </c>
      <c r="G15" s="99">
        <v>36</v>
      </c>
      <c r="H15" s="99">
        <v>17</v>
      </c>
      <c r="I15" s="99">
        <v>117</v>
      </c>
      <c r="J15" s="99">
        <v>463</v>
      </c>
      <c r="K15" s="99">
        <v>454</v>
      </c>
      <c r="L15" s="99">
        <v>1140</v>
      </c>
      <c r="M15" s="99">
        <v>262</v>
      </c>
      <c r="N15" s="99">
        <v>144</v>
      </c>
      <c r="O15" s="99">
        <v>96</v>
      </c>
      <c r="P15" s="159">
        <v>96</v>
      </c>
      <c r="Q15" s="99">
        <v>16</v>
      </c>
      <c r="R15" s="99">
        <v>34</v>
      </c>
      <c r="S15" s="99">
        <v>13</v>
      </c>
      <c r="T15" s="99">
        <v>12</v>
      </c>
      <c r="U15" s="99" t="s">
        <v>545</v>
      </c>
      <c r="V15" s="99">
        <v>10</v>
      </c>
      <c r="W15" s="99">
        <v>32</v>
      </c>
      <c r="X15" s="99">
        <v>23</v>
      </c>
      <c r="Y15" s="99">
        <v>63</v>
      </c>
      <c r="Z15" s="99">
        <v>37</v>
      </c>
      <c r="AA15" s="99" t="s">
        <v>545</v>
      </c>
      <c r="AB15" s="99" t="s">
        <v>545</v>
      </c>
      <c r="AC15" s="99" t="s">
        <v>545</v>
      </c>
      <c r="AD15" s="98" t="s">
        <v>315</v>
      </c>
      <c r="AE15" s="100">
        <v>0.1524603836530442</v>
      </c>
      <c r="AF15" s="100">
        <v>0.31</v>
      </c>
      <c r="AG15" s="98">
        <v>600.5004170141785</v>
      </c>
      <c r="AH15" s="98">
        <v>283.5696413678065</v>
      </c>
      <c r="AI15" s="100">
        <v>0.02</v>
      </c>
      <c r="AJ15" s="100">
        <v>0.757774</v>
      </c>
      <c r="AK15" s="100">
        <v>0.755408</v>
      </c>
      <c r="AL15" s="100">
        <v>0.809084</v>
      </c>
      <c r="AM15" s="100">
        <v>0.454073</v>
      </c>
      <c r="AN15" s="100">
        <v>0.533333</v>
      </c>
      <c r="AO15" s="98">
        <v>1601.3344453711427</v>
      </c>
      <c r="AP15" s="158">
        <v>0.9060980225</v>
      </c>
      <c r="AQ15" s="100">
        <v>0.16666666666666666</v>
      </c>
      <c r="AR15" s="100">
        <v>0.47058823529411764</v>
      </c>
      <c r="AS15" s="98">
        <v>216.84737281067555</v>
      </c>
      <c r="AT15" s="98">
        <v>200.16680567139284</v>
      </c>
      <c r="AU15" s="98" t="s">
        <v>545</v>
      </c>
      <c r="AV15" s="98">
        <v>166.80567139282735</v>
      </c>
      <c r="AW15" s="98">
        <v>533.7781484570476</v>
      </c>
      <c r="AX15" s="98">
        <v>383.65304420350293</v>
      </c>
      <c r="AY15" s="98">
        <v>1050.8757297748123</v>
      </c>
      <c r="AZ15" s="98">
        <v>617.1809841534612</v>
      </c>
      <c r="BA15" s="100" t="s">
        <v>545</v>
      </c>
      <c r="BB15" s="100" t="s">
        <v>545</v>
      </c>
      <c r="BC15" s="100" t="s">
        <v>545</v>
      </c>
      <c r="BD15" s="158">
        <v>0.733942337</v>
      </c>
      <c r="BE15" s="158">
        <v>1.106500778</v>
      </c>
      <c r="BF15" s="162">
        <v>611</v>
      </c>
      <c r="BG15" s="162">
        <v>601</v>
      </c>
      <c r="BH15" s="162">
        <v>1409</v>
      </c>
      <c r="BI15" s="162">
        <v>577</v>
      </c>
      <c r="BJ15" s="162">
        <v>270</v>
      </c>
      <c r="BK15" s="97"/>
      <c r="BL15" s="97"/>
      <c r="BM15" s="97"/>
      <c r="BN15" s="97"/>
    </row>
    <row r="16" spans="1:66" ht="12.75">
      <c r="A16" s="79" t="s">
        <v>527</v>
      </c>
      <c r="B16" s="79" t="s">
        <v>306</v>
      </c>
      <c r="C16" s="79" t="s">
        <v>81</v>
      </c>
      <c r="D16" s="99">
        <v>7689</v>
      </c>
      <c r="E16" s="99">
        <v>997</v>
      </c>
      <c r="F16" s="99" t="s">
        <v>336</v>
      </c>
      <c r="G16" s="99">
        <v>22</v>
      </c>
      <c r="H16" s="99">
        <v>15</v>
      </c>
      <c r="I16" s="99">
        <v>101</v>
      </c>
      <c r="J16" s="99">
        <v>498</v>
      </c>
      <c r="K16" s="99" t="s">
        <v>545</v>
      </c>
      <c r="L16" s="99">
        <v>1324</v>
      </c>
      <c r="M16" s="99">
        <v>254</v>
      </c>
      <c r="N16" s="99">
        <v>149</v>
      </c>
      <c r="O16" s="99">
        <v>155</v>
      </c>
      <c r="P16" s="159">
        <v>155</v>
      </c>
      <c r="Q16" s="99">
        <v>7</v>
      </c>
      <c r="R16" s="99">
        <v>26</v>
      </c>
      <c r="S16" s="99">
        <v>17</v>
      </c>
      <c r="T16" s="99">
        <v>18</v>
      </c>
      <c r="U16" s="99" t="s">
        <v>545</v>
      </c>
      <c r="V16" s="99">
        <v>39</v>
      </c>
      <c r="W16" s="99">
        <v>47</v>
      </c>
      <c r="X16" s="99">
        <v>39</v>
      </c>
      <c r="Y16" s="99">
        <v>129</v>
      </c>
      <c r="Z16" s="99">
        <v>42</v>
      </c>
      <c r="AA16" s="99" t="s">
        <v>545</v>
      </c>
      <c r="AB16" s="99" t="s">
        <v>545</v>
      </c>
      <c r="AC16" s="99" t="s">
        <v>545</v>
      </c>
      <c r="AD16" s="98" t="s">
        <v>315</v>
      </c>
      <c r="AE16" s="100">
        <v>0.12966575627519833</v>
      </c>
      <c r="AF16" s="100">
        <v>0.25</v>
      </c>
      <c r="AG16" s="98">
        <v>286.1230329041488</v>
      </c>
      <c r="AH16" s="98">
        <v>195.08388607101054</v>
      </c>
      <c r="AI16" s="100">
        <v>0.013000000000000001</v>
      </c>
      <c r="AJ16" s="100">
        <v>0.731278</v>
      </c>
      <c r="AK16" s="100" t="s">
        <v>545</v>
      </c>
      <c r="AL16" s="100">
        <v>0.742152</v>
      </c>
      <c r="AM16" s="100">
        <v>0.459313</v>
      </c>
      <c r="AN16" s="100">
        <v>0.55597</v>
      </c>
      <c r="AO16" s="98">
        <v>2015.8668227337755</v>
      </c>
      <c r="AP16" s="158">
        <v>1.265976181</v>
      </c>
      <c r="AQ16" s="100">
        <v>0.04516129032258064</v>
      </c>
      <c r="AR16" s="100">
        <v>0.2692307692307692</v>
      </c>
      <c r="AS16" s="98">
        <v>221.0950708804786</v>
      </c>
      <c r="AT16" s="98">
        <v>234.10066328521265</v>
      </c>
      <c r="AU16" s="98" t="s">
        <v>545</v>
      </c>
      <c r="AV16" s="98">
        <v>507.2181037846274</v>
      </c>
      <c r="AW16" s="98">
        <v>611.2628430224996</v>
      </c>
      <c r="AX16" s="98">
        <v>507.2181037846274</v>
      </c>
      <c r="AY16" s="98">
        <v>1677.7214202106907</v>
      </c>
      <c r="AZ16" s="98">
        <v>546.2348809988295</v>
      </c>
      <c r="BA16" s="100" t="s">
        <v>545</v>
      </c>
      <c r="BB16" s="100" t="s">
        <v>545</v>
      </c>
      <c r="BC16" s="100" t="s">
        <v>545</v>
      </c>
      <c r="BD16" s="158">
        <v>1.07452095</v>
      </c>
      <c r="BE16" s="158">
        <v>1.481705933</v>
      </c>
      <c r="BF16" s="162">
        <v>681</v>
      </c>
      <c r="BG16" s="162" t="s">
        <v>545</v>
      </c>
      <c r="BH16" s="162">
        <v>1784</v>
      </c>
      <c r="BI16" s="162">
        <v>553</v>
      </c>
      <c r="BJ16" s="162">
        <v>268</v>
      </c>
      <c r="BK16" s="97"/>
      <c r="BL16" s="97"/>
      <c r="BM16" s="97"/>
      <c r="BN16" s="97"/>
    </row>
    <row r="17" spans="1:66" ht="12.75">
      <c r="A17" s="79" t="s">
        <v>530</v>
      </c>
      <c r="B17" s="79" t="s">
        <v>309</v>
      </c>
      <c r="C17" s="79" t="s">
        <v>81</v>
      </c>
      <c r="D17" s="99">
        <v>7877</v>
      </c>
      <c r="E17" s="99">
        <v>1044</v>
      </c>
      <c r="F17" s="99" t="s">
        <v>337</v>
      </c>
      <c r="G17" s="99">
        <v>35</v>
      </c>
      <c r="H17" s="99">
        <v>19</v>
      </c>
      <c r="I17" s="99">
        <v>126</v>
      </c>
      <c r="J17" s="99">
        <v>646</v>
      </c>
      <c r="K17" s="99">
        <v>10</v>
      </c>
      <c r="L17" s="99">
        <v>1594</v>
      </c>
      <c r="M17" s="99">
        <v>384</v>
      </c>
      <c r="N17" s="99">
        <v>197</v>
      </c>
      <c r="O17" s="99">
        <v>166</v>
      </c>
      <c r="P17" s="159">
        <v>166</v>
      </c>
      <c r="Q17" s="99">
        <v>18</v>
      </c>
      <c r="R17" s="99">
        <v>35</v>
      </c>
      <c r="S17" s="99">
        <v>35</v>
      </c>
      <c r="T17" s="99">
        <v>25</v>
      </c>
      <c r="U17" s="99" t="s">
        <v>545</v>
      </c>
      <c r="V17" s="99">
        <v>17</v>
      </c>
      <c r="W17" s="99">
        <v>50</v>
      </c>
      <c r="X17" s="99">
        <v>81</v>
      </c>
      <c r="Y17" s="99">
        <v>146</v>
      </c>
      <c r="Z17" s="99">
        <v>49</v>
      </c>
      <c r="AA17" s="99" t="s">
        <v>545</v>
      </c>
      <c r="AB17" s="99" t="s">
        <v>545</v>
      </c>
      <c r="AC17" s="99" t="s">
        <v>545</v>
      </c>
      <c r="AD17" s="98" t="s">
        <v>315</v>
      </c>
      <c r="AE17" s="100">
        <v>0.13253776818585755</v>
      </c>
      <c r="AF17" s="100">
        <v>0.1</v>
      </c>
      <c r="AG17" s="98">
        <v>444.33159832423513</v>
      </c>
      <c r="AH17" s="98">
        <v>241.20858194744193</v>
      </c>
      <c r="AI17" s="100">
        <v>0.016</v>
      </c>
      <c r="AJ17" s="100">
        <v>0.76</v>
      </c>
      <c r="AK17" s="100">
        <v>0.769231</v>
      </c>
      <c r="AL17" s="100">
        <v>0.74174</v>
      </c>
      <c r="AM17" s="100">
        <v>0.57228</v>
      </c>
      <c r="AN17" s="100">
        <v>0.591592</v>
      </c>
      <c r="AO17" s="98">
        <v>2107.4012949092294</v>
      </c>
      <c r="AP17" s="158">
        <v>1.239802322</v>
      </c>
      <c r="AQ17" s="100">
        <v>0.10843373493975904</v>
      </c>
      <c r="AR17" s="100">
        <v>0.5142857142857142</v>
      </c>
      <c r="AS17" s="98">
        <v>444.33159832423513</v>
      </c>
      <c r="AT17" s="98">
        <v>317.3797130887394</v>
      </c>
      <c r="AU17" s="98" t="s">
        <v>545</v>
      </c>
      <c r="AV17" s="98">
        <v>215.81820490034278</v>
      </c>
      <c r="AW17" s="98">
        <v>634.7594261774788</v>
      </c>
      <c r="AX17" s="98">
        <v>1028.3102704075156</v>
      </c>
      <c r="AY17" s="98">
        <v>1853.4975244382379</v>
      </c>
      <c r="AZ17" s="98">
        <v>622.0642376539291</v>
      </c>
      <c r="BA17" s="100" t="s">
        <v>545</v>
      </c>
      <c r="BB17" s="100" t="s">
        <v>545</v>
      </c>
      <c r="BC17" s="100" t="s">
        <v>545</v>
      </c>
      <c r="BD17" s="158">
        <v>1.058370667</v>
      </c>
      <c r="BE17" s="158">
        <v>1.4434120179999999</v>
      </c>
      <c r="BF17" s="162">
        <v>850</v>
      </c>
      <c r="BG17" s="162">
        <v>13</v>
      </c>
      <c r="BH17" s="162">
        <v>2149</v>
      </c>
      <c r="BI17" s="162">
        <v>671</v>
      </c>
      <c r="BJ17" s="162">
        <v>333</v>
      </c>
      <c r="BK17" s="97"/>
      <c r="BL17" s="97"/>
      <c r="BM17" s="97"/>
      <c r="BN17" s="97"/>
    </row>
    <row r="18" spans="1:66" ht="12.75">
      <c r="A18" s="79" t="s">
        <v>531</v>
      </c>
      <c r="B18" s="79" t="s">
        <v>497</v>
      </c>
      <c r="C18" s="79" t="s">
        <v>81</v>
      </c>
      <c r="D18" s="99">
        <v>7599</v>
      </c>
      <c r="E18" s="99">
        <v>769</v>
      </c>
      <c r="F18" s="99" t="s">
        <v>336</v>
      </c>
      <c r="G18" s="99">
        <v>31</v>
      </c>
      <c r="H18" s="99">
        <v>15</v>
      </c>
      <c r="I18" s="99">
        <v>81</v>
      </c>
      <c r="J18" s="99">
        <v>433</v>
      </c>
      <c r="K18" s="99">
        <v>424</v>
      </c>
      <c r="L18" s="99">
        <v>1026</v>
      </c>
      <c r="M18" s="99">
        <v>208</v>
      </c>
      <c r="N18" s="99">
        <v>114</v>
      </c>
      <c r="O18" s="99">
        <v>160</v>
      </c>
      <c r="P18" s="159">
        <v>160</v>
      </c>
      <c r="Q18" s="99">
        <v>8</v>
      </c>
      <c r="R18" s="99">
        <v>28</v>
      </c>
      <c r="S18" s="99">
        <v>22</v>
      </c>
      <c r="T18" s="99">
        <v>26</v>
      </c>
      <c r="U18" s="99">
        <v>13</v>
      </c>
      <c r="V18" s="99">
        <v>16</v>
      </c>
      <c r="W18" s="99">
        <v>48</v>
      </c>
      <c r="X18" s="99">
        <v>44</v>
      </c>
      <c r="Y18" s="99">
        <v>117</v>
      </c>
      <c r="Z18" s="99">
        <v>33</v>
      </c>
      <c r="AA18" s="99" t="s">
        <v>545</v>
      </c>
      <c r="AB18" s="99" t="s">
        <v>545</v>
      </c>
      <c r="AC18" s="99" t="s">
        <v>545</v>
      </c>
      <c r="AD18" s="98" t="s">
        <v>315</v>
      </c>
      <c r="AE18" s="100">
        <v>0.10119752599026188</v>
      </c>
      <c r="AF18" s="100">
        <v>0.35</v>
      </c>
      <c r="AG18" s="98">
        <v>407.9484142650349</v>
      </c>
      <c r="AH18" s="98">
        <v>197.39439399921042</v>
      </c>
      <c r="AI18" s="100">
        <v>0.011000000000000001</v>
      </c>
      <c r="AJ18" s="100">
        <v>0.655068</v>
      </c>
      <c r="AK18" s="100">
        <v>0.659409</v>
      </c>
      <c r="AL18" s="100">
        <v>0.643664</v>
      </c>
      <c r="AM18" s="100">
        <v>0.358621</v>
      </c>
      <c r="AN18" s="100">
        <v>0.411552</v>
      </c>
      <c r="AO18" s="98">
        <v>2105.5402026582447</v>
      </c>
      <c r="AP18" s="158">
        <v>1.5353125</v>
      </c>
      <c r="AQ18" s="100">
        <v>0.05</v>
      </c>
      <c r="AR18" s="100">
        <v>0.2857142857142857</v>
      </c>
      <c r="AS18" s="98">
        <v>289.51177786550863</v>
      </c>
      <c r="AT18" s="98">
        <v>342.15028293196474</v>
      </c>
      <c r="AU18" s="98">
        <v>171.07514146598237</v>
      </c>
      <c r="AV18" s="98">
        <v>210.55402026582445</v>
      </c>
      <c r="AW18" s="98">
        <v>631.6620607974734</v>
      </c>
      <c r="AX18" s="98">
        <v>579.0235557310173</v>
      </c>
      <c r="AY18" s="98">
        <v>1539.6762731938413</v>
      </c>
      <c r="AZ18" s="98">
        <v>434.26766679826295</v>
      </c>
      <c r="BA18" s="100" t="s">
        <v>545</v>
      </c>
      <c r="BB18" s="100" t="s">
        <v>545</v>
      </c>
      <c r="BC18" s="100" t="s">
        <v>545</v>
      </c>
      <c r="BD18" s="158">
        <v>1.3066325380000001</v>
      </c>
      <c r="BE18" s="158">
        <v>1.7925</v>
      </c>
      <c r="BF18" s="162">
        <v>661</v>
      </c>
      <c r="BG18" s="162">
        <v>643</v>
      </c>
      <c r="BH18" s="162">
        <v>1594</v>
      </c>
      <c r="BI18" s="162">
        <v>580</v>
      </c>
      <c r="BJ18" s="162">
        <v>277</v>
      </c>
      <c r="BK18" s="97"/>
      <c r="BL18" s="97"/>
      <c r="BM18" s="97"/>
      <c r="BN18" s="97"/>
    </row>
    <row r="19" spans="1:66" ht="12.75">
      <c r="A19" s="79" t="s">
        <v>520</v>
      </c>
      <c r="B19" s="79" t="s">
        <v>299</v>
      </c>
      <c r="C19" s="79" t="s">
        <v>81</v>
      </c>
      <c r="D19" s="99">
        <v>6022</v>
      </c>
      <c r="E19" s="99">
        <v>761</v>
      </c>
      <c r="F19" s="99" t="s">
        <v>336</v>
      </c>
      <c r="G19" s="99">
        <v>31</v>
      </c>
      <c r="H19" s="99">
        <v>13</v>
      </c>
      <c r="I19" s="99">
        <v>86</v>
      </c>
      <c r="J19" s="99">
        <v>414</v>
      </c>
      <c r="K19" s="99">
        <v>410</v>
      </c>
      <c r="L19" s="99">
        <v>1145</v>
      </c>
      <c r="M19" s="99">
        <v>212</v>
      </c>
      <c r="N19" s="99">
        <v>108</v>
      </c>
      <c r="O19" s="99">
        <v>127</v>
      </c>
      <c r="P19" s="159">
        <v>127</v>
      </c>
      <c r="Q19" s="99">
        <v>6</v>
      </c>
      <c r="R19" s="99">
        <v>21</v>
      </c>
      <c r="S19" s="99">
        <v>26</v>
      </c>
      <c r="T19" s="99">
        <v>15</v>
      </c>
      <c r="U19" s="99" t="s">
        <v>545</v>
      </c>
      <c r="V19" s="99">
        <v>15</v>
      </c>
      <c r="W19" s="99">
        <v>46</v>
      </c>
      <c r="X19" s="99">
        <v>37</v>
      </c>
      <c r="Y19" s="99">
        <v>80</v>
      </c>
      <c r="Z19" s="99">
        <v>29</v>
      </c>
      <c r="AA19" s="99" t="s">
        <v>545</v>
      </c>
      <c r="AB19" s="99" t="s">
        <v>545</v>
      </c>
      <c r="AC19" s="99" t="s">
        <v>545</v>
      </c>
      <c r="AD19" s="98" t="s">
        <v>315</v>
      </c>
      <c r="AE19" s="100">
        <v>0.12636997675190967</v>
      </c>
      <c r="AF19" s="100">
        <v>0.24</v>
      </c>
      <c r="AG19" s="98">
        <v>514.7791431418134</v>
      </c>
      <c r="AH19" s="98">
        <v>215.8751245433411</v>
      </c>
      <c r="AI19" s="100">
        <v>0.013999999999999999</v>
      </c>
      <c r="AJ19" s="100">
        <v>0.706485</v>
      </c>
      <c r="AK19" s="100">
        <v>0.721831</v>
      </c>
      <c r="AL19" s="100">
        <v>0.80126</v>
      </c>
      <c r="AM19" s="100">
        <v>0.469027</v>
      </c>
      <c r="AN19" s="100">
        <v>0.509434</v>
      </c>
      <c r="AO19" s="98">
        <v>2108.9339090003323</v>
      </c>
      <c r="AP19" s="158">
        <v>1.319261932</v>
      </c>
      <c r="AQ19" s="100">
        <v>0.047244094488188976</v>
      </c>
      <c r="AR19" s="100">
        <v>0.2857142857142857</v>
      </c>
      <c r="AS19" s="98">
        <v>431.7502490866822</v>
      </c>
      <c r="AT19" s="98">
        <v>249.08668216539357</v>
      </c>
      <c r="AU19" s="98" t="s">
        <v>545</v>
      </c>
      <c r="AV19" s="98">
        <v>249.08668216539357</v>
      </c>
      <c r="AW19" s="98">
        <v>763.8658253072069</v>
      </c>
      <c r="AX19" s="98">
        <v>614.4138160079708</v>
      </c>
      <c r="AY19" s="98">
        <v>1328.462304882099</v>
      </c>
      <c r="AZ19" s="98">
        <v>481.5675855197609</v>
      </c>
      <c r="BA19" s="100" t="s">
        <v>545</v>
      </c>
      <c r="BB19" s="100" t="s">
        <v>545</v>
      </c>
      <c r="BC19" s="100" t="s">
        <v>545</v>
      </c>
      <c r="BD19" s="158">
        <v>1.0998091890000001</v>
      </c>
      <c r="BE19" s="158">
        <v>1.5696713260000001</v>
      </c>
      <c r="BF19" s="162">
        <v>586</v>
      </c>
      <c r="BG19" s="162">
        <v>568</v>
      </c>
      <c r="BH19" s="162">
        <v>1429</v>
      </c>
      <c r="BI19" s="162">
        <v>452</v>
      </c>
      <c r="BJ19" s="162">
        <v>212</v>
      </c>
      <c r="BK19" s="97"/>
      <c r="BL19" s="97"/>
      <c r="BM19" s="97"/>
      <c r="BN19" s="97"/>
    </row>
    <row r="20" spans="1:66" ht="12.75">
      <c r="A20" s="79" t="s">
        <v>513</v>
      </c>
      <c r="B20" s="79" t="s">
        <v>292</v>
      </c>
      <c r="C20" s="79" t="s">
        <v>81</v>
      </c>
      <c r="D20" s="99">
        <v>8755</v>
      </c>
      <c r="E20" s="99">
        <v>1117</v>
      </c>
      <c r="F20" s="99" t="s">
        <v>339</v>
      </c>
      <c r="G20" s="99">
        <v>30</v>
      </c>
      <c r="H20" s="99">
        <v>22</v>
      </c>
      <c r="I20" s="99">
        <v>131</v>
      </c>
      <c r="J20" s="99">
        <v>756</v>
      </c>
      <c r="K20" s="99" t="s">
        <v>545</v>
      </c>
      <c r="L20" s="99">
        <v>1650</v>
      </c>
      <c r="M20" s="99">
        <v>471</v>
      </c>
      <c r="N20" s="99">
        <v>227</v>
      </c>
      <c r="O20" s="99">
        <v>243</v>
      </c>
      <c r="P20" s="159">
        <v>243</v>
      </c>
      <c r="Q20" s="99">
        <v>17</v>
      </c>
      <c r="R20" s="99">
        <v>41</v>
      </c>
      <c r="S20" s="99">
        <v>39</v>
      </c>
      <c r="T20" s="99">
        <v>41</v>
      </c>
      <c r="U20" s="99" t="s">
        <v>545</v>
      </c>
      <c r="V20" s="99">
        <v>37</v>
      </c>
      <c r="W20" s="99">
        <v>63</v>
      </c>
      <c r="X20" s="99">
        <v>69</v>
      </c>
      <c r="Y20" s="99">
        <v>107</v>
      </c>
      <c r="Z20" s="99">
        <v>45</v>
      </c>
      <c r="AA20" s="99" t="s">
        <v>545</v>
      </c>
      <c r="AB20" s="99" t="s">
        <v>545</v>
      </c>
      <c r="AC20" s="99" t="s">
        <v>545</v>
      </c>
      <c r="AD20" s="98" t="s">
        <v>315</v>
      </c>
      <c r="AE20" s="100">
        <v>0.12758423757852655</v>
      </c>
      <c r="AF20" s="100">
        <v>0.06</v>
      </c>
      <c r="AG20" s="98">
        <v>342.6613363792119</v>
      </c>
      <c r="AH20" s="98">
        <v>251.28498001142205</v>
      </c>
      <c r="AI20" s="100">
        <v>0.015</v>
      </c>
      <c r="AJ20" s="100">
        <v>0.792453</v>
      </c>
      <c r="AK20" s="100" t="s">
        <v>545</v>
      </c>
      <c r="AL20" s="100">
        <v>0.774284</v>
      </c>
      <c r="AM20" s="100">
        <v>0.584367</v>
      </c>
      <c r="AN20" s="100">
        <v>0.574684</v>
      </c>
      <c r="AO20" s="98">
        <v>2775.556824671616</v>
      </c>
      <c r="AP20" s="158">
        <v>1.651763458</v>
      </c>
      <c r="AQ20" s="100">
        <v>0.06995884773662552</v>
      </c>
      <c r="AR20" s="100">
        <v>0.4146341463414634</v>
      </c>
      <c r="AS20" s="98">
        <v>445.45973729297543</v>
      </c>
      <c r="AT20" s="98">
        <v>468.3038263849229</v>
      </c>
      <c r="AU20" s="98" t="s">
        <v>545</v>
      </c>
      <c r="AV20" s="98">
        <v>422.61564820102797</v>
      </c>
      <c r="AW20" s="98">
        <v>719.5888063963449</v>
      </c>
      <c r="AX20" s="98">
        <v>788.1210736721873</v>
      </c>
      <c r="AY20" s="98">
        <v>1222.158766419189</v>
      </c>
      <c r="AZ20" s="98">
        <v>513.9920045688178</v>
      </c>
      <c r="BA20" s="100" t="s">
        <v>545</v>
      </c>
      <c r="BB20" s="100" t="s">
        <v>545</v>
      </c>
      <c r="BC20" s="100" t="s">
        <v>545</v>
      </c>
      <c r="BD20" s="158">
        <v>1.4505955510000001</v>
      </c>
      <c r="BE20" s="158">
        <v>1.8730282589999998</v>
      </c>
      <c r="BF20" s="162">
        <v>954</v>
      </c>
      <c r="BG20" s="162" t="s">
        <v>545</v>
      </c>
      <c r="BH20" s="162">
        <v>2131</v>
      </c>
      <c r="BI20" s="162">
        <v>806</v>
      </c>
      <c r="BJ20" s="162">
        <v>395</v>
      </c>
      <c r="BK20" s="97"/>
      <c r="BL20" s="97"/>
      <c r="BM20" s="97"/>
      <c r="BN20" s="97"/>
    </row>
    <row r="21" spans="1:66" ht="12.75">
      <c r="A21" s="79" t="s">
        <v>517</v>
      </c>
      <c r="B21" s="79" t="s">
        <v>296</v>
      </c>
      <c r="C21" s="79" t="s">
        <v>81</v>
      </c>
      <c r="D21" s="99">
        <v>9092</v>
      </c>
      <c r="E21" s="99">
        <v>2005</v>
      </c>
      <c r="F21" s="99" t="s">
        <v>335</v>
      </c>
      <c r="G21" s="99">
        <v>67</v>
      </c>
      <c r="H21" s="99">
        <v>40</v>
      </c>
      <c r="I21" s="99">
        <v>206</v>
      </c>
      <c r="J21" s="99">
        <v>929</v>
      </c>
      <c r="K21" s="99">
        <v>914</v>
      </c>
      <c r="L21" s="99">
        <v>1563</v>
      </c>
      <c r="M21" s="99">
        <v>631</v>
      </c>
      <c r="N21" s="99">
        <v>324</v>
      </c>
      <c r="O21" s="99">
        <v>371</v>
      </c>
      <c r="P21" s="159">
        <v>371</v>
      </c>
      <c r="Q21" s="99">
        <v>25</v>
      </c>
      <c r="R21" s="99">
        <v>70</v>
      </c>
      <c r="S21" s="99">
        <v>43</v>
      </c>
      <c r="T21" s="99">
        <v>55</v>
      </c>
      <c r="U21" s="99">
        <v>17</v>
      </c>
      <c r="V21" s="99">
        <v>48</v>
      </c>
      <c r="W21" s="99">
        <v>86</v>
      </c>
      <c r="X21" s="99">
        <v>61</v>
      </c>
      <c r="Y21" s="99">
        <v>238</v>
      </c>
      <c r="Z21" s="99">
        <v>99</v>
      </c>
      <c r="AA21" s="99" t="s">
        <v>545</v>
      </c>
      <c r="AB21" s="99" t="s">
        <v>545</v>
      </c>
      <c r="AC21" s="99" t="s">
        <v>545</v>
      </c>
      <c r="AD21" s="98" t="s">
        <v>315</v>
      </c>
      <c r="AE21" s="100">
        <v>0.22052353717553894</v>
      </c>
      <c r="AF21" s="100">
        <v>0.22</v>
      </c>
      <c r="AG21" s="98">
        <v>736.9115706115266</v>
      </c>
      <c r="AH21" s="98">
        <v>439.9472063352398</v>
      </c>
      <c r="AI21" s="100">
        <v>0.023</v>
      </c>
      <c r="AJ21" s="100">
        <v>0.791986</v>
      </c>
      <c r="AK21" s="100">
        <v>0.803163</v>
      </c>
      <c r="AL21" s="100">
        <v>0.747489</v>
      </c>
      <c r="AM21" s="100">
        <v>0.570524</v>
      </c>
      <c r="AN21" s="100">
        <v>0.581688</v>
      </c>
      <c r="AO21" s="98">
        <v>4080.510338759349</v>
      </c>
      <c r="AP21" s="158">
        <v>1.925955963</v>
      </c>
      <c r="AQ21" s="100">
        <v>0.0673854447439353</v>
      </c>
      <c r="AR21" s="100">
        <v>0.35714285714285715</v>
      </c>
      <c r="AS21" s="98">
        <v>472.94324681038273</v>
      </c>
      <c r="AT21" s="98">
        <v>604.9274087109546</v>
      </c>
      <c r="AU21" s="98">
        <v>186.9775626924769</v>
      </c>
      <c r="AV21" s="98">
        <v>527.9366476022877</v>
      </c>
      <c r="AW21" s="98">
        <v>945.8864936207655</v>
      </c>
      <c r="AX21" s="98">
        <v>670.9194896612406</v>
      </c>
      <c r="AY21" s="98">
        <v>2617.6858776946765</v>
      </c>
      <c r="AZ21" s="98">
        <v>1088.8693356797185</v>
      </c>
      <c r="BA21" s="100" t="s">
        <v>545</v>
      </c>
      <c r="BB21" s="100" t="s">
        <v>545</v>
      </c>
      <c r="BC21" s="100" t="s">
        <v>545</v>
      </c>
      <c r="BD21" s="158">
        <v>1.734940186</v>
      </c>
      <c r="BE21" s="158">
        <v>2.132258911</v>
      </c>
      <c r="BF21" s="162">
        <v>1173</v>
      </c>
      <c r="BG21" s="162">
        <v>1138</v>
      </c>
      <c r="BH21" s="162">
        <v>2091</v>
      </c>
      <c r="BI21" s="162">
        <v>1106</v>
      </c>
      <c r="BJ21" s="162">
        <v>557</v>
      </c>
      <c r="BK21" s="97"/>
      <c r="BL21" s="97"/>
      <c r="BM21" s="97"/>
      <c r="BN21" s="97"/>
    </row>
    <row r="22" spans="1:66" ht="12.75">
      <c r="A22" s="79" t="s">
        <v>532</v>
      </c>
      <c r="B22" s="79" t="s">
        <v>310</v>
      </c>
      <c r="C22" s="79" t="s">
        <v>81</v>
      </c>
      <c r="D22" s="99">
        <v>5359</v>
      </c>
      <c r="E22" s="99">
        <v>1023</v>
      </c>
      <c r="F22" s="99" t="s">
        <v>335</v>
      </c>
      <c r="G22" s="99">
        <v>41</v>
      </c>
      <c r="H22" s="99">
        <v>22</v>
      </c>
      <c r="I22" s="99">
        <v>116</v>
      </c>
      <c r="J22" s="99">
        <v>455</v>
      </c>
      <c r="K22" s="99">
        <v>17</v>
      </c>
      <c r="L22" s="99">
        <v>1035</v>
      </c>
      <c r="M22" s="99">
        <v>322</v>
      </c>
      <c r="N22" s="99">
        <v>163</v>
      </c>
      <c r="O22" s="99">
        <v>137</v>
      </c>
      <c r="P22" s="159">
        <v>137</v>
      </c>
      <c r="Q22" s="99">
        <v>12</v>
      </c>
      <c r="R22" s="99">
        <v>27</v>
      </c>
      <c r="S22" s="99">
        <v>23</v>
      </c>
      <c r="T22" s="99">
        <v>31</v>
      </c>
      <c r="U22" s="99" t="s">
        <v>545</v>
      </c>
      <c r="V22" s="99">
        <v>21</v>
      </c>
      <c r="W22" s="99">
        <v>42</v>
      </c>
      <c r="X22" s="99">
        <v>36</v>
      </c>
      <c r="Y22" s="99">
        <v>138</v>
      </c>
      <c r="Z22" s="99">
        <v>40</v>
      </c>
      <c r="AA22" s="99" t="s">
        <v>545</v>
      </c>
      <c r="AB22" s="99" t="s">
        <v>545</v>
      </c>
      <c r="AC22" s="99" t="s">
        <v>545</v>
      </c>
      <c r="AD22" s="98" t="s">
        <v>315</v>
      </c>
      <c r="AE22" s="100">
        <v>0.19089382347452882</v>
      </c>
      <c r="AF22" s="100">
        <v>0.21</v>
      </c>
      <c r="AG22" s="98">
        <v>765.0681097219631</v>
      </c>
      <c r="AH22" s="98">
        <v>410.5243515581265</v>
      </c>
      <c r="AI22" s="100">
        <v>0.022000000000000002</v>
      </c>
      <c r="AJ22" s="100">
        <v>0.657514</v>
      </c>
      <c r="AK22" s="100">
        <v>0.944444</v>
      </c>
      <c r="AL22" s="100">
        <v>0.773543</v>
      </c>
      <c r="AM22" s="100">
        <v>0.514377</v>
      </c>
      <c r="AN22" s="100">
        <v>0.565972</v>
      </c>
      <c r="AO22" s="98">
        <v>2556.4470983392425</v>
      </c>
      <c r="AP22" s="158">
        <v>1.258536911</v>
      </c>
      <c r="AQ22" s="100">
        <v>0.08759124087591241</v>
      </c>
      <c r="AR22" s="100">
        <v>0.4444444444444444</v>
      </c>
      <c r="AS22" s="98">
        <v>429.18454935622316</v>
      </c>
      <c r="AT22" s="98">
        <v>578.4661317409965</v>
      </c>
      <c r="AU22" s="98" t="s">
        <v>545</v>
      </c>
      <c r="AV22" s="98">
        <v>391.86415376002986</v>
      </c>
      <c r="AW22" s="98">
        <v>783.7283075200597</v>
      </c>
      <c r="AX22" s="98">
        <v>671.7671207314797</v>
      </c>
      <c r="AY22" s="98">
        <v>2575.107296137339</v>
      </c>
      <c r="AZ22" s="98">
        <v>746.4079119238664</v>
      </c>
      <c r="BA22" s="100" t="s">
        <v>545</v>
      </c>
      <c r="BB22" s="100" t="s">
        <v>545</v>
      </c>
      <c r="BC22" s="100" t="s">
        <v>545</v>
      </c>
      <c r="BD22" s="158">
        <v>1.056624756</v>
      </c>
      <c r="BE22" s="158">
        <v>1.487796478</v>
      </c>
      <c r="BF22" s="162">
        <v>692</v>
      </c>
      <c r="BG22" s="162">
        <v>18</v>
      </c>
      <c r="BH22" s="162">
        <v>1338</v>
      </c>
      <c r="BI22" s="162">
        <v>626</v>
      </c>
      <c r="BJ22" s="162">
        <v>288</v>
      </c>
      <c r="BK22" s="97"/>
      <c r="BL22" s="97"/>
      <c r="BM22" s="97"/>
      <c r="BN22" s="97"/>
    </row>
    <row r="23" spans="1:66" ht="12.75">
      <c r="A23" s="79" t="s">
        <v>523</v>
      </c>
      <c r="B23" s="79" t="s">
        <v>302</v>
      </c>
      <c r="C23" s="79" t="s">
        <v>81</v>
      </c>
      <c r="D23" s="99">
        <v>9905</v>
      </c>
      <c r="E23" s="99">
        <v>86</v>
      </c>
      <c r="F23" s="99" t="s">
        <v>338</v>
      </c>
      <c r="G23" s="99" t="s">
        <v>545</v>
      </c>
      <c r="H23" s="99" t="s">
        <v>545</v>
      </c>
      <c r="I23" s="99">
        <v>21</v>
      </c>
      <c r="J23" s="99">
        <v>80</v>
      </c>
      <c r="K23" s="99">
        <v>68</v>
      </c>
      <c r="L23" s="99">
        <v>553</v>
      </c>
      <c r="M23" s="99">
        <v>47</v>
      </c>
      <c r="N23" s="99">
        <v>29</v>
      </c>
      <c r="O23" s="99">
        <v>59</v>
      </c>
      <c r="P23" s="159">
        <v>59</v>
      </c>
      <c r="Q23" s="99" t="s">
        <v>545</v>
      </c>
      <c r="R23" s="99" t="s">
        <v>545</v>
      </c>
      <c r="S23" s="99" t="s">
        <v>545</v>
      </c>
      <c r="T23" s="99" t="s">
        <v>545</v>
      </c>
      <c r="U23" s="99" t="s">
        <v>545</v>
      </c>
      <c r="V23" s="99">
        <v>49</v>
      </c>
      <c r="W23" s="99">
        <v>18</v>
      </c>
      <c r="X23" s="99">
        <v>16</v>
      </c>
      <c r="Y23" s="99">
        <v>37</v>
      </c>
      <c r="Z23" s="99">
        <v>7</v>
      </c>
      <c r="AA23" s="99" t="s">
        <v>545</v>
      </c>
      <c r="AB23" s="99" t="s">
        <v>545</v>
      </c>
      <c r="AC23" s="99" t="s">
        <v>545</v>
      </c>
      <c r="AD23" s="98" t="s">
        <v>315</v>
      </c>
      <c r="AE23" s="100">
        <v>0.008682483594144372</v>
      </c>
      <c r="AF23" s="100">
        <v>0.14</v>
      </c>
      <c r="AG23" s="98" t="s">
        <v>545</v>
      </c>
      <c r="AH23" s="98" t="s">
        <v>545</v>
      </c>
      <c r="AI23" s="100">
        <v>0.002</v>
      </c>
      <c r="AJ23" s="100">
        <v>0.701754</v>
      </c>
      <c r="AK23" s="100">
        <v>0.686869</v>
      </c>
      <c r="AL23" s="100">
        <v>0.381116</v>
      </c>
      <c r="AM23" s="100">
        <v>0.566265</v>
      </c>
      <c r="AN23" s="100">
        <v>0.617021</v>
      </c>
      <c r="AO23" s="98">
        <v>595.6587582029279</v>
      </c>
      <c r="AP23" s="158">
        <v>0.8661077118</v>
      </c>
      <c r="AQ23" s="100" t="s">
        <v>545</v>
      </c>
      <c r="AR23" s="100" t="s">
        <v>545</v>
      </c>
      <c r="AS23" s="98" t="s">
        <v>545</v>
      </c>
      <c r="AT23" s="98" t="s">
        <v>545</v>
      </c>
      <c r="AU23" s="98" t="s">
        <v>545</v>
      </c>
      <c r="AV23" s="98">
        <v>494.69964664310953</v>
      </c>
      <c r="AW23" s="98">
        <v>181.7264008076729</v>
      </c>
      <c r="AX23" s="98">
        <v>161.53457849570924</v>
      </c>
      <c r="AY23" s="98">
        <v>373.5487127713276</v>
      </c>
      <c r="AZ23" s="98">
        <v>70.6713780918728</v>
      </c>
      <c r="BA23" s="100" t="s">
        <v>545</v>
      </c>
      <c r="BB23" s="100" t="s">
        <v>545</v>
      </c>
      <c r="BC23" s="100" t="s">
        <v>545</v>
      </c>
      <c r="BD23" s="158">
        <v>0.6593212891</v>
      </c>
      <c r="BE23" s="158">
        <v>1.117215805</v>
      </c>
      <c r="BF23" s="162">
        <v>114</v>
      </c>
      <c r="BG23" s="162">
        <v>99</v>
      </c>
      <c r="BH23" s="162">
        <v>1451</v>
      </c>
      <c r="BI23" s="162">
        <v>83</v>
      </c>
      <c r="BJ23" s="162">
        <v>47</v>
      </c>
      <c r="BK23" s="97"/>
      <c r="BL23" s="97"/>
      <c r="BM23" s="97"/>
      <c r="BN23" s="97"/>
    </row>
    <row r="24" spans="1:66" ht="12.75">
      <c r="A24" s="79" t="s">
        <v>507</v>
      </c>
      <c r="B24" s="79" t="s">
        <v>286</v>
      </c>
      <c r="C24" s="79" t="s">
        <v>81</v>
      </c>
      <c r="D24" s="99">
        <v>11453</v>
      </c>
      <c r="E24" s="99">
        <v>1615</v>
      </c>
      <c r="F24" s="99" t="s">
        <v>338</v>
      </c>
      <c r="G24" s="99">
        <v>59</v>
      </c>
      <c r="H24" s="99">
        <v>26</v>
      </c>
      <c r="I24" s="99">
        <v>202</v>
      </c>
      <c r="J24" s="99">
        <v>1061</v>
      </c>
      <c r="K24" s="99">
        <v>8</v>
      </c>
      <c r="L24" s="99">
        <v>2405</v>
      </c>
      <c r="M24" s="99">
        <v>573</v>
      </c>
      <c r="N24" s="99">
        <v>279</v>
      </c>
      <c r="O24" s="99">
        <v>314</v>
      </c>
      <c r="P24" s="159">
        <v>314</v>
      </c>
      <c r="Q24" s="99">
        <v>19</v>
      </c>
      <c r="R24" s="99">
        <v>53</v>
      </c>
      <c r="S24" s="99">
        <v>44</v>
      </c>
      <c r="T24" s="99">
        <v>49</v>
      </c>
      <c r="U24" s="99">
        <v>10</v>
      </c>
      <c r="V24" s="99">
        <v>95</v>
      </c>
      <c r="W24" s="99">
        <v>79</v>
      </c>
      <c r="X24" s="99">
        <v>87</v>
      </c>
      <c r="Y24" s="99">
        <v>184</v>
      </c>
      <c r="Z24" s="99">
        <v>68</v>
      </c>
      <c r="AA24" s="99" t="s">
        <v>545</v>
      </c>
      <c r="AB24" s="99" t="s">
        <v>545</v>
      </c>
      <c r="AC24" s="99" t="s">
        <v>545</v>
      </c>
      <c r="AD24" s="98" t="s">
        <v>315</v>
      </c>
      <c r="AE24" s="100">
        <v>0.14101108879769492</v>
      </c>
      <c r="AF24" s="100">
        <v>0.15</v>
      </c>
      <c r="AG24" s="98">
        <v>515.1488692918886</v>
      </c>
      <c r="AH24" s="98">
        <v>227.01475595913735</v>
      </c>
      <c r="AI24" s="100">
        <v>0.018000000000000002</v>
      </c>
      <c r="AJ24" s="100">
        <v>0.787092</v>
      </c>
      <c r="AK24" s="100">
        <v>0.571429</v>
      </c>
      <c r="AL24" s="100">
        <v>0.815254</v>
      </c>
      <c r="AM24" s="100">
        <v>0.531047</v>
      </c>
      <c r="AN24" s="100">
        <v>0.558</v>
      </c>
      <c r="AO24" s="98">
        <v>2741.6397450449663</v>
      </c>
      <c r="AP24" s="158">
        <v>1.557626801</v>
      </c>
      <c r="AQ24" s="100">
        <v>0.06050955414012739</v>
      </c>
      <c r="AR24" s="100">
        <v>0.3584905660377358</v>
      </c>
      <c r="AS24" s="98">
        <v>384.17881777700165</v>
      </c>
      <c r="AT24" s="98">
        <v>427.8355016152973</v>
      </c>
      <c r="AU24" s="98">
        <v>87.31336767659128</v>
      </c>
      <c r="AV24" s="98">
        <v>829.4769929276172</v>
      </c>
      <c r="AW24" s="98">
        <v>689.7756046450712</v>
      </c>
      <c r="AX24" s="98">
        <v>759.6262987863441</v>
      </c>
      <c r="AY24" s="98">
        <v>1606.5659652492798</v>
      </c>
      <c r="AZ24" s="98">
        <v>593.7309002008208</v>
      </c>
      <c r="BA24" s="100" t="s">
        <v>545</v>
      </c>
      <c r="BB24" s="100" t="s">
        <v>545</v>
      </c>
      <c r="BC24" s="100" t="s">
        <v>545</v>
      </c>
      <c r="BD24" s="158">
        <v>1.390087585</v>
      </c>
      <c r="BE24" s="158">
        <v>1.739795532</v>
      </c>
      <c r="BF24" s="162">
        <v>1348</v>
      </c>
      <c r="BG24" s="162">
        <v>14</v>
      </c>
      <c r="BH24" s="162">
        <v>2950</v>
      </c>
      <c r="BI24" s="162">
        <v>1079</v>
      </c>
      <c r="BJ24" s="162">
        <v>500</v>
      </c>
      <c r="BK24" s="97"/>
      <c r="BL24" s="97"/>
      <c r="BM24" s="97"/>
      <c r="BN24" s="97"/>
    </row>
    <row r="25" spans="1:66" ht="12.75">
      <c r="A25" s="79" t="s">
        <v>518</v>
      </c>
      <c r="B25" s="79" t="s">
        <v>297</v>
      </c>
      <c r="C25" s="79" t="s">
        <v>81</v>
      </c>
      <c r="D25" s="99">
        <v>7582</v>
      </c>
      <c r="E25" s="99">
        <v>1421</v>
      </c>
      <c r="F25" s="99" t="s">
        <v>338</v>
      </c>
      <c r="G25" s="99">
        <v>33</v>
      </c>
      <c r="H25" s="99">
        <v>20</v>
      </c>
      <c r="I25" s="99">
        <v>157</v>
      </c>
      <c r="J25" s="99">
        <v>798</v>
      </c>
      <c r="K25" s="99">
        <v>15</v>
      </c>
      <c r="L25" s="99">
        <v>1728</v>
      </c>
      <c r="M25" s="99">
        <v>613</v>
      </c>
      <c r="N25" s="99">
        <v>333</v>
      </c>
      <c r="O25" s="99">
        <v>158</v>
      </c>
      <c r="P25" s="159">
        <v>158</v>
      </c>
      <c r="Q25" s="99">
        <v>19</v>
      </c>
      <c r="R25" s="99">
        <v>38</v>
      </c>
      <c r="S25" s="99">
        <v>30</v>
      </c>
      <c r="T25" s="99">
        <v>16</v>
      </c>
      <c r="U25" s="99">
        <v>10</v>
      </c>
      <c r="V25" s="99">
        <v>30</v>
      </c>
      <c r="W25" s="99">
        <v>62</v>
      </c>
      <c r="X25" s="99">
        <v>25</v>
      </c>
      <c r="Y25" s="99">
        <v>127</v>
      </c>
      <c r="Z25" s="99">
        <v>61</v>
      </c>
      <c r="AA25" s="99" t="s">
        <v>545</v>
      </c>
      <c r="AB25" s="99" t="s">
        <v>545</v>
      </c>
      <c r="AC25" s="99" t="s">
        <v>545</v>
      </c>
      <c r="AD25" s="98" t="s">
        <v>315</v>
      </c>
      <c r="AE25" s="100">
        <v>0.1874175679240306</v>
      </c>
      <c r="AF25" s="100">
        <v>0.14</v>
      </c>
      <c r="AG25" s="98">
        <v>435.2413611184384</v>
      </c>
      <c r="AH25" s="98">
        <v>263.7826431020839</v>
      </c>
      <c r="AI25" s="100">
        <v>0.021</v>
      </c>
      <c r="AJ25" s="100">
        <v>0.718272</v>
      </c>
      <c r="AK25" s="100">
        <v>0.9375</v>
      </c>
      <c r="AL25" s="100">
        <v>0.888889</v>
      </c>
      <c r="AM25" s="100">
        <v>0.631959</v>
      </c>
      <c r="AN25" s="100">
        <v>0.690871</v>
      </c>
      <c r="AO25" s="98">
        <v>2083.8828805064627</v>
      </c>
      <c r="AP25" s="158">
        <v>1.033516006</v>
      </c>
      <c r="AQ25" s="100">
        <v>0.12025316455696203</v>
      </c>
      <c r="AR25" s="100">
        <v>0.5</v>
      </c>
      <c r="AS25" s="98">
        <v>395.67396465312584</v>
      </c>
      <c r="AT25" s="98">
        <v>211.0261144816671</v>
      </c>
      <c r="AU25" s="98">
        <v>131.89132155104195</v>
      </c>
      <c r="AV25" s="98">
        <v>395.67396465312584</v>
      </c>
      <c r="AW25" s="98">
        <v>817.72619361646</v>
      </c>
      <c r="AX25" s="98">
        <v>329.72830387760484</v>
      </c>
      <c r="AY25" s="98">
        <v>1675.0197836982327</v>
      </c>
      <c r="AZ25" s="98">
        <v>804.5370614613558</v>
      </c>
      <c r="BA25" s="100" t="s">
        <v>545</v>
      </c>
      <c r="BB25" s="100" t="s">
        <v>545</v>
      </c>
      <c r="BC25" s="100" t="s">
        <v>545</v>
      </c>
      <c r="BD25" s="158">
        <v>0.8786457061999999</v>
      </c>
      <c r="BE25" s="158">
        <v>1.207822495</v>
      </c>
      <c r="BF25" s="162">
        <v>1111</v>
      </c>
      <c r="BG25" s="162">
        <v>16</v>
      </c>
      <c r="BH25" s="162">
        <v>1944</v>
      </c>
      <c r="BI25" s="162">
        <v>970</v>
      </c>
      <c r="BJ25" s="162">
        <v>482</v>
      </c>
      <c r="BK25" s="97"/>
      <c r="BL25" s="97"/>
      <c r="BM25" s="97"/>
      <c r="BN25" s="97"/>
    </row>
    <row r="26" spans="1:66" ht="12.75">
      <c r="A26" s="79" t="s">
        <v>536</v>
      </c>
      <c r="B26" s="79" t="s">
        <v>498</v>
      </c>
      <c r="C26" s="79" t="s">
        <v>81</v>
      </c>
      <c r="D26" s="99">
        <v>1113</v>
      </c>
      <c r="E26" s="99">
        <v>58</v>
      </c>
      <c r="F26" s="99" t="s">
        <v>336</v>
      </c>
      <c r="G26" s="99" t="s">
        <v>545</v>
      </c>
      <c r="H26" s="99" t="s">
        <v>545</v>
      </c>
      <c r="I26" s="99">
        <v>6</v>
      </c>
      <c r="J26" s="99">
        <v>40</v>
      </c>
      <c r="K26" s="99">
        <v>28</v>
      </c>
      <c r="L26" s="99">
        <v>241</v>
      </c>
      <c r="M26" s="99">
        <v>29</v>
      </c>
      <c r="N26" s="99">
        <v>18</v>
      </c>
      <c r="O26" s="99">
        <v>21</v>
      </c>
      <c r="P26" s="159">
        <v>21</v>
      </c>
      <c r="Q26" s="99" t="s">
        <v>545</v>
      </c>
      <c r="R26" s="99" t="s">
        <v>545</v>
      </c>
      <c r="S26" s="99" t="s">
        <v>545</v>
      </c>
      <c r="T26" s="99" t="s">
        <v>545</v>
      </c>
      <c r="U26" s="99" t="s">
        <v>545</v>
      </c>
      <c r="V26" s="99" t="s">
        <v>545</v>
      </c>
      <c r="W26" s="99" t="s">
        <v>545</v>
      </c>
      <c r="X26" s="99" t="s">
        <v>545</v>
      </c>
      <c r="Y26" s="99">
        <v>10</v>
      </c>
      <c r="Z26" s="99">
        <v>8</v>
      </c>
      <c r="AA26" s="99" t="s">
        <v>545</v>
      </c>
      <c r="AB26" s="99" t="s">
        <v>545</v>
      </c>
      <c r="AC26" s="99" t="s">
        <v>545</v>
      </c>
      <c r="AD26" s="98" t="s">
        <v>315</v>
      </c>
      <c r="AE26" s="100">
        <v>0.05211141060197664</v>
      </c>
      <c r="AF26" s="100">
        <v>0.39</v>
      </c>
      <c r="AG26" s="98" t="s">
        <v>545</v>
      </c>
      <c r="AH26" s="98" t="s">
        <v>545</v>
      </c>
      <c r="AI26" s="100">
        <v>0.005</v>
      </c>
      <c r="AJ26" s="100">
        <v>0.56338</v>
      </c>
      <c r="AK26" s="100">
        <v>0.756757</v>
      </c>
      <c r="AL26" s="100">
        <v>0.721557</v>
      </c>
      <c r="AM26" s="100">
        <v>0.557692</v>
      </c>
      <c r="AN26" s="100">
        <v>0.5625</v>
      </c>
      <c r="AO26" s="98">
        <v>1886.7924528301887</v>
      </c>
      <c r="AP26" s="158">
        <v>1.598112488</v>
      </c>
      <c r="AQ26" s="100" t="s">
        <v>545</v>
      </c>
      <c r="AR26" s="100" t="s">
        <v>545</v>
      </c>
      <c r="AS26" s="98" t="s">
        <v>545</v>
      </c>
      <c r="AT26" s="98" t="s">
        <v>545</v>
      </c>
      <c r="AU26" s="98" t="s">
        <v>545</v>
      </c>
      <c r="AV26" s="98" t="s">
        <v>545</v>
      </c>
      <c r="AW26" s="98" t="s">
        <v>545</v>
      </c>
      <c r="AX26" s="98" t="s">
        <v>545</v>
      </c>
      <c r="AY26" s="98">
        <v>898.4725965858041</v>
      </c>
      <c r="AZ26" s="98">
        <v>718.7780772686433</v>
      </c>
      <c r="BA26" s="100" t="s">
        <v>545</v>
      </c>
      <c r="BB26" s="100" t="s">
        <v>545</v>
      </c>
      <c r="BC26" s="100" t="s">
        <v>545</v>
      </c>
      <c r="BD26" s="158">
        <v>0.9892568207</v>
      </c>
      <c r="BE26" s="158">
        <v>2.442884827</v>
      </c>
      <c r="BF26" s="162">
        <v>71</v>
      </c>
      <c r="BG26" s="162">
        <v>37</v>
      </c>
      <c r="BH26" s="162">
        <v>334</v>
      </c>
      <c r="BI26" s="162">
        <v>52</v>
      </c>
      <c r="BJ26" s="162">
        <v>32</v>
      </c>
      <c r="BK26" s="97"/>
      <c r="BL26" s="97"/>
      <c r="BM26" s="97"/>
      <c r="BN26" s="97"/>
    </row>
    <row r="27" spans="1:66" ht="12.75">
      <c r="A27" s="79" t="s">
        <v>504</v>
      </c>
      <c r="B27" s="79" t="s">
        <v>283</v>
      </c>
      <c r="C27" s="79" t="s">
        <v>81</v>
      </c>
      <c r="D27" s="99">
        <v>14759</v>
      </c>
      <c r="E27" s="99">
        <v>2017</v>
      </c>
      <c r="F27" s="99" t="s">
        <v>336</v>
      </c>
      <c r="G27" s="99">
        <v>59</v>
      </c>
      <c r="H27" s="99">
        <v>41</v>
      </c>
      <c r="I27" s="99">
        <v>183</v>
      </c>
      <c r="J27" s="99">
        <v>971</v>
      </c>
      <c r="K27" s="99">
        <v>11</v>
      </c>
      <c r="L27" s="99">
        <v>2358</v>
      </c>
      <c r="M27" s="99">
        <v>583</v>
      </c>
      <c r="N27" s="99">
        <v>301</v>
      </c>
      <c r="O27" s="99">
        <v>255</v>
      </c>
      <c r="P27" s="159">
        <v>255</v>
      </c>
      <c r="Q27" s="99">
        <v>17</v>
      </c>
      <c r="R27" s="99">
        <v>42</v>
      </c>
      <c r="S27" s="99">
        <v>43</v>
      </c>
      <c r="T27" s="99">
        <v>56</v>
      </c>
      <c r="U27" s="99" t="s">
        <v>545</v>
      </c>
      <c r="V27" s="99">
        <v>44</v>
      </c>
      <c r="W27" s="99">
        <v>84</v>
      </c>
      <c r="X27" s="99">
        <v>83</v>
      </c>
      <c r="Y27" s="99">
        <v>247</v>
      </c>
      <c r="Z27" s="99">
        <v>102</v>
      </c>
      <c r="AA27" s="99" t="s">
        <v>545</v>
      </c>
      <c r="AB27" s="99" t="s">
        <v>545</v>
      </c>
      <c r="AC27" s="99" t="s">
        <v>545</v>
      </c>
      <c r="AD27" s="98" t="s">
        <v>315</v>
      </c>
      <c r="AE27" s="100">
        <v>0.1366623754996951</v>
      </c>
      <c r="AF27" s="100">
        <v>0.28</v>
      </c>
      <c r="AG27" s="98">
        <v>399.7560810353005</v>
      </c>
      <c r="AH27" s="98">
        <v>277.7965986855478</v>
      </c>
      <c r="AI27" s="100">
        <v>0.012</v>
      </c>
      <c r="AJ27" s="100">
        <v>0.729527</v>
      </c>
      <c r="AK27" s="100">
        <v>0.458333</v>
      </c>
      <c r="AL27" s="100">
        <v>0.692918</v>
      </c>
      <c r="AM27" s="100">
        <v>0.495327</v>
      </c>
      <c r="AN27" s="100">
        <v>0.527145</v>
      </c>
      <c r="AO27" s="98">
        <v>1727.7593332881631</v>
      </c>
      <c r="AP27" s="158">
        <v>1.087657242</v>
      </c>
      <c r="AQ27" s="100">
        <v>0.06666666666666667</v>
      </c>
      <c r="AR27" s="100">
        <v>0.40476190476190477</v>
      </c>
      <c r="AS27" s="98">
        <v>291.3476522799648</v>
      </c>
      <c r="AT27" s="98">
        <v>379.42950064367506</v>
      </c>
      <c r="AU27" s="98" t="s">
        <v>545</v>
      </c>
      <c r="AV27" s="98">
        <v>298.12317907717323</v>
      </c>
      <c r="AW27" s="98">
        <v>569.1442509655126</v>
      </c>
      <c r="AX27" s="98">
        <v>562.3687241683041</v>
      </c>
      <c r="AY27" s="98">
        <v>1673.5551189104954</v>
      </c>
      <c r="AZ27" s="98">
        <v>691.1037333152652</v>
      </c>
      <c r="BA27" s="100" t="s">
        <v>545</v>
      </c>
      <c r="BB27" s="100" t="s">
        <v>545</v>
      </c>
      <c r="BC27" s="100" t="s">
        <v>545</v>
      </c>
      <c r="BD27" s="158">
        <v>0.9582453918</v>
      </c>
      <c r="BE27" s="158">
        <v>1.229673615</v>
      </c>
      <c r="BF27" s="162">
        <v>1331</v>
      </c>
      <c r="BG27" s="162">
        <v>24</v>
      </c>
      <c r="BH27" s="162">
        <v>3403</v>
      </c>
      <c r="BI27" s="162">
        <v>1177</v>
      </c>
      <c r="BJ27" s="162">
        <v>571</v>
      </c>
      <c r="BK27" s="97"/>
      <c r="BL27" s="97"/>
      <c r="BM27" s="97"/>
      <c r="BN27" s="97"/>
    </row>
    <row r="28" spans="1:66" ht="12.75">
      <c r="A28" s="79" t="s">
        <v>505</v>
      </c>
      <c r="B28" s="79" t="s">
        <v>284</v>
      </c>
      <c r="C28" s="79" t="s">
        <v>81</v>
      </c>
      <c r="D28" s="99">
        <v>4987</v>
      </c>
      <c r="E28" s="99">
        <v>964</v>
      </c>
      <c r="F28" s="99" t="s">
        <v>337</v>
      </c>
      <c r="G28" s="99">
        <v>20</v>
      </c>
      <c r="H28" s="99">
        <v>15</v>
      </c>
      <c r="I28" s="99">
        <v>120</v>
      </c>
      <c r="J28" s="99">
        <v>541</v>
      </c>
      <c r="K28" s="99" t="s">
        <v>545</v>
      </c>
      <c r="L28" s="99">
        <v>1058</v>
      </c>
      <c r="M28" s="99">
        <v>377</v>
      </c>
      <c r="N28" s="99">
        <v>201</v>
      </c>
      <c r="O28" s="99">
        <v>124</v>
      </c>
      <c r="P28" s="159">
        <v>124</v>
      </c>
      <c r="Q28" s="99">
        <v>10</v>
      </c>
      <c r="R28" s="99">
        <v>22</v>
      </c>
      <c r="S28" s="99">
        <v>25</v>
      </c>
      <c r="T28" s="99">
        <v>22</v>
      </c>
      <c r="U28" s="99" t="s">
        <v>545</v>
      </c>
      <c r="V28" s="99">
        <v>30</v>
      </c>
      <c r="W28" s="99">
        <v>54</v>
      </c>
      <c r="X28" s="99">
        <v>31</v>
      </c>
      <c r="Y28" s="99">
        <v>106</v>
      </c>
      <c r="Z28" s="99">
        <v>48</v>
      </c>
      <c r="AA28" s="99" t="s">
        <v>545</v>
      </c>
      <c r="AB28" s="99" t="s">
        <v>545</v>
      </c>
      <c r="AC28" s="99" t="s">
        <v>545</v>
      </c>
      <c r="AD28" s="98" t="s">
        <v>315</v>
      </c>
      <c r="AE28" s="100">
        <v>0.19330258672548625</v>
      </c>
      <c r="AF28" s="100">
        <v>0.1</v>
      </c>
      <c r="AG28" s="98">
        <v>401.0427110487267</v>
      </c>
      <c r="AH28" s="98">
        <v>300.782033286545</v>
      </c>
      <c r="AI28" s="100">
        <v>0.024</v>
      </c>
      <c r="AJ28" s="100">
        <v>0.759831</v>
      </c>
      <c r="AK28" s="100" t="s">
        <v>545</v>
      </c>
      <c r="AL28" s="100">
        <v>0.799094</v>
      </c>
      <c r="AM28" s="100">
        <v>0.63255</v>
      </c>
      <c r="AN28" s="100">
        <v>0.690722</v>
      </c>
      <c r="AO28" s="98">
        <v>2486.4648085021054</v>
      </c>
      <c r="AP28" s="158">
        <v>1.182166061</v>
      </c>
      <c r="AQ28" s="100">
        <v>0.08064516129032258</v>
      </c>
      <c r="AR28" s="100">
        <v>0.45454545454545453</v>
      </c>
      <c r="AS28" s="98">
        <v>501.30338881090836</v>
      </c>
      <c r="AT28" s="98">
        <v>441.14698215359937</v>
      </c>
      <c r="AU28" s="98" t="s">
        <v>545</v>
      </c>
      <c r="AV28" s="98">
        <v>601.56406657309</v>
      </c>
      <c r="AW28" s="98">
        <v>1082.815319831562</v>
      </c>
      <c r="AX28" s="98">
        <v>621.6162021255263</v>
      </c>
      <c r="AY28" s="98">
        <v>2125.5263685582513</v>
      </c>
      <c r="AZ28" s="98">
        <v>962.5025065169441</v>
      </c>
      <c r="BA28" s="100" t="s">
        <v>545</v>
      </c>
      <c r="BB28" s="100" t="s">
        <v>545</v>
      </c>
      <c r="BC28" s="100" t="s">
        <v>545</v>
      </c>
      <c r="BD28" s="158">
        <v>0.9832645416</v>
      </c>
      <c r="BE28" s="158">
        <v>1.409488068</v>
      </c>
      <c r="BF28" s="162">
        <v>712</v>
      </c>
      <c r="BG28" s="162" t="s">
        <v>545</v>
      </c>
      <c r="BH28" s="162">
        <v>1324</v>
      </c>
      <c r="BI28" s="162">
        <v>596</v>
      </c>
      <c r="BJ28" s="162">
        <v>291</v>
      </c>
      <c r="BK28" s="97"/>
      <c r="BL28" s="97"/>
      <c r="BM28" s="97"/>
      <c r="BN28" s="97"/>
    </row>
    <row r="29" spans="1:66" ht="12.75">
      <c r="A29" s="79" t="s">
        <v>503</v>
      </c>
      <c r="B29" s="79" t="s">
        <v>282</v>
      </c>
      <c r="C29" s="79" t="s">
        <v>81</v>
      </c>
      <c r="D29" s="99">
        <v>28598</v>
      </c>
      <c r="E29" s="99">
        <v>1942</v>
      </c>
      <c r="F29" s="99" t="s">
        <v>335</v>
      </c>
      <c r="G29" s="99">
        <v>69</v>
      </c>
      <c r="H29" s="99">
        <v>36</v>
      </c>
      <c r="I29" s="99">
        <v>276</v>
      </c>
      <c r="J29" s="99">
        <v>1056</v>
      </c>
      <c r="K29" s="99">
        <v>1020</v>
      </c>
      <c r="L29" s="99">
        <v>3419</v>
      </c>
      <c r="M29" s="99">
        <v>642</v>
      </c>
      <c r="N29" s="99">
        <v>343</v>
      </c>
      <c r="O29" s="99">
        <v>481</v>
      </c>
      <c r="P29" s="159">
        <v>481</v>
      </c>
      <c r="Q29" s="99">
        <v>24</v>
      </c>
      <c r="R29" s="99">
        <v>72</v>
      </c>
      <c r="S29" s="99">
        <v>52</v>
      </c>
      <c r="T29" s="99">
        <v>45</v>
      </c>
      <c r="U29" s="99">
        <v>10</v>
      </c>
      <c r="V29" s="99">
        <v>161</v>
      </c>
      <c r="W29" s="99">
        <v>122</v>
      </c>
      <c r="X29" s="99">
        <v>113</v>
      </c>
      <c r="Y29" s="99">
        <v>333</v>
      </c>
      <c r="Z29" s="99">
        <v>88</v>
      </c>
      <c r="AA29" s="99" t="s">
        <v>545</v>
      </c>
      <c r="AB29" s="99" t="s">
        <v>545</v>
      </c>
      <c r="AC29" s="99" t="s">
        <v>545</v>
      </c>
      <c r="AD29" s="98" t="s">
        <v>315</v>
      </c>
      <c r="AE29" s="100">
        <v>0.06790684663263165</v>
      </c>
      <c r="AF29" s="100">
        <v>0.17</v>
      </c>
      <c r="AG29" s="98">
        <v>241.27561367927828</v>
      </c>
      <c r="AH29" s="98">
        <v>125.88292887614519</v>
      </c>
      <c r="AI29" s="100">
        <v>0.01</v>
      </c>
      <c r="AJ29" s="100">
        <v>0.74629</v>
      </c>
      <c r="AK29" s="100">
        <v>0.747253</v>
      </c>
      <c r="AL29" s="100">
        <v>0.626879</v>
      </c>
      <c r="AM29" s="100">
        <v>0.490826</v>
      </c>
      <c r="AN29" s="100">
        <v>0.53096</v>
      </c>
      <c r="AO29" s="98">
        <v>1681.9357997062732</v>
      </c>
      <c r="AP29" s="158">
        <v>1.480111694</v>
      </c>
      <c r="AQ29" s="100">
        <v>0.0498960498960499</v>
      </c>
      <c r="AR29" s="100">
        <v>0.3333333333333333</v>
      </c>
      <c r="AS29" s="98">
        <v>181.83089726554306</v>
      </c>
      <c r="AT29" s="98">
        <v>157.35366109518148</v>
      </c>
      <c r="AU29" s="98">
        <v>34.967480243373664</v>
      </c>
      <c r="AV29" s="98">
        <v>562.9764319183159</v>
      </c>
      <c r="AW29" s="98">
        <v>426.6032589691587</v>
      </c>
      <c r="AX29" s="98">
        <v>395.1325267501224</v>
      </c>
      <c r="AY29" s="98">
        <v>1164.417092104343</v>
      </c>
      <c r="AZ29" s="98">
        <v>307.71382614168823</v>
      </c>
      <c r="BA29" s="100" t="s">
        <v>545</v>
      </c>
      <c r="BB29" s="100" t="s">
        <v>545</v>
      </c>
      <c r="BC29" s="100" t="s">
        <v>545</v>
      </c>
      <c r="BD29" s="158">
        <v>1.350774841</v>
      </c>
      <c r="BE29" s="158">
        <v>1.6184907530000001</v>
      </c>
      <c r="BF29" s="162">
        <v>1415</v>
      </c>
      <c r="BG29" s="162">
        <v>1365</v>
      </c>
      <c r="BH29" s="162">
        <v>5454</v>
      </c>
      <c r="BI29" s="162">
        <v>1308</v>
      </c>
      <c r="BJ29" s="162">
        <v>646</v>
      </c>
      <c r="BK29" s="97"/>
      <c r="BL29" s="97"/>
      <c r="BM29" s="97"/>
      <c r="BN29" s="97"/>
    </row>
    <row r="30" spans="1:66" ht="12.75">
      <c r="A30" s="79" t="s">
        <v>537</v>
      </c>
      <c r="B30" s="79" t="s">
        <v>499</v>
      </c>
      <c r="C30" s="79" t="s">
        <v>81</v>
      </c>
      <c r="D30" s="99">
        <v>1435</v>
      </c>
      <c r="E30" s="99">
        <v>239</v>
      </c>
      <c r="F30" s="99" t="s">
        <v>336</v>
      </c>
      <c r="G30" s="99" t="s">
        <v>545</v>
      </c>
      <c r="H30" s="99">
        <v>7</v>
      </c>
      <c r="I30" s="99">
        <v>14</v>
      </c>
      <c r="J30" s="99">
        <v>119</v>
      </c>
      <c r="K30" s="99">
        <v>119</v>
      </c>
      <c r="L30" s="99">
        <v>262</v>
      </c>
      <c r="M30" s="99">
        <v>62</v>
      </c>
      <c r="N30" s="99">
        <v>26</v>
      </c>
      <c r="O30" s="99">
        <v>22</v>
      </c>
      <c r="P30" s="159">
        <v>22</v>
      </c>
      <c r="Q30" s="99" t="s">
        <v>545</v>
      </c>
      <c r="R30" s="99">
        <v>6</v>
      </c>
      <c r="S30" s="99" t="s">
        <v>545</v>
      </c>
      <c r="T30" s="99" t="s">
        <v>545</v>
      </c>
      <c r="U30" s="99" t="s">
        <v>545</v>
      </c>
      <c r="V30" s="99" t="s">
        <v>545</v>
      </c>
      <c r="W30" s="99" t="s">
        <v>545</v>
      </c>
      <c r="X30" s="99" t="s">
        <v>545</v>
      </c>
      <c r="Y30" s="99">
        <v>22</v>
      </c>
      <c r="Z30" s="99">
        <v>11</v>
      </c>
      <c r="AA30" s="99" t="s">
        <v>545</v>
      </c>
      <c r="AB30" s="99" t="s">
        <v>545</v>
      </c>
      <c r="AC30" s="99" t="s">
        <v>545</v>
      </c>
      <c r="AD30" s="98" t="s">
        <v>315</v>
      </c>
      <c r="AE30" s="100">
        <v>0.16655052264808362</v>
      </c>
      <c r="AF30" s="100">
        <v>0.32</v>
      </c>
      <c r="AG30" s="98" t="s">
        <v>545</v>
      </c>
      <c r="AH30" s="98">
        <v>487.8048780487805</v>
      </c>
      <c r="AI30" s="100">
        <v>0.01</v>
      </c>
      <c r="AJ30" s="100">
        <v>0.623037</v>
      </c>
      <c r="AK30" s="100">
        <v>0.639785</v>
      </c>
      <c r="AL30" s="100">
        <v>0.738028</v>
      </c>
      <c r="AM30" s="100">
        <v>0.389937</v>
      </c>
      <c r="AN30" s="100">
        <v>0.361111</v>
      </c>
      <c r="AO30" s="98">
        <v>1533.1010452961673</v>
      </c>
      <c r="AP30" s="158">
        <v>0.8029211426</v>
      </c>
      <c r="AQ30" s="100" t="s">
        <v>545</v>
      </c>
      <c r="AR30" s="100" t="s">
        <v>545</v>
      </c>
      <c r="AS30" s="98" t="s">
        <v>545</v>
      </c>
      <c r="AT30" s="98" t="s">
        <v>545</v>
      </c>
      <c r="AU30" s="98" t="s">
        <v>545</v>
      </c>
      <c r="AV30" s="98" t="s">
        <v>545</v>
      </c>
      <c r="AW30" s="98" t="s">
        <v>545</v>
      </c>
      <c r="AX30" s="98" t="s">
        <v>545</v>
      </c>
      <c r="AY30" s="98">
        <v>1533.1010452961673</v>
      </c>
      <c r="AZ30" s="98">
        <v>766.5505226480836</v>
      </c>
      <c r="BA30" s="100" t="s">
        <v>545</v>
      </c>
      <c r="BB30" s="100" t="s">
        <v>545</v>
      </c>
      <c r="BC30" s="100" t="s">
        <v>545</v>
      </c>
      <c r="BD30" s="158">
        <v>0.5031864166</v>
      </c>
      <c r="BE30" s="158">
        <v>1.215632248</v>
      </c>
      <c r="BF30" s="162">
        <v>191</v>
      </c>
      <c r="BG30" s="162">
        <v>186</v>
      </c>
      <c r="BH30" s="162">
        <v>355</v>
      </c>
      <c r="BI30" s="162">
        <v>159</v>
      </c>
      <c r="BJ30" s="162">
        <v>72</v>
      </c>
      <c r="BK30" s="97"/>
      <c r="BL30" s="97"/>
      <c r="BM30" s="97"/>
      <c r="BN30" s="97"/>
    </row>
    <row r="31" spans="1:66" ht="12.75">
      <c r="A31" s="79" t="s">
        <v>533</v>
      </c>
      <c r="B31" s="79" t="s">
        <v>311</v>
      </c>
      <c r="C31" s="79" t="s">
        <v>81</v>
      </c>
      <c r="D31" s="99">
        <v>5850</v>
      </c>
      <c r="E31" s="99">
        <v>596</v>
      </c>
      <c r="F31" s="99" t="s">
        <v>336</v>
      </c>
      <c r="G31" s="99">
        <v>26</v>
      </c>
      <c r="H31" s="99">
        <v>14</v>
      </c>
      <c r="I31" s="99">
        <v>63</v>
      </c>
      <c r="J31" s="99">
        <v>315</v>
      </c>
      <c r="K31" s="99">
        <v>312</v>
      </c>
      <c r="L31" s="99">
        <v>919</v>
      </c>
      <c r="M31" s="99">
        <v>125</v>
      </c>
      <c r="N31" s="99">
        <v>65</v>
      </c>
      <c r="O31" s="99">
        <v>138</v>
      </c>
      <c r="P31" s="159">
        <v>138</v>
      </c>
      <c r="Q31" s="99">
        <v>13</v>
      </c>
      <c r="R31" s="99">
        <v>27</v>
      </c>
      <c r="S31" s="99">
        <v>21</v>
      </c>
      <c r="T31" s="99">
        <v>15</v>
      </c>
      <c r="U31" s="99" t="s">
        <v>545</v>
      </c>
      <c r="V31" s="99">
        <v>13</v>
      </c>
      <c r="W31" s="99">
        <v>33</v>
      </c>
      <c r="X31" s="99">
        <v>43</v>
      </c>
      <c r="Y31" s="99">
        <v>119</v>
      </c>
      <c r="Z31" s="99">
        <v>32</v>
      </c>
      <c r="AA31" s="99" t="s">
        <v>545</v>
      </c>
      <c r="AB31" s="99" t="s">
        <v>545</v>
      </c>
      <c r="AC31" s="99" t="s">
        <v>545</v>
      </c>
      <c r="AD31" s="98" t="s">
        <v>315</v>
      </c>
      <c r="AE31" s="100">
        <v>0.10188034188034188</v>
      </c>
      <c r="AF31" s="100">
        <v>0.42</v>
      </c>
      <c r="AG31" s="98">
        <v>444.44444444444446</v>
      </c>
      <c r="AH31" s="98">
        <v>239.31623931623932</v>
      </c>
      <c r="AI31" s="100">
        <v>0.011000000000000001</v>
      </c>
      <c r="AJ31" s="100">
        <v>0.597723</v>
      </c>
      <c r="AK31" s="100">
        <v>0.607004</v>
      </c>
      <c r="AL31" s="100">
        <v>0.670803</v>
      </c>
      <c r="AM31" s="100">
        <v>0.314861</v>
      </c>
      <c r="AN31" s="100">
        <v>0.359116</v>
      </c>
      <c r="AO31" s="98">
        <v>2358.974358974359</v>
      </c>
      <c r="AP31" s="158">
        <v>1.616766815</v>
      </c>
      <c r="AQ31" s="100">
        <v>0.09420289855072464</v>
      </c>
      <c r="AR31" s="100">
        <v>0.48148148148148145</v>
      </c>
      <c r="AS31" s="98">
        <v>358.97435897435895</v>
      </c>
      <c r="AT31" s="98">
        <v>256.4102564102564</v>
      </c>
      <c r="AU31" s="98" t="s">
        <v>545</v>
      </c>
      <c r="AV31" s="98">
        <v>222.22222222222223</v>
      </c>
      <c r="AW31" s="98">
        <v>564.1025641025641</v>
      </c>
      <c r="AX31" s="98">
        <v>735.042735042735</v>
      </c>
      <c r="AY31" s="98">
        <v>2034.1880341880342</v>
      </c>
      <c r="AZ31" s="98">
        <v>547.008547008547</v>
      </c>
      <c r="BA31" s="100" t="s">
        <v>545</v>
      </c>
      <c r="BB31" s="100" t="s">
        <v>545</v>
      </c>
      <c r="BC31" s="100" t="s">
        <v>545</v>
      </c>
      <c r="BD31" s="158">
        <v>1.358282166</v>
      </c>
      <c r="BE31" s="158">
        <v>1.910124817</v>
      </c>
      <c r="BF31" s="162">
        <v>527</v>
      </c>
      <c r="BG31" s="162">
        <v>514</v>
      </c>
      <c r="BH31" s="162">
        <v>1370</v>
      </c>
      <c r="BI31" s="162">
        <v>397</v>
      </c>
      <c r="BJ31" s="162">
        <v>181</v>
      </c>
      <c r="BK31" s="97"/>
      <c r="BL31" s="97"/>
      <c r="BM31" s="97"/>
      <c r="BN31" s="97"/>
    </row>
    <row r="32" spans="1:66" ht="12.75">
      <c r="A32" s="79" t="s">
        <v>515</v>
      </c>
      <c r="B32" s="79" t="s">
        <v>294</v>
      </c>
      <c r="C32" s="79" t="s">
        <v>81</v>
      </c>
      <c r="D32" s="99">
        <v>12340</v>
      </c>
      <c r="E32" s="99">
        <v>2147</v>
      </c>
      <c r="F32" s="99" t="s">
        <v>339</v>
      </c>
      <c r="G32" s="99">
        <v>68</v>
      </c>
      <c r="H32" s="99">
        <v>33</v>
      </c>
      <c r="I32" s="99">
        <v>263</v>
      </c>
      <c r="J32" s="99">
        <v>1279</v>
      </c>
      <c r="K32" s="99">
        <v>26</v>
      </c>
      <c r="L32" s="99">
        <v>2717</v>
      </c>
      <c r="M32" s="99">
        <v>896</v>
      </c>
      <c r="N32" s="99">
        <v>481</v>
      </c>
      <c r="O32" s="99">
        <v>431</v>
      </c>
      <c r="P32" s="159">
        <v>431</v>
      </c>
      <c r="Q32" s="99">
        <v>46</v>
      </c>
      <c r="R32" s="99">
        <v>81</v>
      </c>
      <c r="S32" s="99">
        <v>51</v>
      </c>
      <c r="T32" s="99">
        <v>59</v>
      </c>
      <c r="U32" s="99">
        <v>12</v>
      </c>
      <c r="V32" s="99">
        <v>123</v>
      </c>
      <c r="W32" s="99">
        <v>101</v>
      </c>
      <c r="X32" s="99">
        <v>77</v>
      </c>
      <c r="Y32" s="99">
        <v>177</v>
      </c>
      <c r="Z32" s="99">
        <v>87</v>
      </c>
      <c r="AA32" s="99" t="s">
        <v>545</v>
      </c>
      <c r="AB32" s="99" t="s">
        <v>545</v>
      </c>
      <c r="AC32" s="99" t="s">
        <v>545</v>
      </c>
      <c r="AD32" s="98" t="s">
        <v>315</v>
      </c>
      <c r="AE32" s="100">
        <v>0.1739870340356564</v>
      </c>
      <c r="AF32" s="100">
        <v>0.08</v>
      </c>
      <c r="AG32" s="98">
        <v>551.0534846029174</v>
      </c>
      <c r="AH32" s="98">
        <v>267.4230145867099</v>
      </c>
      <c r="AI32" s="100">
        <v>0.021</v>
      </c>
      <c r="AJ32" s="100">
        <v>0.788533</v>
      </c>
      <c r="AK32" s="100">
        <v>0.764706</v>
      </c>
      <c r="AL32" s="100">
        <v>0.825836</v>
      </c>
      <c r="AM32" s="100">
        <v>0.635011</v>
      </c>
      <c r="AN32" s="100">
        <v>0.685185</v>
      </c>
      <c r="AO32" s="98">
        <v>3492.7066450567263</v>
      </c>
      <c r="AP32" s="158">
        <v>1.783955688</v>
      </c>
      <c r="AQ32" s="100">
        <v>0.10672853828306264</v>
      </c>
      <c r="AR32" s="100">
        <v>0.5679012345679012</v>
      </c>
      <c r="AS32" s="98">
        <v>413.290113452188</v>
      </c>
      <c r="AT32" s="98">
        <v>478.1199351701783</v>
      </c>
      <c r="AU32" s="98">
        <v>97.24473257698541</v>
      </c>
      <c r="AV32" s="98">
        <v>996.7585089141005</v>
      </c>
      <c r="AW32" s="98">
        <v>818.4764991896272</v>
      </c>
      <c r="AX32" s="98">
        <v>623.9870340356564</v>
      </c>
      <c r="AY32" s="98">
        <v>1434.359805510535</v>
      </c>
      <c r="AZ32" s="98">
        <v>705.0243111831443</v>
      </c>
      <c r="BA32" s="100" t="s">
        <v>545</v>
      </c>
      <c r="BB32" s="100" t="s">
        <v>545</v>
      </c>
      <c r="BC32" s="100" t="s">
        <v>545</v>
      </c>
      <c r="BD32" s="158">
        <v>1.619486237</v>
      </c>
      <c r="BE32" s="158">
        <v>1.9605981449999998</v>
      </c>
      <c r="BF32" s="162">
        <v>1622</v>
      </c>
      <c r="BG32" s="162">
        <v>34</v>
      </c>
      <c r="BH32" s="162">
        <v>3290</v>
      </c>
      <c r="BI32" s="162">
        <v>1411</v>
      </c>
      <c r="BJ32" s="162">
        <v>702</v>
      </c>
      <c r="BK32" s="97"/>
      <c r="BL32" s="97"/>
      <c r="BM32" s="97"/>
      <c r="BN32" s="97"/>
    </row>
    <row r="33" spans="1:66" ht="12.75">
      <c r="A33" s="79" t="s">
        <v>516</v>
      </c>
      <c r="B33" s="79" t="s">
        <v>295</v>
      </c>
      <c r="C33" s="79" t="s">
        <v>81</v>
      </c>
      <c r="D33" s="99">
        <v>5042</v>
      </c>
      <c r="E33" s="99">
        <v>643</v>
      </c>
      <c r="F33" s="99" t="s">
        <v>339</v>
      </c>
      <c r="G33" s="99">
        <v>20</v>
      </c>
      <c r="H33" s="99">
        <v>12</v>
      </c>
      <c r="I33" s="99">
        <v>72</v>
      </c>
      <c r="J33" s="99">
        <v>396</v>
      </c>
      <c r="K33" s="99">
        <v>328</v>
      </c>
      <c r="L33" s="99">
        <v>1008</v>
      </c>
      <c r="M33" s="99">
        <v>265</v>
      </c>
      <c r="N33" s="99">
        <v>149</v>
      </c>
      <c r="O33" s="99">
        <v>109</v>
      </c>
      <c r="P33" s="159">
        <v>109</v>
      </c>
      <c r="Q33" s="99">
        <v>13</v>
      </c>
      <c r="R33" s="99">
        <v>28</v>
      </c>
      <c r="S33" s="99">
        <v>23</v>
      </c>
      <c r="T33" s="99">
        <v>13</v>
      </c>
      <c r="U33" s="99" t="s">
        <v>545</v>
      </c>
      <c r="V33" s="99">
        <v>25</v>
      </c>
      <c r="W33" s="99">
        <v>26</v>
      </c>
      <c r="X33" s="99">
        <v>19</v>
      </c>
      <c r="Y33" s="99">
        <v>42</v>
      </c>
      <c r="Z33" s="99">
        <v>36</v>
      </c>
      <c r="AA33" s="99" t="s">
        <v>545</v>
      </c>
      <c r="AB33" s="99" t="s">
        <v>545</v>
      </c>
      <c r="AC33" s="99" t="s">
        <v>545</v>
      </c>
      <c r="AD33" s="98" t="s">
        <v>315</v>
      </c>
      <c r="AE33" s="100">
        <v>0.12752875842919476</v>
      </c>
      <c r="AF33" s="100">
        <v>0.06</v>
      </c>
      <c r="AG33" s="98">
        <v>396.6679888932963</v>
      </c>
      <c r="AH33" s="98">
        <v>238.0007933359778</v>
      </c>
      <c r="AI33" s="100">
        <v>0.013999999999999999</v>
      </c>
      <c r="AJ33" s="100">
        <v>0.831933</v>
      </c>
      <c r="AK33" s="100">
        <v>0.813896</v>
      </c>
      <c r="AL33" s="100">
        <v>0.794326</v>
      </c>
      <c r="AM33" s="100">
        <v>0.629454</v>
      </c>
      <c r="AN33" s="100">
        <v>0.662222</v>
      </c>
      <c r="AO33" s="98">
        <v>2161.840539468465</v>
      </c>
      <c r="AP33" s="158">
        <v>1.30018219</v>
      </c>
      <c r="AQ33" s="100">
        <v>0.11926605504587157</v>
      </c>
      <c r="AR33" s="100">
        <v>0.4642857142857143</v>
      </c>
      <c r="AS33" s="98">
        <v>456.16818722729073</v>
      </c>
      <c r="AT33" s="98">
        <v>257.8341927806426</v>
      </c>
      <c r="AU33" s="98" t="s">
        <v>545</v>
      </c>
      <c r="AV33" s="98">
        <v>495.83498611662037</v>
      </c>
      <c r="AW33" s="98">
        <v>515.6683855612852</v>
      </c>
      <c r="AX33" s="98">
        <v>376.8345894486315</v>
      </c>
      <c r="AY33" s="98">
        <v>833.0027766759223</v>
      </c>
      <c r="AZ33" s="98">
        <v>714.0023800079333</v>
      </c>
      <c r="BA33" s="100" t="s">
        <v>545</v>
      </c>
      <c r="BB33" s="100" t="s">
        <v>545</v>
      </c>
      <c r="BC33" s="100" t="s">
        <v>545</v>
      </c>
      <c r="BD33" s="158">
        <v>1.067584839</v>
      </c>
      <c r="BE33" s="158">
        <v>1.568406677</v>
      </c>
      <c r="BF33" s="162">
        <v>476</v>
      </c>
      <c r="BG33" s="162">
        <v>403</v>
      </c>
      <c r="BH33" s="162">
        <v>1269</v>
      </c>
      <c r="BI33" s="162">
        <v>421</v>
      </c>
      <c r="BJ33" s="162">
        <v>225</v>
      </c>
      <c r="BK33" s="97"/>
      <c r="BL33" s="97"/>
      <c r="BM33" s="97"/>
      <c r="BN33" s="97"/>
    </row>
    <row r="34" spans="1:66" ht="12.75">
      <c r="A34" s="79" t="s">
        <v>525</v>
      </c>
      <c r="B34" s="79" t="s">
        <v>304</v>
      </c>
      <c r="C34" s="79" t="s">
        <v>81</v>
      </c>
      <c r="D34" s="99">
        <v>11287</v>
      </c>
      <c r="E34" s="99">
        <v>1643</v>
      </c>
      <c r="F34" s="99" t="s">
        <v>335</v>
      </c>
      <c r="G34" s="99">
        <v>65</v>
      </c>
      <c r="H34" s="99">
        <v>35</v>
      </c>
      <c r="I34" s="99">
        <v>160</v>
      </c>
      <c r="J34" s="99">
        <v>779</v>
      </c>
      <c r="K34" s="99">
        <v>770</v>
      </c>
      <c r="L34" s="99">
        <v>1749</v>
      </c>
      <c r="M34" s="99">
        <v>469</v>
      </c>
      <c r="N34" s="99">
        <v>233</v>
      </c>
      <c r="O34" s="99">
        <v>379</v>
      </c>
      <c r="P34" s="159">
        <v>379</v>
      </c>
      <c r="Q34" s="99">
        <v>29</v>
      </c>
      <c r="R34" s="99">
        <v>66</v>
      </c>
      <c r="S34" s="99">
        <v>48</v>
      </c>
      <c r="T34" s="99">
        <v>37</v>
      </c>
      <c r="U34" s="99">
        <v>13</v>
      </c>
      <c r="V34" s="99">
        <v>71</v>
      </c>
      <c r="W34" s="99">
        <v>71</v>
      </c>
      <c r="X34" s="99">
        <v>88</v>
      </c>
      <c r="Y34" s="99">
        <v>222</v>
      </c>
      <c r="Z34" s="99">
        <v>75</v>
      </c>
      <c r="AA34" s="99" t="s">
        <v>545</v>
      </c>
      <c r="AB34" s="99" t="s">
        <v>545</v>
      </c>
      <c r="AC34" s="99" t="s">
        <v>545</v>
      </c>
      <c r="AD34" s="98" t="s">
        <v>315</v>
      </c>
      <c r="AE34" s="100">
        <v>0.14556569504739966</v>
      </c>
      <c r="AF34" s="100">
        <v>0.23</v>
      </c>
      <c r="AG34" s="98">
        <v>575.8837600779658</v>
      </c>
      <c r="AH34" s="98">
        <v>310.09125542659694</v>
      </c>
      <c r="AI34" s="100">
        <v>0.013999999999999999</v>
      </c>
      <c r="AJ34" s="100">
        <v>0.718635</v>
      </c>
      <c r="AK34" s="100">
        <v>0.720974</v>
      </c>
      <c r="AL34" s="100">
        <v>0.714753</v>
      </c>
      <c r="AM34" s="100">
        <v>0.46994</v>
      </c>
      <c r="AN34" s="100">
        <v>0.5</v>
      </c>
      <c r="AO34" s="98">
        <v>3357.845308762293</v>
      </c>
      <c r="AP34" s="158">
        <v>2.003352203</v>
      </c>
      <c r="AQ34" s="100">
        <v>0.07651715039577836</v>
      </c>
      <c r="AR34" s="100">
        <v>0.4393939393939394</v>
      </c>
      <c r="AS34" s="98">
        <v>425.26800744219014</v>
      </c>
      <c r="AT34" s="98">
        <v>327.81075573668824</v>
      </c>
      <c r="AU34" s="98">
        <v>115.17675201559317</v>
      </c>
      <c r="AV34" s="98">
        <v>629.0422610082396</v>
      </c>
      <c r="AW34" s="98">
        <v>629.0422610082396</v>
      </c>
      <c r="AX34" s="98">
        <v>779.6580136440152</v>
      </c>
      <c r="AY34" s="98">
        <v>1966.8645344201293</v>
      </c>
      <c r="AZ34" s="98">
        <v>664.4812616284221</v>
      </c>
      <c r="BA34" s="100" t="s">
        <v>545</v>
      </c>
      <c r="BB34" s="100" t="s">
        <v>545</v>
      </c>
      <c r="BC34" s="100" t="s">
        <v>545</v>
      </c>
      <c r="BD34" s="158">
        <v>1.806713867</v>
      </c>
      <c r="BE34" s="158">
        <v>2.215553741</v>
      </c>
      <c r="BF34" s="162">
        <v>1084</v>
      </c>
      <c r="BG34" s="162">
        <v>1068</v>
      </c>
      <c r="BH34" s="162">
        <v>2447</v>
      </c>
      <c r="BI34" s="162">
        <v>998</v>
      </c>
      <c r="BJ34" s="162">
        <v>466</v>
      </c>
      <c r="BK34" s="97"/>
      <c r="BL34" s="97"/>
      <c r="BM34" s="97"/>
      <c r="BN34" s="97"/>
    </row>
    <row r="35" spans="1:66" ht="12.75">
      <c r="A35" s="79" t="s">
        <v>522</v>
      </c>
      <c r="B35" s="79" t="s">
        <v>301</v>
      </c>
      <c r="C35" s="79" t="s">
        <v>81</v>
      </c>
      <c r="D35" s="99">
        <v>6425</v>
      </c>
      <c r="E35" s="99">
        <v>1308</v>
      </c>
      <c r="F35" s="99" t="s">
        <v>335</v>
      </c>
      <c r="G35" s="99">
        <v>45</v>
      </c>
      <c r="H35" s="99">
        <v>24</v>
      </c>
      <c r="I35" s="99">
        <v>115</v>
      </c>
      <c r="J35" s="99">
        <v>591</v>
      </c>
      <c r="K35" s="99">
        <v>14</v>
      </c>
      <c r="L35" s="99">
        <v>1239</v>
      </c>
      <c r="M35" s="99">
        <v>437</v>
      </c>
      <c r="N35" s="99">
        <v>241</v>
      </c>
      <c r="O35" s="99">
        <v>192</v>
      </c>
      <c r="P35" s="159">
        <v>192</v>
      </c>
      <c r="Q35" s="99">
        <v>22</v>
      </c>
      <c r="R35" s="99">
        <v>35</v>
      </c>
      <c r="S35" s="99">
        <v>26</v>
      </c>
      <c r="T35" s="99">
        <v>20</v>
      </c>
      <c r="U35" s="99" t="s">
        <v>545</v>
      </c>
      <c r="V35" s="99">
        <v>38</v>
      </c>
      <c r="W35" s="99">
        <v>53</v>
      </c>
      <c r="X35" s="99">
        <v>39</v>
      </c>
      <c r="Y35" s="99">
        <v>145</v>
      </c>
      <c r="Z35" s="99">
        <v>54</v>
      </c>
      <c r="AA35" s="99" t="s">
        <v>545</v>
      </c>
      <c r="AB35" s="99" t="s">
        <v>545</v>
      </c>
      <c r="AC35" s="99" t="s">
        <v>545</v>
      </c>
      <c r="AD35" s="98" t="s">
        <v>315</v>
      </c>
      <c r="AE35" s="100">
        <v>0.20357976653696497</v>
      </c>
      <c r="AF35" s="100">
        <v>0.2</v>
      </c>
      <c r="AG35" s="98">
        <v>700.3891050583658</v>
      </c>
      <c r="AH35" s="98">
        <v>373.5408560311284</v>
      </c>
      <c r="AI35" s="100">
        <v>0.018000000000000002</v>
      </c>
      <c r="AJ35" s="100">
        <v>0.725153</v>
      </c>
      <c r="AK35" s="100">
        <v>0.736842</v>
      </c>
      <c r="AL35" s="100">
        <v>0.811927</v>
      </c>
      <c r="AM35" s="100">
        <v>0.549686</v>
      </c>
      <c r="AN35" s="100">
        <v>0.605528</v>
      </c>
      <c r="AO35" s="98">
        <v>2988.326848249027</v>
      </c>
      <c r="AP35" s="158">
        <v>1.488269196</v>
      </c>
      <c r="AQ35" s="100">
        <v>0.11458333333333333</v>
      </c>
      <c r="AR35" s="100">
        <v>0.6285714285714286</v>
      </c>
      <c r="AS35" s="98">
        <v>404.6692607003891</v>
      </c>
      <c r="AT35" s="98">
        <v>311.284046692607</v>
      </c>
      <c r="AU35" s="98" t="s">
        <v>545</v>
      </c>
      <c r="AV35" s="98">
        <v>591.4396887159533</v>
      </c>
      <c r="AW35" s="98">
        <v>824.9027237354086</v>
      </c>
      <c r="AX35" s="98">
        <v>607.0038910505837</v>
      </c>
      <c r="AY35" s="98">
        <v>2256.8093385214006</v>
      </c>
      <c r="AZ35" s="98">
        <v>840.4669260700389</v>
      </c>
      <c r="BA35" s="100" t="s">
        <v>545</v>
      </c>
      <c r="BB35" s="100" t="s">
        <v>545</v>
      </c>
      <c r="BC35" s="100" t="s">
        <v>545</v>
      </c>
      <c r="BD35" s="158">
        <v>1.285191345</v>
      </c>
      <c r="BE35" s="158">
        <v>1.714324341</v>
      </c>
      <c r="BF35" s="162">
        <v>815</v>
      </c>
      <c r="BG35" s="162">
        <v>19</v>
      </c>
      <c r="BH35" s="162">
        <v>1526</v>
      </c>
      <c r="BI35" s="162">
        <v>795</v>
      </c>
      <c r="BJ35" s="162">
        <v>398</v>
      </c>
      <c r="BK35" s="97"/>
      <c r="BL35" s="97"/>
      <c r="BM35" s="97"/>
      <c r="BN35" s="97"/>
    </row>
    <row r="36" spans="1:66" ht="12.75">
      <c r="A36" s="79" t="s">
        <v>510</v>
      </c>
      <c r="B36" s="79" t="s">
        <v>289</v>
      </c>
      <c r="C36" s="79" t="s">
        <v>81</v>
      </c>
      <c r="D36" s="99">
        <v>11464</v>
      </c>
      <c r="E36" s="99">
        <v>1800</v>
      </c>
      <c r="F36" s="99" t="s">
        <v>336</v>
      </c>
      <c r="G36" s="99">
        <v>70</v>
      </c>
      <c r="H36" s="99">
        <v>42</v>
      </c>
      <c r="I36" s="99">
        <v>201</v>
      </c>
      <c r="J36" s="99">
        <v>951</v>
      </c>
      <c r="K36" s="99">
        <v>933</v>
      </c>
      <c r="L36" s="99">
        <v>1968</v>
      </c>
      <c r="M36" s="99">
        <v>504</v>
      </c>
      <c r="N36" s="99">
        <v>248</v>
      </c>
      <c r="O36" s="99">
        <v>312</v>
      </c>
      <c r="P36" s="159">
        <v>312</v>
      </c>
      <c r="Q36" s="99">
        <v>33</v>
      </c>
      <c r="R36" s="99">
        <v>73</v>
      </c>
      <c r="S36" s="99">
        <v>56</v>
      </c>
      <c r="T36" s="99">
        <v>38</v>
      </c>
      <c r="U36" s="99">
        <v>12</v>
      </c>
      <c r="V36" s="99">
        <v>35</v>
      </c>
      <c r="W36" s="99">
        <v>89</v>
      </c>
      <c r="X36" s="99">
        <v>60</v>
      </c>
      <c r="Y36" s="99">
        <v>246</v>
      </c>
      <c r="Z36" s="99">
        <v>96</v>
      </c>
      <c r="AA36" s="99" t="s">
        <v>545</v>
      </c>
      <c r="AB36" s="99" t="s">
        <v>545</v>
      </c>
      <c r="AC36" s="99" t="s">
        <v>545</v>
      </c>
      <c r="AD36" s="98" t="s">
        <v>315</v>
      </c>
      <c r="AE36" s="100">
        <v>0.15701325889741802</v>
      </c>
      <c r="AF36" s="100">
        <v>0.35</v>
      </c>
      <c r="AG36" s="98">
        <v>610.6071179344034</v>
      </c>
      <c r="AH36" s="98">
        <v>366.364270760642</v>
      </c>
      <c r="AI36" s="100">
        <v>0.018000000000000002</v>
      </c>
      <c r="AJ36" s="100">
        <v>0.715038</v>
      </c>
      <c r="AK36" s="100">
        <v>0.717692</v>
      </c>
      <c r="AL36" s="100">
        <v>0.731327</v>
      </c>
      <c r="AM36" s="100">
        <v>0.434109</v>
      </c>
      <c r="AN36" s="100">
        <v>0.454212</v>
      </c>
      <c r="AO36" s="98">
        <v>2721.563154221912</v>
      </c>
      <c r="AP36" s="158">
        <v>1.499173279</v>
      </c>
      <c r="AQ36" s="100">
        <v>0.10576923076923077</v>
      </c>
      <c r="AR36" s="100">
        <v>0.4520547945205479</v>
      </c>
      <c r="AS36" s="98">
        <v>488.48569434752267</v>
      </c>
      <c r="AT36" s="98">
        <v>331.4724354501047</v>
      </c>
      <c r="AU36" s="98">
        <v>104.67550593161201</v>
      </c>
      <c r="AV36" s="98">
        <v>305.3035589672017</v>
      </c>
      <c r="AW36" s="98">
        <v>776.3433356594556</v>
      </c>
      <c r="AX36" s="98">
        <v>523.37752965806</v>
      </c>
      <c r="AY36" s="98">
        <v>2145.847871598046</v>
      </c>
      <c r="AZ36" s="98">
        <v>837.4040474528961</v>
      </c>
      <c r="BA36" s="100" t="s">
        <v>545</v>
      </c>
      <c r="BB36" s="100" t="s">
        <v>545</v>
      </c>
      <c r="BC36" s="100" t="s">
        <v>545</v>
      </c>
      <c r="BD36" s="158">
        <v>1.3374200440000001</v>
      </c>
      <c r="BE36" s="158">
        <v>1.6750979609999999</v>
      </c>
      <c r="BF36" s="162">
        <v>1330</v>
      </c>
      <c r="BG36" s="162">
        <v>1300</v>
      </c>
      <c r="BH36" s="162">
        <v>2691</v>
      </c>
      <c r="BI36" s="162">
        <v>1161</v>
      </c>
      <c r="BJ36" s="162">
        <v>546</v>
      </c>
      <c r="BK36" s="97"/>
      <c r="BL36" s="97"/>
      <c r="BM36" s="97"/>
      <c r="BN36" s="97"/>
    </row>
    <row r="37" spans="1:66" ht="12.75">
      <c r="A37" s="79" t="s">
        <v>511</v>
      </c>
      <c r="B37" s="79" t="s">
        <v>290</v>
      </c>
      <c r="C37" s="79" t="s">
        <v>81</v>
      </c>
      <c r="D37" s="99">
        <v>9133</v>
      </c>
      <c r="E37" s="99">
        <v>1050</v>
      </c>
      <c r="F37" s="99" t="s">
        <v>336</v>
      </c>
      <c r="G37" s="99">
        <v>37</v>
      </c>
      <c r="H37" s="99">
        <v>24</v>
      </c>
      <c r="I37" s="99">
        <v>116</v>
      </c>
      <c r="J37" s="99">
        <v>555</v>
      </c>
      <c r="K37" s="99">
        <v>113</v>
      </c>
      <c r="L37" s="99">
        <v>1573</v>
      </c>
      <c r="M37" s="99">
        <v>288</v>
      </c>
      <c r="N37" s="99">
        <v>153</v>
      </c>
      <c r="O37" s="99">
        <v>173</v>
      </c>
      <c r="P37" s="159">
        <v>173</v>
      </c>
      <c r="Q37" s="99">
        <v>16</v>
      </c>
      <c r="R37" s="99">
        <v>32</v>
      </c>
      <c r="S37" s="99">
        <v>31</v>
      </c>
      <c r="T37" s="99">
        <v>29</v>
      </c>
      <c r="U37" s="99">
        <v>6</v>
      </c>
      <c r="V37" s="99">
        <v>14</v>
      </c>
      <c r="W37" s="99">
        <v>58</v>
      </c>
      <c r="X37" s="99">
        <v>34</v>
      </c>
      <c r="Y37" s="99">
        <v>130</v>
      </c>
      <c r="Z37" s="99">
        <v>46</v>
      </c>
      <c r="AA37" s="99" t="s">
        <v>545</v>
      </c>
      <c r="AB37" s="99" t="s">
        <v>545</v>
      </c>
      <c r="AC37" s="99" t="s">
        <v>545</v>
      </c>
      <c r="AD37" s="98" t="s">
        <v>315</v>
      </c>
      <c r="AE37" s="100">
        <v>0.11496769955107851</v>
      </c>
      <c r="AF37" s="100">
        <v>0.26</v>
      </c>
      <c r="AG37" s="98">
        <v>405.12427460856236</v>
      </c>
      <c r="AH37" s="98">
        <v>262.783313259608</v>
      </c>
      <c r="AI37" s="100">
        <v>0.013000000000000001</v>
      </c>
      <c r="AJ37" s="100">
        <v>0.694618</v>
      </c>
      <c r="AK37" s="100">
        <v>0.465021</v>
      </c>
      <c r="AL37" s="100">
        <v>0.743735</v>
      </c>
      <c r="AM37" s="100">
        <v>0.472906</v>
      </c>
      <c r="AN37" s="100">
        <v>0.516892</v>
      </c>
      <c r="AO37" s="98">
        <v>1894.2297164130077</v>
      </c>
      <c r="AP37" s="158">
        <v>1.266194458</v>
      </c>
      <c r="AQ37" s="100">
        <v>0.09248554913294797</v>
      </c>
      <c r="AR37" s="100">
        <v>0.5</v>
      </c>
      <c r="AS37" s="98">
        <v>339.42844629366033</v>
      </c>
      <c r="AT37" s="98">
        <v>317.5298368553597</v>
      </c>
      <c r="AU37" s="98">
        <v>65.695828314902</v>
      </c>
      <c r="AV37" s="98">
        <v>153.29026606810467</v>
      </c>
      <c r="AW37" s="98">
        <v>635.0596737107194</v>
      </c>
      <c r="AX37" s="98">
        <v>372.2763604511114</v>
      </c>
      <c r="AY37" s="98">
        <v>1423.4096134895435</v>
      </c>
      <c r="AZ37" s="98">
        <v>503.6680170809154</v>
      </c>
      <c r="BA37" s="100" t="s">
        <v>545</v>
      </c>
      <c r="BB37" s="100" t="s">
        <v>545</v>
      </c>
      <c r="BC37" s="100" t="s">
        <v>545</v>
      </c>
      <c r="BD37" s="158">
        <v>1.084539566</v>
      </c>
      <c r="BE37" s="158">
        <v>1.469571838</v>
      </c>
      <c r="BF37" s="162">
        <v>799</v>
      </c>
      <c r="BG37" s="162">
        <v>243</v>
      </c>
      <c r="BH37" s="162">
        <v>2115</v>
      </c>
      <c r="BI37" s="162">
        <v>609</v>
      </c>
      <c r="BJ37" s="162">
        <v>296</v>
      </c>
      <c r="BK37" s="97"/>
      <c r="BL37" s="97"/>
      <c r="BM37" s="97"/>
      <c r="BN37" s="97"/>
    </row>
    <row r="38" spans="1:66" ht="12.75">
      <c r="A38" s="79" t="s">
        <v>521</v>
      </c>
      <c r="B38" s="79" t="s">
        <v>300</v>
      </c>
      <c r="C38" s="79" t="s">
        <v>81</v>
      </c>
      <c r="D38" s="99">
        <v>12262</v>
      </c>
      <c r="E38" s="99">
        <v>1752</v>
      </c>
      <c r="F38" s="99" t="s">
        <v>336</v>
      </c>
      <c r="G38" s="99">
        <v>69</v>
      </c>
      <c r="H38" s="99">
        <v>30</v>
      </c>
      <c r="I38" s="99">
        <v>142</v>
      </c>
      <c r="J38" s="99">
        <v>911</v>
      </c>
      <c r="K38" s="99">
        <v>37</v>
      </c>
      <c r="L38" s="99">
        <v>2216</v>
      </c>
      <c r="M38" s="99">
        <v>588</v>
      </c>
      <c r="N38" s="99">
        <v>308</v>
      </c>
      <c r="O38" s="99">
        <v>250</v>
      </c>
      <c r="P38" s="159">
        <v>250</v>
      </c>
      <c r="Q38" s="99">
        <v>25</v>
      </c>
      <c r="R38" s="99">
        <v>61</v>
      </c>
      <c r="S38" s="99">
        <v>60</v>
      </c>
      <c r="T38" s="99">
        <v>31</v>
      </c>
      <c r="U38" s="99">
        <v>12</v>
      </c>
      <c r="V38" s="99">
        <v>33</v>
      </c>
      <c r="W38" s="99">
        <v>73</v>
      </c>
      <c r="X38" s="99">
        <v>67</v>
      </c>
      <c r="Y38" s="99">
        <v>195</v>
      </c>
      <c r="Z38" s="99">
        <v>81</v>
      </c>
      <c r="AA38" s="99" t="s">
        <v>545</v>
      </c>
      <c r="AB38" s="99" t="s">
        <v>545</v>
      </c>
      <c r="AC38" s="99" t="s">
        <v>545</v>
      </c>
      <c r="AD38" s="98" t="s">
        <v>315</v>
      </c>
      <c r="AE38" s="100">
        <v>0.14288044364703964</v>
      </c>
      <c r="AF38" s="100">
        <v>0.26</v>
      </c>
      <c r="AG38" s="98">
        <v>562.7140760071767</v>
      </c>
      <c r="AH38" s="98">
        <v>244.65829391616376</v>
      </c>
      <c r="AI38" s="100">
        <v>0.012</v>
      </c>
      <c r="AJ38" s="100">
        <v>0.65919</v>
      </c>
      <c r="AK38" s="100">
        <v>0.711538</v>
      </c>
      <c r="AL38" s="100">
        <v>0.736457</v>
      </c>
      <c r="AM38" s="100">
        <v>0.520815</v>
      </c>
      <c r="AN38" s="100">
        <v>0.565138</v>
      </c>
      <c r="AO38" s="98">
        <v>2038.8191159680314</v>
      </c>
      <c r="AP38" s="158">
        <v>1.193118134</v>
      </c>
      <c r="AQ38" s="100">
        <v>0.1</v>
      </c>
      <c r="AR38" s="100">
        <v>0.4098360655737705</v>
      </c>
      <c r="AS38" s="98">
        <v>489.3165878323275</v>
      </c>
      <c r="AT38" s="98">
        <v>252.81357038003588</v>
      </c>
      <c r="AU38" s="98">
        <v>97.8633175664655</v>
      </c>
      <c r="AV38" s="98">
        <v>269.1241233077801</v>
      </c>
      <c r="AW38" s="98">
        <v>595.3351818626652</v>
      </c>
      <c r="AX38" s="98">
        <v>546.4035230794324</v>
      </c>
      <c r="AY38" s="98">
        <v>1590.2789104550645</v>
      </c>
      <c r="AZ38" s="98">
        <v>660.5773935736421</v>
      </c>
      <c r="BA38" s="100" t="s">
        <v>545</v>
      </c>
      <c r="BB38" s="100" t="s">
        <v>545</v>
      </c>
      <c r="BC38" s="100" t="s">
        <v>545</v>
      </c>
      <c r="BD38" s="158">
        <v>1.049791183</v>
      </c>
      <c r="BE38" s="158">
        <v>1.350550995</v>
      </c>
      <c r="BF38" s="162">
        <v>1382</v>
      </c>
      <c r="BG38" s="162">
        <v>52</v>
      </c>
      <c r="BH38" s="162">
        <v>3009</v>
      </c>
      <c r="BI38" s="162">
        <v>1129</v>
      </c>
      <c r="BJ38" s="162">
        <v>545</v>
      </c>
      <c r="BK38" s="97"/>
      <c r="BL38" s="97"/>
      <c r="BM38" s="97"/>
      <c r="BN38" s="97"/>
    </row>
    <row r="39" spans="1:66" ht="12.75">
      <c r="A39" s="79" t="s">
        <v>376</v>
      </c>
      <c r="B39" s="94" t="s">
        <v>81</v>
      </c>
      <c r="C39" s="94" t="s">
        <v>7</v>
      </c>
      <c r="D39" s="99">
        <v>283085</v>
      </c>
      <c r="E39" s="99">
        <v>37533</v>
      </c>
      <c r="F39" s="99">
        <v>58944.32</v>
      </c>
      <c r="G39" s="99">
        <v>1256</v>
      </c>
      <c r="H39" s="99">
        <v>728</v>
      </c>
      <c r="I39" s="99">
        <v>4108</v>
      </c>
      <c r="J39" s="99">
        <v>20283</v>
      </c>
      <c r="K39" s="99">
        <v>9175</v>
      </c>
      <c r="L39" s="99">
        <v>48861</v>
      </c>
      <c r="M39" s="99">
        <v>12306</v>
      </c>
      <c r="N39" s="99">
        <v>6435</v>
      </c>
      <c r="O39" s="99">
        <v>6523</v>
      </c>
      <c r="P39" s="99">
        <v>6523</v>
      </c>
      <c r="Q39" s="99">
        <v>555</v>
      </c>
      <c r="R39" s="99">
        <v>1280</v>
      </c>
      <c r="S39" s="99">
        <v>1004</v>
      </c>
      <c r="T39" s="99">
        <v>892</v>
      </c>
      <c r="U39" s="99">
        <v>215</v>
      </c>
      <c r="V39" s="99">
        <v>1225</v>
      </c>
      <c r="W39" s="99">
        <v>1840</v>
      </c>
      <c r="X39" s="99">
        <v>1705</v>
      </c>
      <c r="Y39" s="99">
        <v>4619</v>
      </c>
      <c r="Z39" s="99">
        <v>1733</v>
      </c>
      <c r="AA39" s="99">
        <v>0</v>
      </c>
      <c r="AB39" s="99">
        <v>0</v>
      </c>
      <c r="AC39" s="99">
        <v>0</v>
      </c>
      <c r="AD39" s="98">
        <v>0</v>
      </c>
      <c r="AE39" s="101">
        <v>0.13258561916032288</v>
      </c>
      <c r="AF39" s="101">
        <v>0.2082212762951057</v>
      </c>
      <c r="AG39" s="98">
        <v>443.68299274069625</v>
      </c>
      <c r="AH39" s="98">
        <v>257.1665754102125</v>
      </c>
      <c r="AI39" s="101">
        <v>0.014511542469576276</v>
      </c>
      <c r="AJ39" s="101">
        <v>0.7274063979342993</v>
      </c>
      <c r="AK39" s="101">
        <v>0.7388468352391689</v>
      </c>
      <c r="AL39" s="101">
        <v>0.740475252326251</v>
      </c>
      <c r="AM39" s="101">
        <v>0.515607323920057</v>
      </c>
      <c r="AN39" s="101">
        <v>0.5561797752808989</v>
      </c>
      <c r="AO39" s="98">
        <v>2304.254905770352</v>
      </c>
      <c r="AP39" s="98">
        <v>0</v>
      </c>
      <c r="AQ39" s="101">
        <v>0.08508355051356738</v>
      </c>
      <c r="AR39" s="101">
        <v>0.43359375</v>
      </c>
      <c r="AS39" s="98">
        <v>354.6637935602381</v>
      </c>
      <c r="AT39" s="98">
        <v>315.09970503559003</v>
      </c>
      <c r="AU39" s="98">
        <v>75.94891993570836</v>
      </c>
      <c r="AV39" s="98">
        <v>432.7322182383383</v>
      </c>
      <c r="AW39" s="98">
        <v>649.9814543335041</v>
      </c>
      <c r="AX39" s="98">
        <v>602.2925976296872</v>
      </c>
      <c r="AY39" s="98">
        <v>1631.6654008513344</v>
      </c>
      <c r="AZ39" s="98">
        <v>612.1836197608492</v>
      </c>
      <c r="BA39" s="101">
        <v>0</v>
      </c>
      <c r="BB39" s="101">
        <v>0</v>
      </c>
      <c r="BC39" s="101">
        <v>0</v>
      </c>
      <c r="BD39" s="98">
        <v>0</v>
      </c>
      <c r="BE39" s="98">
        <v>0</v>
      </c>
      <c r="BF39" s="99">
        <v>27884</v>
      </c>
      <c r="BG39" s="99">
        <v>12418</v>
      </c>
      <c r="BH39" s="99">
        <v>65986</v>
      </c>
      <c r="BI39" s="99">
        <v>23867</v>
      </c>
      <c r="BJ39" s="99">
        <v>11570</v>
      </c>
      <c r="BK39" s="97"/>
      <c r="BL39" s="97"/>
      <c r="BM39" s="97"/>
      <c r="BN39" s="97"/>
    </row>
    <row r="40" spans="1:66" ht="12.75">
      <c r="A40" s="79" t="s">
        <v>24</v>
      </c>
      <c r="B40" s="94" t="s">
        <v>7</v>
      </c>
      <c r="C40" s="94" t="s">
        <v>7</v>
      </c>
      <c r="D40" s="99">
        <v>54615830</v>
      </c>
      <c r="E40" s="99">
        <v>8737890</v>
      </c>
      <c r="F40" s="99">
        <v>8198344.169999988</v>
      </c>
      <c r="G40" s="99">
        <v>243379</v>
      </c>
      <c r="H40" s="99">
        <v>127868</v>
      </c>
      <c r="I40" s="99">
        <v>870616</v>
      </c>
      <c r="J40" s="99">
        <v>4592627</v>
      </c>
      <c r="K40" s="99">
        <v>1679592</v>
      </c>
      <c r="L40" s="99">
        <v>10150944</v>
      </c>
      <c r="M40" s="99">
        <v>2959539</v>
      </c>
      <c r="N40" s="99">
        <v>1629320</v>
      </c>
      <c r="O40" s="99">
        <v>989730</v>
      </c>
      <c r="P40" s="99">
        <v>989730</v>
      </c>
      <c r="Q40" s="99">
        <v>108072</v>
      </c>
      <c r="R40" s="99">
        <v>238330</v>
      </c>
      <c r="S40" s="99">
        <v>206300</v>
      </c>
      <c r="T40" s="99">
        <v>154264</v>
      </c>
      <c r="U40" s="99">
        <v>38486</v>
      </c>
      <c r="V40" s="99">
        <v>176535</v>
      </c>
      <c r="W40" s="99">
        <v>307276</v>
      </c>
      <c r="X40" s="99">
        <v>221506</v>
      </c>
      <c r="Y40" s="99">
        <v>578574</v>
      </c>
      <c r="Z40" s="99">
        <v>318377</v>
      </c>
      <c r="AA40" s="99">
        <v>0</v>
      </c>
      <c r="AB40" s="99">
        <v>0</v>
      </c>
      <c r="AC40" s="99">
        <v>0</v>
      </c>
      <c r="AD40" s="98">
        <v>0</v>
      </c>
      <c r="AE40" s="101">
        <v>0.1599882305185145</v>
      </c>
      <c r="AF40" s="101">
        <v>0.15010930292554353</v>
      </c>
      <c r="AG40" s="98">
        <v>445.6198871279627</v>
      </c>
      <c r="AH40" s="98">
        <v>234.12259778895606</v>
      </c>
      <c r="AI40" s="101">
        <v>0.015940726342527432</v>
      </c>
      <c r="AJ40" s="101">
        <v>0.7248631360507991</v>
      </c>
      <c r="AK40" s="101">
        <v>0.7467412166569077</v>
      </c>
      <c r="AL40" s="101">
        <v>0.7559681673907895</v>
      </c>
      <c r="AM40" s="101">
        <v>0.5147293797466616</v>
      </c>
      <c r="AN40" s="101">
        <v>0.5752927626212945</v>
      </c>
      <c r="AO40" s="98">
        <v>1812.1669120472948</v>
      </c>
      <c r="AP40" s="98">
        <v>1</v>
      </c>
      <c r="AQ40" s="101">
        <v>0.10919341638628717</v>
      </c>
      <c r="AR40" s="101">
        <v>0.4534552930810221</v>
      </c>
      <c r="AS40" s="98">
        <v>377.7293140102421</v>
      </c>
      <c r="AT40" s="98">
        <v>282.45290788403287</v>
      </c>
      <c r="AU40" s="98">
        <v>70.46674929228394</v>
      </c>
      <c r="AV40" s="98">
        <v>323.23046266988894</v>
      </c>
      <c r="AW40" s="98">
        <v>562.6134400960308</v>
      </c>
      <c r="AX40" s="98">
        <v>405.57105879375996</v>
      </c>
      <c r="AY40" s="98">
        <v>1059.3522061277838</v>
      </c>
      <c r="AZ40" s="98">
        <v>582.9390489900089</v>
      </c>
      <c r="BA40" s="101">
        <v>0</v>
      </c>
      <c r="BB40" s="101">
        <v>0</v>
      </c>
      <c r="BC40" s="101">
        <v>0</v>
      </c>
      <c r="BD40" s="98">
        <v>0</v>
      </c>
      <c r="BE40" s="98">
        <v>0</v>
      </c>
      <c r="BF40" s="99">
        <v>6335854</v>
      </c>
      <c r="BG40" s="99">
        <v>2249229</v>
      </c>
      <c r="BH40" s="99">
        <v>13427740</v>
      </c>
      <c r="BI40" s="99">
        <v>5749699</v>
      </c>
      <c r="BJ40" s="99">
        <v>2832158</v>
      </c>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320</v>
      </c>
      <c r="O4" s="75" t="s">
        <v>319</v>
      </c>
      <c r="P4" s="75" t="s">
        <v>447</v>
      </c>
      <c r="Q4" s="75" t="s">
        <v>448</v>
      </c>
      <c r="R4" s="75" t="s">
        <v>449</v>
      </c>
      <c r="S4" s="75" t="s">
        <v>450</v>
      </c>
      <c r="T4" s="39" t="s">
        <v>278</v>
      </c>
      <c r="U4" s="40" t="s">
        <v>279</v>
      </c>
      <c r="V4" s="41" t="s">
        <v>7</v>
      </c>
      <c r="W4" s="24" t="s">
        <v>2</v>
      </c>
      <c r="X4" s="24" t="s">
        <v>3</v>
      </c>
      <c r="Y4" s="75" t="s">
        <v>549</v>
      </c>
      <c r="Z4" s="75" t="s">
        <v>548</v>
      </c>
      <c r="AA4" s="26" t="s">
        <v>280</v>
      </c>
      <c r="AB4" s="24" t="s">
        <v>5</v>
      </c>
      <c r="AC4" s="75" t="s">
        <v>35</v>
      </c>
      <c r="AD4" s="24" t="s">
        <v>6</v>
      </c>
      <c r="AE4" s="24" t="s">
        <v>281</v>
      </c>
      <c r="AF4" s="24" t="s">
        <v>16</v>
      </c>
      <c r="AG4" s="24" t="s">
        <v>15</v>
      </c>
      <c r="AH4" s="24" t="s">
        <v>14</v>
      </c>
      <c r="AI4" s="25" t="s">
        <v>30</v>
      </c>
      <c r="AJ4" s="47" t="s">
        <v>10</v>
      </c>
      <c r="AK4" s="26" t="s">
        <v>21</v>
      </c>
      <c r="AL4" s="25" t="s">
        <v>22</v>
      </c>
      <c r="AQ4" s="102" t="s">
        <v>362</v>
      </c>
      <c r="AR4" s="102" t="s">
        <v>364</v>
      </c>
      <c r="AS4" s="102" t="s">
        <v>363</v>
      </c>
      <c r="AY4" s="102" t="s">
        <v>444</v>
      </c>
      <c r="AZ4" s="102" t="s">
        <v>445</v>
      </c>
      <c r="BA4" s="102" t="s">
        <v>446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385</v>
      </c>
      <c r="BA5" s="103" t="s">
        <v>315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370</v>
      </c>
      <c r="BA6" s="103" t="s">
        <v>315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992</v>
      </c>
      <c r="E7" s="38">
        <f>IF(LEFT(VLOOKUP($B7,'Indicator chart'!$D$1:$J$36,5,FALSE),1)=" "," ",VLOOKUP($B7,'Indicator chart'!$D$1:$J$36,5,FALSE))</f>
        <v>0.11789874019491324</v>
      </c>
      <c r="F7" s="38">
        <f>IF(LEFT(VLOOKUP($B7,'Indicator chart'!$D$1:$J$36,6,FALSE),1)=" "," ",VLOOKUP($B7,'Indicator chart'!$D$1:$J$36,6,FALSE))</f>
        <v>0.11118169970784984</v>
      </c>
      <c r="G7" s="38">
        <f>IF(LEFT(VLOOKUP($B7,'Indicator chart'!$D$1:$J$36,7,FALSE),1)=" "," ",VLOOKUP($B7,'Indicator chart'!$D$1:$J$36,7,FALSE))</f>
        <v>0.12496453521298782</v>
      </c>
      <c r="H7" s="50">
        <f aca="true" t="shared" si="0" ref="H7:H31">IF(LEFT(F7,1)=" ",4,IF(AND(ABS(N7-E7)&gt;SQRT((E7-G7)^2+(N7-R7)^2),E7&lt;N7),1,IF(AND(ABS(N7-E7)&gt;SQRT((E7-F7)^2+(N7-S7)^2),E7&gt;N7),3,2)))</f>
        <v>1</v>
      </c>
      <c r="I7" s="38">
        <v>0.008682483807206154</v>
      </c>
      <c r="J7" s="38">
        <v>0.12178283929824829</v>
      </c>
      <c r="K7" s="38">
        <v>0.13666237890720367</v>
      </c>
      <c r="L7" s="38">
        <v>0.1685759574174881</v>
      </c>
      <c r="M7" s="38">
        <v>0.22052353620529175</v>
      </c>
      <c r="N7" s="80">
        <f>VLOOKUP('Hide - Control'!B$3,'All practice data'!A:CA,A7+29,FALSE)</f>
        <v>0.13258561916032288</v>
      </c>
      <c r="O7" s="80">
        <f>VLOOKUP('Hide - Control'!C$3,'All practice data'!A:CA,A7+29,FALSE)</f>
        <v>0.1599882305185145</v>
      </c>
      <c r="P7" s="38">
        <f>VLOOKUP('Hide - Control'!$B$4,'All practice data'!B:BC,A7+2,FALSE)</f>
        <v>37533</v>
      </c>
      <c r="Q7" s="38">
        <f>VLOOKUP('Hide - Control'!$B$4,'All practice data'!B:BC,3,FALSE)</f>
        <v>283085</v>
      </c>
      <c r="R7" s="38">
        <f>+((2*P7+1.96^2-1.96*SQRT(1.96^2+4*P7*(1-P7/Q7)))/(2*(Q7+1.96^2)))</f>
        <v>0.13134132540873036</v>
      </c>
      <c r="S7" s="38">
        <f>+((2*P7+1.96^2+1.96*SQRT(1.96^2+4*P7*(1-P7/Q7)))/(2*(Q7+1.96^2)))</f>
        <v>0.13383988475734354</v>
      </c>
      <c r="T7" s="53">
        <f>IF($C7=1,M7,I7)</f>
        <v>0.22052353620529175</v>
      </c>
      <c r="U7" s="51">
        <f aca="true" t="shared" si="1" ref="U7:U15">IF($C7=1,I7,M7)</f>
        <v>0.008682483807206154</v>
      </c>
      <c r="V7" s="7">
        <v>1</v>
      </c>
      <c r="W7" s="27">
        <f aca="true" t="shared" si="2" ref="W7:W31">IF((K7-I7)&gt;(M7-K7),I7,(K7-(M7-K7)))</f>
        <v>0.008682483807206154</v>
      </c>
      <c r="X7" s="27">
        <f aca="true" t="shared" si="3" ref="X7:X31">IF(W7=I7,K7+(K7-I7),M7)</f>
        <v>0.2646422740072012</v>
      </c>
      <c r="Y7" s="27">
        <f aca="true" t="shared" si="4" ref="Y7:Y31">IF(C7=1,W7,X7)</f>
        <v>0.008682483807206154</v>
      </c>
      <c r="Z7" s="27">
        <f aca="true" t="shared" si="5" ref="Z7:Z31">IF(C7=1,X7,W7)</f>
        <v>0.2646422740072012</v>
      </c>
      <c r="AA7" s="32">
        <f aca="true" t="shared" si="6" ref="AA7:AA31">IF(ISERROR(IF(C7=1,(I7-$Y7)/($Z7-$Y7),(U7-$Y7)/($Z7-$Y7))),"",IF(C7=1,(I7-$Y7)/($Z7-$Y7),(U7-$Y7)/($Z7-$Y7)))</f>
        <v>0</v>
      </c>
      <c r="AB7" s="33">
        <f aca="true" t="shared" si="7" ref="AB7:AB31">IF(ISERROR(IF(C7=1,(J7-$Y7)/($Z7-$Y7),(L7-$Y7)/($Z7-$Y7))),"",IF(C7=1,(J7-$Y7)/($Z7-$Y7),(L7-$Y7)/($Z7-$Y7)))</f>
        <v>0.4418676675843139</v>
      </c>
      <c r="AC7" s="33">
        <v>0.5</v>
      </c>
      <c r="AD7" s="33">
        <f aca="true" t="shared" si="8" ref="AD7:AD31">IF(ISERROR(IF(C7=1,(L7-$Y7)/($Z7-$Y7),(J7-$Y7)/($Z7-$Y7))),"",IF(C7=1,(L7-$Y7)/($Z7-$Y7),(J7-$Y7)/($Z7-$Y7)))</f>
        <v>0.6246819997990647</v>
      </c>
      <c r="AE7" s="33">
        <f aca="true" t="shared" si="9" ref="AE7:AE31">IF(ISERROR(IF(C7=1,(M7-$Y7)/($Z7-$Y7),(I7-$Y7)/($Z7-$Y7))),"",IF(C7=1,(M7-$Y7)/($Z7-$Y7),(I7-$Y7)/($Z7-$Y7)))</f>
        <v>0.8276341070312758</v>
      </c>
      <c r="AF7" s="33">
        <f aca="true" t="shared" si="10" ref="AF7:AF30">IF(E7=" ",-999,IF(H7=4,(E7-$Y7)/($Z7-$Y7),-999))</f>
        <v>-999</v>
      </c>
      <c r="AG7" s="33">
        <f aca="true" t="shared" si="11" ref="AG7:AG31">IF(E7=" ",-999,IF(H7=2,(E7-$Y7)/($Z7-$Y7),-999))</f>
        <v>-999</v>
      </c>
      <c r="AH7" s="33">
        <f aca="true" t="shared" si="12" ref="AH7:AH31">IF(E7=" ",-999,IF(MAX(AK7:AL7)&gt;-999,MAX(AK7:AL7),-999))</f>
        <v>0.4266930219874403</v>
      </c>
      <c r="AI7" s="34">
        <f aca="true" t="shared" si="13" ref="AI7:AI31">IF(ISERROR((O7-$Y7)/($Z7-$Y7)),-999,(O7-$Y7)/($Z7-$Y7))</f>
        <v>0.591130921747846</v>
      </c>
      <c r="AJ7" s="4">
        <v>2.7020512924389086</v>
      </c>
      <c r="AK7" s="32">
        <f aca="true" t="shared" si="14" ref="AK7:AK31">IF(H7=1,(E7-$Y7)/($Z7-$Y7),-999)</f>
        <v>0.4266930219874403</v>
      </c>
      <c r="AL7" s="34">
        <f aca="true" t="shared" si="15" ref="AL7:AL31">IF(H7=3,(E7-$Y7)/($Z7-$Y7),-999)</f>
        <v>-999</v>
      </c>
      <c r="AQ7" s="103">
        <v>2</v>
      </c>
      <c r="AR7" s="103">
        <v>0.2422</v>
      </c>
      <c r="AS7" s="103">
        <v>7.2247</v>
      </c>
      <c r="AY7" s="103" t="s">
        <v>68</v>
      </c>
      <c r="AZ7" s="103" t="s">
        <v>369</v>
      </c>
      <c r="BA7" s="103" t="s">
        <v>315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0.24</v>
      </c>
      <c r="F8" s="38">
        <f>IF(LEFT(VLOOKUP($B8,'Indicator chart'!$D$1:$J$36,6,FALSE),1)=" "," ",VLOOKUP($B8,'Indicator chart'!$D$1:$J$36,6,FALSE))</f>
        <v>0.23099424367840724</v>
      </c>
      <c r="G8" s="38">
        <f>IF(LEFT(VLOOKUP($B8,'Indicator chart'!$D$1:$J$36,7,FALSE),1)=" "," ",VLOOKUP($B8,'Indicator chart'!$D$1:$J$36,7,FALSE))</f>
        <v>0.2492430656099975</v>
      </c>
      <c r="H8" s="50">
        <f t="shared" si="0"/>
        <v>3</v>
      </c>
      <c r="I8" s="38">
        <v>0.05000000074505806</v>
      </c>
      <c r="J8" s="38">
        <v>0.12999999523162842</v>
      </c>
      <c r="K8" s="38">
        <v>0.2199999988079071</v>
      </c>
      <c r="L8" s="38">
        <v>0.27000001072883606</v>
      </c>
      <c r="M8" s="38">
        <v>0.41999998688697815</v>
      </c>
      <c r="N8" s="80">
        <f>VLOOKUP('Hide - Control'!B$3,'All practice data'!A:CA,A8+29,FALSE)</f>
        <v>0.2082212762951057</v>
      </c>
      <c r="O8" s="80">
        <f>VLOOKUP('Hide - Control'!C$3,'All practice data'!A:CA,A8+29,FALSE)</f>
        <v>0.15010930292554353</v>
      </c>
      <c r="P8" s="38">
        <f>VLOOKUP('Hide - Control'!$B$4,'All practice data'!B:BC,A8+2,FALSE)</f>
        <v>58944.32</v>
      </c>
      <c r="Q8" s="38">
        <f>VLOOKUP('Hide - Control'!$B$4,'All practice data'!B:BC,3,FALSE)</f>
        <v>283085</v>
      </c>
      <c r="R8" s="38">
        <f>+((2*P8+1.96^2-1.96*SQRT(1.96^2+4*P8*(1-P8/Q8)))/(2*(Q8+1.96^2)))</f>
        <v>0.2067294800620364</v>
      </c>
      <c r="S8" s="38">
        <f>+((2*P8+1.96^2+1.96*SQRT(1.96^2+4*P8*(1-P8/Q8)))/(2*(Q8+1.96^2)))</f>
        <v>0.20972099157675816</v>
      </c>
      <c r="T8" s="53">
        <f aca="true" t="shared" si="16" ref="T8:T15">IF($C8=1,M8,I8)</f>
        <v>0.41999998688697815</v>
      </c>
      <c r="U8" s="51">
        <f t="shared" si="1"/>
        <v>0.05000000074505806</v>
      </c>
      <c r="V8" s="7"/>
      <c r="W8" s="27">
        <f t="shared" si="2"/>
        <v>0.02000001072883606</v>
      </c>
      <c r="X8" s="27">
        <f t="shared" si="3"/>
        <v>0.41999998688697815</v>
      </c>
      <c r="Y8" s="27">
        <f t="shared" si="4"/>
        <v>0.02000001072883606</v>
      </c>
      <c r="Z8" s="27">
        <f t="shared" si="5"/>
        <v>0.41999998688697815</v>
      </c>
      <c r="AA8" s="32">
        <f t="shared" si="6"/>
        <v>0.07499997951090213</v>
      </c>
      <c r="AB8" s="33">
        <f t="shared" si="7"/>
        <v>0.2749999776482569</v>
      </c>
      <c r="AC8" s="33">
        <v>0.5</v>
      </c>
      <c r="AD8" s="33">
        <f t="shared" si="8"/>
        <v>0.6250000372529052</v>
      </c>
      <c r="AE8" s="33">
        <f t="shared" si="9"/>
        <v>1</v>
      </c>
      <c r="AF8" s="33">
        <f t="shared" si="10"/>
        <v>-999</v>
      </c>
      <c r="AG8" s="33">
        <f t="shared" si="11"/>
        <v>-999</v>
      </c>
      <c r="AH8" s="33">
        <f t="shared" si="12"/>
        <v>0.5500000059604648</v>
      </c>
      <c r="AI8" s="34">
        <f t="shared" si="13"/>
        <v>0.3252732498795652</v>
      </c>
      <c r="AJ8" s="4">
        <v>3.778046717820832</v>
      </c>
      <c r="AK8" s="32">
        <f t="shared" si="14"/>
        <v>-999</v>
      </c>
      <c r="AL8" s="34">
        <f t="shared" si="15"/>
        <v>0.5500000059604648</v>
      </c>
      <c r="AQ8" s="103">
        <v>3</v>
      </c>
      <c r="AR8" s="103">
        <v>0.6187</v>
      </c>
      <c r="AS8" s="103">
        <v>8.7673</v>
      </c>
      <c r="AY8" s="103" t="s">
        <v>118</v>
      </c>
      <c r="AZ8" s="103" t="s">
        <v>119</v>
      </c>
      <c r="BA8" s="103" t="s">
        <v>315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570.477775136677</v>
      </c>
      <c r="F9" s="38">
        <f>IF(LEFT(VLOOKUP($B9,'Indicator chart'!$D$1:$J$36,6,FALSE),1)=" "," ",VLOOKUP($B9,'Indicator chart'!$D$1:$J$36,6,FALSE))</f>
        <v>420.587961539564</v>
      </c>
      <c r="G9" s="38">
        <f>IF(LEFT(VLOOKUP($B9,'Indicator chart'!$D$1:$J$36,7,FALSE),1)=" "," ",VLOOKUP($B9,'Indicator chart'!$D$1:$J$36,7,FALSE))</f>
        <v>756.3909997884912</v>
      </c>
      <c r="H9" s="50">
        <f t="shared" si="0"/>
        <v>2</v>
      </c>
      <c r="I9" s="38">
        <v>92.60600280761719</v>
      </c>
      <c r="J9" s="38">
        <v>364.31512451171875</v>
      </c>
      <c r="K9" s="38">
        <v>444.33160400390625</v>
      </c>
      <c r="L9" s="38">
        <v>566.595947265625</v>
      </c>
      <c r="M9" s="38">
        <v>765.068115234375</v>
      </c>
      <c r="N9" s="80">
        <f>VLOOKUP('Hide - Control'!B$3,'All practice data'!A:CA,A9+29,FALSE)</f>
        <v>443.68299274069625</v>
      </c>
      <c r="O9" s="80">
        <f>VLOOKUP('Hide - Control'!C$3,'All practice data'!A:CA,A9+29,FALSE)</f>
        <v>445.6198871279627</v>
      </c>
      <c r="P9" s="38">
        <f>VLOOKUP('Hide - Control'!$B$4,'All practice data'!B:BC,A9+2,FALSE)</f>
        <v>1256</v>
      </c>
      <c r="Q9" s="38">
        <f>VLOOKUP('Hide - Control'!$B$4,'All practice data'!B:BC,3,FALSE)</f>
        <v>283085</v>
      </c>
      <c r="R9" s="38">
        <f>100000*(P9*(1-1/(9*P9)-1.96/(3*SQRT(P9)))^3)/Q9</f>
        <v>419.4814136311994</v>
      </c>
      <c r="S9" s="38">
        <f>100000*((P9+1)*(1-1/(9*(P9+1))+1.96/(3*SQRT(P9+1)))^3)/Q9</f>
        <v>468.9167286350525</v>
      </c>
      <c r="T9" s="53">
        <f t="shared" si="16"/>
        <v>765.068115234375</v>
      </c>
      <c r="U9" s="51">
        <f t="shared" si="1"/>
        <v>92.60600280761719</v>
      </c>
      <c r="V9" s="7"/>
      <c r="W9" s="27">
        <f t="shared" si="2"/>
        <v>92.60600280761719</v>
      </c>
      <c r="X9" s="27">
        <f t="shared" si="3"/>
        <v>796.0572052001953</v>
      </c>
      <c r="Y9" s="27">
        <f t="shared" si="4"/>
        <v>92.60600280761719</v>
      </c>
      <c r="Z9" s="27">
        <f t="shared" si="5"/>
        <v>796.0572052001953</v>
      </c>
      <c r="AA9" s="32">
        <f t="shared" si="6"/>
        <v>0</v>
      </c>
      <c r="AB9" s="33">
        <f t="shared" si="7"/>
        <v>0.3862515562983822</v>
      </c>
      <c r="AC9" s="33">
        <v>0.5</v>
      </c>
      <c r="AD9" s="33">
        <f t="shared" si="8"/>
        <v>0.673806431556124</v>
      </c>
      <c r="AE9" s="33">
        <f t="shared" si="9"/>
        <v>0.9559470651831709</v>
      </c>
      <c r="AF9" s="33">
        <f t="shared" si="10"/>
        <v>-999</v>
      </c>
      <c r="AG9" s="33">
        <f t="shared" si="11"/>
        <v>0.6793246933173508</v>
      </c>
      <c r="AH9" s="33">
        <f t="shared" si="12"/>
        <v>-999</v>
      </c>
      <c r="AI9" s="34">
        <f t="shared" si="13"/>
        <v>0.5018313752534288</v>
      </c>
      <c r="AJ9" s="4">
        <v>4.854042143202755</v>
      </c>
      <c r="AK9" s="32">
        <f t="shared" si="14"/>
        <v>-999</v>
      </c>
      <c r="AL9" s="34">
        <f t="shared" si="15"/>
        <v>-999</v>
      </c>
      <c r="AQ9" s="103">
        <v>4</v>
      </c>
      <c r="AR9" s="103">
        <v>1.0899</v>
      </c>
      <c r="AS9" s="103">
        <v>10.2416</v>
      </c>
      <c r="AY9" s="103" t="s">
        <v>90</v>
      </c>
      <c r="AZ9" s="103" t="s">
        <v>379</v>
      </c>
      <c r="BA9" s="103" t="s">
        <v>315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33</v>
      </c>
      <c r="E10" s="38">
        <f>IF(LEFT(VLOOKUP($B10,'Indicator chart'!$D$1:$J$36,5,FALSE),1)=" "," ",VLOOKUP($B10,'Indicator chart'!$D$1:$J$36,5,FALSE))</f>
        <v>392.20347040646544</v>
      </c>
      <c r="F10" s="38">
        <f>IF(LEFT(VLOOKUP($B10,'Indicator chart'!$D$1:$J$36,6,FALSE),1)=" "," ",VLOOKUP($B10,'Indicator chart'!$D$1:$J$36,6,FALSE))</f>
        <v>269.92885953524217</v>
      </c>
      <c r="G10" s="38">
        <f>IF(LEFT(VLOOKUP($B10,'Indicator chart'!$D$1:$J$36,7,FALSE),1)=" "," ",VLOOKUP($B10,'Indicator chart'!$D$1:$J$36,7,FALSE))</f>
        <v>550.8203006621144</v>
      </c>
      <c r="H10" s="50">
        <f t="shared" si="0"/>
        <v>3</v>
      </c>
      <c r="I10" s="38">
        <v>44.173431396484375</v>
      </c>
      <c r="J10" s="38">
        <v>230.4816436767578</v>
      </c>
      <c r="K10" s="38">
        <v>263.78265380859375</v>
      </c>
      <c r="L10" s="38">
        <v>305.4366455078125</v>
      </c>
      <c r="M10" s="38">
        <v>487.80487060546875</v>
      </c>
      <c r="N10" s="80">
        <f>VLOOKUP('Hide - Control'!B$3,'All practice data'!A:CA,A10+29,FALSE)</f>
        <v>257.1665754102125</v>
      </c>
      <c r="O10" s="80">
        <f>VLOOKUP('Hide - Control'!C$3,'All practice data'!A:CA,A10+29,FALSE)</f>
        <v>234.12259778895606</v>
      </c>
      <c r="P10" s="38">
        <f>VLOOKUP('Hide - Control'!$B$4,'All practice data'!B:BC,A10+2,FALSE)</f>
        <v>728</v>
      </c>
      <c r="Q10" s="38">
        <f>VLOOKUP('Hide - Control'!$B$4,'All practice data'!B:BC,3,FALSE)</f>
        <v>283085</v>
      </c>
      <c r="R10" s="38">
        <f>100000*(P10*(1-1/(9*P10)-1.96/(3*SQRT(P10)))^3)/Q10</f>
        <v>238.8219686811409</v>
      </c>
      <c r="S10" s="38">
        <f>100000*((P10+1)*(1-1/(9*(P10+1))+1.96/(3*SQRT(P10+1)))^3)/Q10</f>
        <v>276.54635666069197</v>
      </c>
      <c r="T10" s="53">
        <f t="shared" si="16"/>
        <v>487.80487060546875</v>
      </c>
      <c r="U10" s="51">
        <f t="shared" si="1"/>
        <v>44.173431396484375</v>
      </c>
      <c r="V10" s="7"/>
      <c r="W10" s="27">
        <f t="shared" si="2"/>
        <v>39.76043701171875</v>
      </c>
      <c r="X10" s="27">
        <f t="shared" si="3"/>
        <v>487.80487060546875</v>
      </c>
      <c r="Y10" s="27">
        <f t="shared" si="4"/>
        <v>39.76043701171875</v>
      </c>
      <c r="Z10" s="27">
        <f t="shared" si="5"/>
        <v>487.80487060546875</v>
      </c>
      <c r="AA10" s="32">
        <f t="shared" si="6"/>
        <v>0.009849457004451855</v>
      </c>
      <c r="AB10" s="33">
        <f t="shared" si="7"/>
        <v>0.4256747598341316</v>
      </c>
      <c r="AC10" s="33">
        <v>0.5</v>
      </c>
      <c r="AD10" s="33">
        <f t="shared" si="8"/>
        <v>0.5929684392351745</v>
      </c>
      <c r="AE10" s="33">
        <f t="shared" si="9"/>
        <v>1</v>
      </c>
      <c r="AF10" s="33">
        <f t="shared" si="10"/>
        <v>-999</v>
      </c>
      <c r="AG10" s="33">
        <f t="shared" si="11"/>
        <v>-999</v>
      </c>
      <c r="AH10" s="33">
        <f t="shared" si="12"/>
        <v>0.7866251803818037</v>
      </c>
      <c r="AI10" s="34">
        <f t="shared" si="13"/>
        <v>0.43380108356277225</v>
      </c>
      <c r="AJ10" s="4">
        <v>5.930037568584676</v>
      </c>
      <c r="AK10" s="32">
        <f t="shared" si="14"/>
        <v>-999</v>
      </c>
      <c r="AL10" s="34">
        <f t="shared" si="15"/>
        <v>0.7866251803818037</v>
      </c>
      <c r="AY10" s="103" t="s">
        <v>96</v>
      </c>
      <c r="AZ10" s="103" t="s">
        <v>97</v>
      </c>
      <c r="BA10" s="103" t="s">
        <v>496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111</v>
      </c>
      <c r="E11" s="38">
        <f>IF(LEFT(VLOOKUP($B11,'Indicator chart'!$D$1:$J$36,5,FALSE),1)=" "," ",VLOOKUP($B11,'Indicator chart'!$D$1:$J$36,5,FALSE))</f>
        <v>0.013000000000000001</v>
      </c>
      <c r="F11" s="38">
        <f>IF(LEFT(VLOOKUP($B11,'Indicator chart'!$D$1:$J$36,6,FALSE),1)=" "," ",VLOOKUP($B11,'Indicator chart'!$D$1:$J$36,6,FALSE))</f>
        <v>0.0109669262104788</v>
      </c>
      <c r="G11" s="38">
        <f>IF(LEFT(VLOOKUP($B11,'Indicator chart'!$D$1:$J$36,7,FALSE),1)=" "," ",VLOOKUP($B11,'Indicator chart'!$D$1:$J$36,7,FALSE))</f>
        <v>0.015861993925058084</v>
      </c>
      <c r="H11" s="50">
        <f t="shared" si="0"/>
        <v>2</v>
      </c>
      <c r="I11" s="38">
        <v>0.0020000000949949026</v>
      </c>
      <c r="J11" s="38">
        <v>0.011500000022351742</v>
      </c>
      <c r="K11" s="38">
        <v>0.014000000432133675</v>
      </c>
      <c r="L11" s="38">
        <v>0.019999999552965164</v>
      </c>
      <c r="M11" s="38">
        <v>0.024000000208616257</v>
      </c>
      <c r="N11" s="80">
        <f>VLOOKUP('Hide - Control'!B$3,'All practice data'!A:CA,A11+29,FALSE)</f>
        <v>0.014511542469576276</v>
      </c>
      <c r="O11" s="80">
        <f>VLOOKUP('Hide - Control'!C$3,'All practice data'!A:CA,A11+29,FALSE)</f>
        <v>0.015940726342527432</v>
      </c>
      <c r="P11" s="38">
        <f>VLOOKUP('Hide - Control'!$B$4,'All practice data'!B:BC,A11+2,FALSE)</f>
        <v>4108</v>
      </c>
      <c r="Q11" s="38">
        <f>VLOOKUP('Hide - Control'!$B$4,'All practice data'!B:BC,3,FALSE)</f>
        <v>283085</v>
      </c>
      <c r="R11" s="80">
        <f aca="true" t="shared" si="17" ref="R11:R16">+((2*P11+1.96^2-1.96*SQRT(1.96^2+4*P11*(1-P11/Q11)))/(2*(Q11+1.96^2)))</f>
        <v>0.014077549639966429</v>
      </c>
      <c r="S11" s="80">
        <f aca="true" t="shared" si="18" ref="S11:S16">+((2*P11+1.96^2+1.96*SQRT(1.96^2+4*P11*(1-P11/Q11)))/(2*(Q11+1.96^2)))</f>
        <v>0.01495871174547703</v>
      </c>
      <c r="T11" s="53">
        <f t="shared" si="16"/>
        <v>0.024000000208616257</v>
      </c>
      <c r="U11" s="51">
        <f t="shared" si="1"/>
        <v>0.0020000000949949026</v>
      </c>
      <c r="V11" s="7"/>
      <c r="W11" s="27">
        <f t="shared" si="2"/>
        <v>0.0020000000949949026</v>
      </c>
      <c r="X11" s="27">
        <f t="shared" si="3"/>
        <v>0.026000000769272447</v>
      </c>
      <c r="Y11" s="27">
        <f t="shared" si="4"/>
        <v>0.0020000000949949026</v>
      </c>
      <c r="Z11" s="27">
        <f t="shared" si="5"/>
        <v>0.026000000769272447</v>
      </c>
      <c r="AA11" s="32">
        <f t="shared" si="6"/>
        <v>0</v>
      </c>
      <c r="AB11" s="33">
        <f t="shared" si="7"/>
        <v>0.39583331918563835</v>
      </c>
      <c r="AC11" s="33">
        <v>0.5</v>
      </c>
      <c r="AD11" s="33">
        <f t="shared" si="8"/>
        <v>0.7499999563442555</v>
      </c>
      <c r="AE11" s="33">
        <f t="shared" si="9"/>
        <v>0.9166666456472341</v>
      </c>
      <c r="AF11" s="33">
        <f t="shared" si="10"/>
        <v>-999</v>
      </c>
      <c r="AG11" s="33">
        <f t="shared" si="11"/>
        <v>0.4583333164983848</v>
      </c>
      <c r="AH11" s="33">
        <f t="shared" si="12"/>
        <v>-999</v>
      </c>
      <c r="AI11" s="34">
        <f t="shared" si="13"/>
        <v>0.580863577327886</v>
      </c>
      <c r="AJ11" s="4">
        <v>7.0060329939666</v>
      </c>
      <c r="AK11" s="32">
        <f t="shared" si="14"/>
        <v>-999</v>
      </c>
      <c r="AL11" s="34">
        <f t="shared" si="15"/>
        <v>-999</v>
      </c>
      <c r="AY11" s="103" t="s">
        <v>214</v>
      </c>
      <c r="AZ11" s="103" t="s">
        <v>215</v>
      </c>
      <c r="BA11" s="103" t="s">
        <v>496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637</v>
      </c>
      <c r="E12" s="38">
        <f>IF(LEFT(VLOOKUP($B12,'Indicator chart'!$D$1:$J$36,5,FALSE),1)=" "," ",VLOOKUP($B12,'Indicator chart'!$D$1:$J$36,5,FALSE))</f>
        <v>0.733026</v>
      </c>
      <c r="F12" s="38">
        <f>IF(LEFT(VLOOKUP($B12,'Indicator chart'!$D$1:$J$36,6,FALSE),1)=" "," ",VLOOKUP($B12,'Indicator chart'!$D$1:$J$36,6,FALSE))</f>
        <v>0.7026346877084907</v>
      </c>
      <c r="G12" s="38">
        <f>IF(LEFT(VLOOKUP($B12,'Indicator chart'!$D$1:$J$36,7,FALSE),1)=" "," ",VLOOKUP($B12,'Indicator chart'!$D$1:$J$36,7,FALSE))</f>
        <v>0.7613670280667427</v>
      </c>
      <c r="H12" s="50">
        <f t="shared" si="0"/>
        <v>2</v>
      </c>
      <c r="I12" s="38">
        <v>0.45652198791503906</v>
      </c>
      <c r="J12" s="38">
        <v>0.676904022693634</v>
      </c>
      <c r="K12" s="38">
        <v>0.7251570224761963</v>
      </c>
      <c r="L12" s="38">
        <v>0.7599154710769653</v>
      </c>
      <c r="M12" s="38">
        <v>0.8319330215454102</v>
      </c>
      <c r="N12" s="80">
        <f>VLOOKUP('Hide - Control'!B$3,'All practice data'!A:CA,A12+29,FALSE)</f>
        <v>0.7274063979342993</v>
      </c>
      <c r="O12" s="80">
        <f>VLOOKUP('Hide - Control'!C$3,'All practice data'!A:CA,A12+29,FALSE)</f>
        <v>0.7248631360507991</v>
      </c>
      <c r="P12" s="38">
        <f>VLOOKUP('Hide - Control'!$B$4,'All practice data'!B:BC,A12+2,FALSE)</f>
        <v>20283</v>
      </c>
      <c r="Q12" s="38">
        <f>VLOOKUP('Hide - Control'!$B$4,'All practice data'!B:BJ,57,FALSE)</f>
        <v>27884</v>
      </c>
      <c r="R12" s="38">
        <f t="shared" si="17"/>
        <v>0.7221486703315465</v>
      </c>
      <c r="S12" s="38">
        <f t="shared" si="18"/>
        <v>0.7326014742619311</v>
      </c>
      <c r="T12" s="53">
        <f t="shared" si="16"/>
        <v>0.8319330215454102</v>
      </c>
      <c r="U12" s="51">
        <f t="shared" si="1"/>
        <v>0.45652198791503906</v>
      </c>
      <c r="V12" s="7"/>
      <c r="W12" s="27">
        <f t="shared" si="2"/>
        <v>0.45652198791503906</v>
      </c>
      <c r="X12" s="27">
        <f t="shared" si="3"/>
        <v>0.9937920570373535</v>
      </c>
      <c r="Y12" s="27">
        <f t="shared" si="4"/>
        <v>0.45652198791503906</v>
      </c>
      <c r="Z12" s="27">
        <f t="shared" si="5"/>
        <v>0.9937920570373535</v>
      </c>
      <c r="AA12" s="32">
        <f t="shared" si="6"/>
        <v>0</v>
      </c>
      <c r="AB12" s="33">
        <f t="shared" si="7"/>
        <v>0.41018855775571406</v>
      </c>
      <c r="AC12" s="33">
        <v>0.5</v>
      </c>
      <c r="AD12" s="33">
        <f t="shared" si="8"/>
        <v>0.5646945560499034</v>
      </c>
      <c r="AE12" s="33">
        <f t="shared" si="9"/>
        <v>0.6987380373592063</v>
      </c>
      <c r="AF12" s="33">
        <f t="shared" si="10"/>
        <v>-999</v>
      </c>
      <c r="AG12" s="33">
        <f t="shared" si="11"/>
        <v>0.5146462235215493</v>
      </c>
      <c r="AH12" s="33">
        <f t="shared" si="12"/>
        <v>-999</v>
      </c>
      <c r="AI12" s="34">
        <f t="shared" si="13"/>
        <v>0.4994530005628691</v>
      </c>
      <c r="AJ12" s="4">
        <v>8.082028419348523</v>
      </c>
      <c r="AK12" s="32">
        <f t="shared" si="14"/>
        <v>-999</v>
      </c>
      <c r="AL12" s="34">
        <f t="shared" si="15"/>
        <v>-999</v>
      </c>
      <c r="AY12" s="103" t="s">
        <v>261</v>
      </c>
      <c r="AZ12" s="103" t="s">
        <v>432</v>
      </c>
      <c r="BA12" s="103" t="s">
        <v>315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635</v>
      </c>
      <c r="E13" s="38">
        <f>IF(LEFT(VLOOKUP($B13,'Indicator chart'!$D$1:$J$36,5,FALSE),1)=" "," ",VLOOKUP($B13,'Indicator chart'!$D$1:$J$36,5,FALSE))</f>
        <v>0.746181</v>
      </c>
      <c r="F13" s="38">
        <f>IF(LEFT(VLOOKUP($B13,'Indicator chart'!$D$1:$J$36,6,FALSE),1)=" "," ",VLOOKUP($B13,'Indicator chart'!$D$1:$J$36,6,FALSE))</f>
        <v>0.7158795768550922</v>
      </c>
      <c r="G13" s="38">
        <f>IF(LEFT(VLOOKUP($B13,'Indicator chart'!$D$1:$J$36,7,FALSE),1)=" "," ",VLOOKUP($B13,'Indicator chart'!$D$1:$J$36,7,FALSE))</f>
        <v>0.7742697092816612</v>
      </c>
      <c r="H13" s="50">
        <f t="shared" si="0"/>
        <v>2</v>
      </c>
      <c r="I13" s="38">
        <v>0.26315799355506897</v>
      </c>
      <c r="J13" s="38">
        <v>0.6767680048942566</v>
      </c>
      <c r="K13" s="38">
        <v>0.7461810111999512</v>
      </c>
      <c r="L13" s="38">
        <v>0.8015815019607544</v>
      </c>
      <c r="M13" s="38">
        <v>1</v>
      </c>
      <c r="N13" s="80">
        <f>VLOOKUP('Hide - Control'!B$3,'All practice data'!A:CA,A13+29,FALSE)</f>
        <v>0.7388468352391689</v>
      </c>
      <c r="O13" s="80">
        <f>VLOOKUP('Hide - Control'!C$3,'All practice data'!A:CA,A13+29,FALSE)</f>
        <v>0.7467412166569077</v>
      </c>
      <c r="P13" s="38">
        <f>VLOOKUP('Hide - Control'!$B$4,'All practice data'!B:BC,A13+2,FALSE)</f>
        <v>9175</v>
      </c>
      <c r="Q13" s="38">
        <f>VLOOKUP('Hide - Control'!$B$4,'All practice data'!B:BJ,58,FALSE)</f>
        <v>12418</v>
      </c>
      <c r="R13" s="38">
        <f t="shared" si="17"/>
        <v>0.7310478036476009</v>
      </c>
      <c r="S13" s="38">
        <f t="shared" si="18"/>
        <v>0.7464981344683707</v>
      </c>
      <c r="T13" s="53">
        <f t="shared" si="16"/>
        <v>1</v>
      </c>
      <c r="U13" s="51">
        <f t="shared" si="1"/>
        <v>0.26315799355506897</v>
      </c>
      <c r="V13" s="7"/>
      <c r="W13" s="27">
        <f t="shared" si="2"/>
        <v>0.26315799355506897</v>
      </c>
      <c r="X13" s="27">
        <f t="shared" si="3"/>
        <v>1.2292040288448334</v>
      </c>
      <c r="Y13" s="27">
        <f t="shared" si="4"/>
        <v>0.26315799355506897</v>
      </c>
      <c r="Z13" s="27">
        <f t="shared" si="5"/>
        <v>1.2292040288448334</v>
      </c>
      <c r="AA13" s="32">
        <f t="shared" si="6"/>
        <v>0</v>
      </c>
      <c r="AB13" s="33">
        <f t="shared" si="7"/>
        <v>0.4281473099934888</v>
      </c>
      <c r="AC13" s="33">
        <v>0.5</v>
      </c>
      <c r="AD13" s="33">
        <f t="shared" si="8"/>
        <v>0.557347671577769</v>
      </c>
      <c r="AE13" s="33">
        <f t="shared" si="9"/>
        <v>0.7627400553679785</v>
      </c>
      <c r="AF13" s="33">
        <f t="shared" si="10"/>
        <v>-999</v>
      </c>
      <c r="AG13" s="33">
        <f t="shared" si="11"/>
        <v>0.49999998840640014</v>
      </c>
      <c r="AH13" s="33">
        <f t="shared" si="12"/>
        <v>-999</v>
      </c>
      <c r="AI13" s="34">
        <f t="shared" si="13"/>
        <v>0.5005798951980467</v>
      </c>
      <c r="AJ13" s="4">
        <v>9.158023844730446</v>
      </c>
      <c r="AK13" s="32">
        <f t="shared" si="14"/>
        <v>-999</v>
      </c>
      <c r="AL13" s="34">
        <f t="shared" si="15"/>
        <v>-999</v>
      </c>
      <c r="AY13" s="103" t="s">
        <v>260</v>
      </c>
      <c r="AZ13" s="103" t="s">
        <v>431</v>
      </c>
      <c r="BA13" s="103" t="s">
        <v>315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1485</v>
      </c>
      <c r="E14" s="38">
        <f>IF(LEFT(VLOOKUP($B14,'Indicator chart'!$D$1:$J$36,5,FALSE),1)=" "," ",VLOOKUP($B14,'Indicator chart'!$D$1:$J$36,5,FALSE))</f>
        <v>0.779119</v>
      </c>
      <c r="F14" s="38">
        <f>IF(LEFT(VLOOKUP($B14,'Indicator chart'!$D$1:$J$36,6,FALSE),1)=" "," ",VLOOKUP($B14,'Indicator chart'!$D$1:$J$36,6,FALSE))</f>
        <v>0.7599432736659834</v>
      </c>
      <c r="G14" s="38">
        <f>IF(LEFT(VLOOKUP($B14,'Indicator chart'!$D$1:$J$36,7,FALSE),1)=" "," ",VLOOKUP($B14,'Indicator chart'!$D$1:$J$36,7,FALSE))</f>
        <v>0.7971709917264975</v>
      </c>
      <c r="H14" s="50">
        <f t="shared" si="0"/>
        <v>3</v>
      </c>
      <c r="I14" s="38">
        <v>0.38111600279808044</v>
      </c>
      <c r="J14" s="38">
        <v>0.7264419794082642</v>
      </c>
      <c r="K14" s="38">
        <v>0.7569789886474609</v>
      </c>
      <c r="L14" s="38">
        <v>0.7944865226745605</v>
      </c>
      <c r="M14" s="38">
        <v>0.8888890147209167</v>
      </c>
      <c r="N14" s="80">
        <f>VLOOKUP('Hide - Control'!B$3,'All practice data'!A:CA,A14+29,FALSE)</f>
        <v>0.740475252326251</v>
      </c>
      <c r="O14" s="80">
        <f>VLOOKUP('Hide - Control'!C$3,'All practice data'!A:CA,A14+29,FALSE)</f>
        <v>0.7559681673907895</v>
      </c>
      <c r="P14" s="38">
        <f>VLOOKUP('Hide - Control'!$B$4,'All practice data'!B:BC,A14+2,FALSE)</f>
        <v>48861</v>
      </c>
      <c r="Q14" s="38">
        <f>VLOOKUP('Hide - Control'!$B$4,'All practice data'!B:BJ,59,FALSE)</f>
        <v>65986</v>
      </c>
      <c r="R14" s="38">
        <f t="shared" si="17"/>
        <v>0.7371164850873934</v>
      </c>
      <c r="S14" s="38">
        <f t="shared" si="18"/>
        <v>0.7438060210214863</v>
      </c>
      <c r="T14" s="53">
        <f t="shared" si="16"/>
        <v>0.8888890147209167</v>
      </c>
      <c r="U14" s="51">
        <f t="shared" si="1"/>
        <v>0.38111600279808044</v>
      </c>
      <c r="V14" s="7"/>
      <c r="W14" s="27">
        <f t="shared" si="2"/>
        <v>0.38111600279808044</v>
      </c>
      <c r="X14" s="27">
        <f t="shared" si="3"/>
        <v>1.1328419744968414</v>
      </c>
      <c r="Y14" s="27">
        <f t="shared" si="4"/>
        <v>0.38111600279808044</v>
      </c>
      <c r="Z14" s="27">
        <f t="shared" si="5"/>
        <v>1.1328419744968414</v>
      </c>
      <c r="AA14" s="32">
        <f t="shared" si="6"/>
        <v>0</v>
      </c>
      <c r="AB14" s="33">
        <f t="shared" si="7"/>
        <v>0.45937747212566193</v>
      </c>
      <c r="AC14" s="33">
        <v>0.5</v>
      </c>
      <c r="AD14" s="33">
        <f t="shared" si="8"/>
        <v>0.549895221715354</v>
      </c>
      <c r="AE14" s="33">
        <f t="shared" si="9"/>
        <v>0.6754762121300182</v>
      </c>
      <c r="AF14" s="33">
        <f t="shared" si="10"/>
        <v>-999</v>
      </c>
      <c r="AG14" s="33">
        <f t="shared" si="11"/>
        <v>-999</v>
      </c>
      <c r="AH14" s="33">
        <f t="shared" si="12"/>
        <v>0.5294522368337318</v>
      </c>
      <c r="AI14" s="34">
        <f t="shared" si="13"/>
        <v>0.4986553328011441</v>
      </c>
      <c r="AJ14" s="4">
        <v>10.234019270112368</v>
      </c>
      <c r="AK14" s="32">
        <f t="shared" si="14"/>
        <v>-999</v>
      </c>
      <c r="AL14" s="34">
        <f t="shared" si="15"/>
        <v>0.5294522368337318</v>
      </c>
      <c r="AY14" s="103" t="s">
        <v>53</v>
      </c>
      <c r="AZ14" s="103" t="s">
        <v>439</v>
      </c>
      <c r="BA14" s="103" t="s">
        <v>496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359</v>
      </c>
      <c r="E15" s="38">
        <f>IF(LEFT(VLOOKUP($B15,'Indicator chart'!$D$1:$J$36,5,FALSE),1)=" "," ",VLOOKUP($B15,'Indicator chart'!$D$1:$J$36,5,FALSE))</f>
        <v>0.502801</v>
      </c>
      <c r="F15" s="38">
        <f>IF(LEFT(VLOOKUP($B15,'Indicator chart'!$D$1:$J$36,6,FALSE),1)=" "," ",VLOOKUP($B15,'Indicator chart'!$D$1:$J$36,6,FALSE))</f>
        <v>0.46620939079387747</v>
      </c>
      <c r="G15" s="38">
        <f>IF(LEFT(VLOOKUP($B15,'Indicator chart'!$D$1:$J$36,7,FALSE),1)=" "," ",VLOOKUP($B15,'Indicator chart'!$D$1:$J$36,7,FALSE))</f>
        <v>0.539362869158736</v>
      </c>
      <c r="H15" s="50">
        <f t="shared" si="0"/>
        <v>2</v>
      </c>
      <c r="I15" s="38">
        <v>0.2781069874763489</v>
      </c>
      <c r="J15" s="38">
        <v>0.45669299364089966</v>
      </c>
      <c r="K15" s="38">
        <v>0.5208150148391724</v>
      </c>
      <c r="L15" s="38">
        <v>0.5687984824180603</v>
      </c>
      <c r="M15" s="38">
        <v>0.6357139945030212</v>
      </c>
      <c r="N15" s="80">
        <f>VLOOKUP('Hide - Control'!B$3,'All practice data'!A:CA,A15+29,FALSE)</f>
        <v>0.515607323920057</v>
      </c>
      <c r="O15" s="80">
        <f>VLOOKUP('Hide - Control'!C$3,'All practice data'!A:CA,A15+29,FALSE)</f>
        <v>0.5147293797466616</v>
      </c>
      <c r="P15" s="38">
        <f>VLOOKUP('Hide - Control'!$B$4,'All practice data'!B:BC,A15+2,FALSE)</f>
        <v>12306</v>
      </c>
      <c r="Q15" s="38">
        <f>VLOOKUP('Hide - Control'!$B$4,'All practice data'!B:BJ,60,FALSE)</f>
        <v>23867</v>
      </c>
      <c r="R15" s="38">
        <f t="shared" si="17"/>
        <v>0.5092649391231184</v>
      </c>
      <c r="S15" s="38">
        <f t="shared" si="18"/>
        <v>0.5219446852581183</v>
      </c>
      <c r="T15" s="53">
        <f t="shared" si="16"/>
        <v>0.6357139945030212</v>
      </c>
      <c r="U15" s="51">
        <f t="shared" si="1"/>
        <v>0.2781069874763489</v>
      </c>
      <c r="V15" s="7"/>
      <c r="W15" s="27">
        <f t="shared" si="2"/>
        <v>0.2781069874763489</v>
      </c>
      <c r="X15" s="27">
        <f t="shared" si="3"/>
        <v>0.7635230422019958</v>
      </c>
      <c r="Y15" s="27">
        <f t="shared" si="4"/>
        <v>0.2781069874763489</v>
      </c>
      <c r="Z15" s="27">
        <f t="shared" si="5"/>
        <v>0.7635230422019958</v>
      </c>
      <c r="AA15" s="32">
        <f t="shared" si="6"/>
        <v>0</v>
      </c>
      <c r="AB15" s="33">
        <f t="shared" si="7"/>
        <v>0.36790296576714193</v>
      </c>
      <c r="AC15" s="33">
        <v>0.5</v>
      </c>
      <c r="AD15" s="33">
        <f t="shared" si="8"/>
        <v>0.5988501865806803</v>
      </c>
      <c r="AE15" s="33">
        <f t="shared" si="9"/>
        <v>0.7367020590795844</v>
      </c>
      <c r="AF15" s="33">
        <f t="shared" si="10"/>
        <v>-999</v>
      </c>
      <c r="AG15" s="33">
        <f t="shared" si="11"/>
        <v>0.46288953638059277</v>
      </c>
      <c r="AH15" s="33">
        <f t="shared" si="12"/>
        <v>-999</v>
      </c>
      <c r="AI15" s="34">
        <f t="shared" si="13"/>
        <v>0.48746305353260233</v>
      </c>
      <c r="AJ15" s="4">
        <v>11.310014695494289</v>
      </c>
      <c r="AK15" s="32">
        <f t="shared" si="14"/>
        <v>-999</v>
      </c>
      <c r="AL15" s="34">
        <f t="shared" si="15"/>
        <v>-999</v>
      </c>
      <c r="AY15" s="103" t="s">
        <v>229</v>
      </c>
      <c r="AZ15" s="103" t="s">
        <v>230</v>
      </c>
      <c r="BA15" s="103" t="s">
        <v>315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188</v>
      </c>
      <c r="E16" s="38">
        <f>IF(LEFT(VLOOKUP($B16,'Indicator chart'!$D$1:$J$36,5,FALSE),1)=" "," ",VLOOKUP($B16,'Indicator chart'!$D$1:$J$36,5,FALSE))</f>
        <v>0.564565</v>
      </c>
      <c r="F16" s="38">
        <f>IF(LEFT(VLOOKUP($B16,'Indicator chart'!$D$1:$J$36,6,FALSE),1)=" "," ",VLOOKUP($B16,'Indicator chart'!$D$1:$J$36,6,FALSE))</f>
        <v>0.5108735961967837</v>
      </c>
      <c r="G16" s="38">
        <f>IF(LEFT(VLOOKUP($B16,'Indicator chart'!$D$1:$J$36,7,FALSE),1)=" "," ",VLOOKUP($B16,'Indicator chart'!$D$1:$J$36,7,FALSE))</f>
        <v>0.6167828452878785</v>
      </c>
      <c r="H16" s="50">
        <f t="shared" si="0"/>
        <v>2</v>
      </c>
      <c r="I16" s="38">
        <v>0.2874999940395355</v>
      </c>
      <c r="J16" s="38">
        <v>0.5047169923782349</v>
      </c>
      <c r="K16" s="38">
        <v>0.5625</v>
      </c>
      <c r="L16" s="38">
        <v>0.6013749837875366</v>
      </c>
      <c r="M16" s="38">
        <v>0.690871000289917</v>
      </c>
      <c r="N16" s="80">
        <f>VLOOKUP('Hide - Control'!B$3,'All practice data'!A:CA,A16+29,FALSE)</f>
        <v>0.5561797752808989</v>
      </c>
      <c r="O16" s="80">
        <f>VLOOKUP('Hide - Control'!C$3,'All practice data'!A:CA,A16+29,FALSE)</f>
        <v>0.5752927626212945</v>
      </c>
      <c r="P16" s="38">
        <f>VLOOKUP('Hide - Control'!$B$4,'All practice data'!B:BC,A16+2,FALSE)</f>
        <v>6435</v>
      </c>
      <c r="Q16" s="38">
        <f>VLOOKUP('Hide - Control'!$B$4,'All practice data'!B:BJ,61,FALSE)</f>
        <v>11570</v>
      </c>
      <c r="R16" s="38">
        <f t="shared" si="17"/>
        <v>0.5471094444067277</v>
      </c>
      <c r="S16" s="38">
        <f t="shared" si="18"/>
        <v>0.5652128116711506</v>
      </c>
      <c r="T16" s="53">
        <f aca="true" t="shared" si="19" ref="T16:T31">IF($C16=1,M16,I16)</f>
        <v>0.690871000289917</v>
      </c>
      <c r="U16" s="51">
        <f aca="true" t="shared" si="20" ref="U16:U31">IF($C16=1,I16,M16)</f>
        <v>0.2874999940395355</v>
      </c>
      <c r="V16" s="7"/>
      <c r="W16" s="27">
        <f t="shared" si="2"/>
        <v>0.2874999940395355</v>
      </c>
      <c r="X16" s="27">
        <f t="shared" si="3"/>
        <v>0.8375000059604645</v>
      </c>
      <c r="Y16" s="27">
        <f t="shared" si="4"/>
        <v>0.2874999940395355</v>
      </c>
      <c r="Z16" s="27">
        <f t="shared" si="5"/>
        <v>0.8375000059604645</v>
      </c>
      <c r="AA16" s="32">
        <f t="shared" si="6"/>
        <v>0</v>
      </c>
      <c r="AB16" s="33">
        <f t="shared" si="7"/>
        <v>0.3949399884193596</v>
      </c>
      <c r="AC16" s="33">
        <v>0.5</v>
      </c>
      <c r="AD16" s="33">
        <f t="shared" si="8"/>
        <v>0.5706817871726255</v>
      </c>
      <c r="AE16" s="33">
        <f t="shared" si="9"/>
        <v>0.7334018136500919</v>
      </c>
      <c r="AF16" s="33">
        <f t="shared" si="10"/>
        <v>-999</v>
      </c>
      <c r="AG16" s="33">
        <f t="shared" si="11"/>
        <v>0.5037545453731679</v>
      </c>
      <c r="AH16" s="33">
        <f t="shared" si="12"/>
        <v>-999</v>
      </c>
      <c r="AI16" s="34">
        <f t="shared" si="13"/>
        <v>0.523259567898216</v>
      </c>
      <c r="AJ16" s="4">
        <v>12.386010120876215</v>
      </c>
      <c r="AK16" s="32">
        <f t="shared" si="14"/>
        <v>-999</v>
      </c>
      <c r="AL16" s="34">
        <f t="shared" si="15"/>
        <v>-999</v>
      </c>
      <c r="AY16" s="103" t="s">
        <v>313</v>
      </c>
      <c r="AZ16" s="103" t="s">
        <v>334</v>
      </c>
      <c r="BA16" s="103" t="s">
        <v>496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148</v>
      </c>
      <c r="E17" s="38">
        <f>IF(LEFT(VLOOKUP($B17,'Indicator chart'!$D$1:$J$36,5,FALSE),1)=" "," ",VLOOKUP($B17,'Indicator chart'!$D$1:$J$36,5,FALSE))</f>
        <v>1758.973140004754</v>
      </c>
      <c r="F17" s="38">
        <f>IF(LEFT(VLOOKUP($B17,'Indicator chart'!$D$1:$J$36,6,FALSE),1)=" "," ",VLOOKUP($B17,'Indicator chart'!$D$1:$J$36,6,FALSE))</f>
        <v>1486.9850915310653</v>
      </c>
      <c r="G17" s="38">
        <f>IF(LEFT(VLOOKUP($B17,'Indicator chart'!$D$1:$J$36,7,FALSE),1)=" "," ",VLOOKUP($B17,'Indicator chart'!$D$1:$J$36,7,FALSE))</f>
        <v>2066.300450077241</v>
      </c>
      <c r="H17" s="50">
        <f t="shared" si="0"/>
        <v>1</v>
      </c>
      <c r="I17" s="38">
        <v>526.8524780273438</v>
      </c>
      <c r="J17" s="38">
        <v>1782.5458984375</v>
      </c>
      <c r="K17" s="38">
        <v>2105.540283203125</v>
      </c>
      <c r="L17" s="38">
        <v>2671.940673828125</v>
      </c>
      <c r="M17" s="38">
        <v>5571.3876953125</v>
      </c>
      <c r="N17" s="80">
        <f>VLOOKUP('Hide - Control'!B$3,'All practice data'!A:CA,A17+29,FALSE)</f>
        <v>2304.254905770352</v>
      </c>
      <c r="O17" s="80">
        <f>VLOOKUP('Hide - Control'!C$3,'All practice data'!A:CA,A17+29,FALSE)</f>
        <v>1812.1669120472948</v>
      </c>
      <c r="P17" s="38">
        <f>VLOOKUP('Hide - Control'!$B$4,'All practice data'!B:BC,A17+2,FALSE)</f>
        <v>6523</v>
      </c>
      <c r="Q17" s="38">
        <f>VLOOKUP('Hide - Control'!$B$4,'All practice data'!B:BC,3,FALSE)</f>
        <v>283085</v>
      </c>
      <c r="R17" s="38">
        <f>100000*(P17*(1-1/(9*P17)-1.96/(3*SQRT(P17)))^3)/Q17</f>
        <v>2248.670733007795</v>
      </c>
      <c r="S17" s="38">
        <f>100000*((P17+1)*(1-1/(9*(P17+1))+1.96/(3*SQRT(P17+1)))^3)/Q17</f>
        <v>2360.8658024400497</v>
      </c>
      <c r="T17" s="53">
        <f t="shared" si="19"/>
        <v>5571.3876953125</v>
      </c>
      <c r="U17" s="51">
        <f t="shared" si="20"/>
        <v>526.8524780273438</v>
      </c>
      <c r="V17" s="7"/>
      <c r="W17" s="27">
        <f t="shared" si="2"/>
        <v>-1360.30712890625</v>
      </c>
      <c r="X17" s="27">
        <f t="shared" si="3"/>
        <v>5571.3876953125</v>
      </c>
      <c r="Y17" s="27">
        <f t="shared" si="4"/>
        <v>-1360.30712890625</v>
      </c>
      <c r="Z17" s="27">
        <f t="shared" si="5"/>
        <v>5571.3876953125</v>
      </c>
      <c r="AA17" s="32">
        <f t="shared" si="6"/>
        <v>0.2722508210171081</v>
      </c>
      <c r="AB17" s="33">
        <f t="shared" si="7"/>
        <v>0.4534032595264999</v>
      </c>
      <c r="AC17" s="33">
        <v>0.5</v>
      </c>
      <c r="AD17" s="33">
        <f t="shared" si="8"/>
        <v>0.5817116744156199</v>
      </c>
      <c r="AE17" s="33">
        <f t="shared" si="9"/>
        <v>1</v>
      </c>
      <c r="AF17" s="33">
        <f t="shared" si="10"/>
        <v>-999</v>
      </c>
      <c r="AG17" s="33">
        <f t="shared" si="11"/>
        <v>-999</v>
      </c>
      <c r="AH17" s="33">
        <f t="shared" si="12"/>
        <v>0.4500025387748614</v>
      </c>
      <c r="AI17" s="34">
        <f t="shared" si="13"/>
        <v>0.4576765309790026</v>
      </c>
      <c r="AJ17" s="4">
        <v>13.462005546258133</v>
      </c>
      <c r="AK17" s="32">
        <f t="shared" si="14"/>
        <v>0.4500025387748614</v>
      </c>
      <c r="AL17" s="34">
        <f t="shared" si="15"/>
        <v>-999</v>
      </c>
      <c r="AY17" s="103" t="s">
        <v>103</v>
      </c>
      <c r="AZ17" s="103" t="s">
        <v>104</v>
      </c>
      <c r="BA17" s="103" t="s">
        <v>315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148</v>
      </c>
      <c r="E18" s="80">
        <f>IF(LEFT(VLOOKUP($B18,'Indicator chart'!$D$1:$J$36,5,FALSE),1)=" "," ",VLOOKUP($B18,'Indicator chart'!$D$1:$J$36,5,FALSE))</f>
        <v>1.132156067</v>
      </c>
      <c r="F18" s="81">
        <f>IF(LEFT(VLOOKUP($B18,'Indicator chart'!$D$1:$J$36,6,FALSE),1)=" "," ",VLOOKUP($B18,'Indicator chart'!$D$1:$J$36,6,FALSE))</f>
        <v>0.9571064758</v>
      </c>
      <c r="G18" s="38">
        <f>IF(LEFT(VLOOKUP($B18,'Indicator chart'!$D$1:$J$36,7,FALSE),1)=" "," ",VLOOKUP($B18,'Indicator chart'!$D$1:$J$36,7,FALSE))</f>
        <v>1.329954681</v>
      </c>
      <c r="H18" s="50">
        <f>IF(LEFT(F18,1)=" ",4,IF(AND(ABS(N18-E18)&gt;SQRT((E18-G18)^2+(N18-R18)^2),E18&lt;N18),1,IF(AND(ABS(N18-E18)&gt;SQRT((E18-F18)^2+(N18-S18)^2),E18&gt;N18),3,2)))</f>
        <v>2</v>
      </c>
      <c r="I18" s="38">
        <v>0.5768538117408752</v>
      </c>
      <c r="J18" s="38"/>
      <c r="K18" s="38">
        <v>1</v>
      </c>
      <c r="L18" s="38"/>
      <c r="M18" s="38">
        <v>2.715984582901001</v>
      </c>
      <c r="N18" s="80">
        <v>1</v>
      </c>
      <c r="O18" s="80">
        <f>VLOOKUP('Hide - Control'!C$3,'All practice data'!A:CA,A18+29,FALSE)</f>
        <v>1</v>
      </c>
      <c r="P18" s="38">
        <f>VLOOKUP('Hide - Control'!$B$4,'All practice data'!B:BC,A18+2,FALSE)</f>
        <v>6523</v>
      </c>
      <c r="Q18" s="38">
        <f>VLOOKUP('Hide - Control'!$B$4,'All practice data'!B:BC,14,FALSE)</f>
        <v>6523</v>
      </c>
      <c r="R18" s="81">
        <v>1</v>
      </c>
      <c r="S18" s="38">
        <v>1</v>
      </c>
      <c r="T18" s="53">
        <f t="shared" si="19"/>
        <v>2.715984582901001</v>
      </c>
      <c r="U18" s="51">
        <f t="shared" si="20"/>
        <v>0.5768538117408752</v>
      </c>
      <c r="V18" s="7"/>
      <c r="W18" s="27">
        <f>IF((K18-I18)&gt;(M18-K18),I18,(K18-(M18-K18)))</f>
        <v>-0.715984582901001</v>
      </c>
      <c r="X18" s="27">
        <f t="shared" si="3"/>
        <v>2.715984582901001</v>
      </c>
      <c r="Y18" s="27">
        <f t="shared" si="4"/>
        <v>-0.715984582901001</v>
      </c>
      <c r="Z18" s="27">
        <f t="shared" si="5"/>
        <v>2.715984582901001</v>
      </c>
      <c r="AA18" s="32" t="s">
        <v>315</v>
      </c>
      <c r="AB18" s="33" t="s">
        <v>315</v>
      </c>
      <c r="AC18" s="33">
        <v>0.5</v>
      </c>
      <c r="AD18" s="33" t="s">
        <v>315</v>
      </c>
      <c r="AE18" s="33" t="s">
        <v>315</v>
      </c>
      <c r="AF18" s="33">
        <f t="shared" si="10"/>
        <v>-999</v>
      </c>
      <c r="AG18" s="33">
        <f t="shared" si="11"/>
        <v>0.5385073584917005</v>
      </c>
      <c r="AH18" s="33">
        <f t="shared" si="12"/>
        <v>-999</v>
      </c>
      <c r="AI18" s="34">
        <v>0.5</v>
      </c>
      <c r="AJ18" s="4">
        <v>14.538000971640056</v>
      </c>
      <c r="AK18" s="32">
        <f t="shared" si="14"/>
        <v>-999</v>
      </c>
      <c r="AL18" s="34">
        <f t="shared" si="15"/>
        <v>-999</v>
      </c>
      <c r="AY18" s="103" t="s">
        <v>105</v>
      </c>
      <c r="AZ18" s="103" t="s">
        <v>106</v>
      </c>
      <c r="BA18" s="103" t="s">
        <v>315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0.10135135135135136</v>
      </c>
      <c r="F19" s="38">
        <f>IF(LEFT(VLOOKUP($B19,'Indicator chart'!$D$1:$J$36,6,FALSE),1)=" "," ",VLOOKUP($B19,'Indicator chart'!$D$1:$J$36,6,FALSE))</f>
        <v>0.06238584514033463</v>
      </c>
      <c r="G19" s="38">
        <f>IF(LEFT(VLOOKUP($B19,'Indicator chart'!$D$1:$J$36,7,FALSE),1)=" "," ",VLOOKUP($B19,'Indicator chart'!$D$1:$J$36,7,FALSE))</f>
        <v>0.16048851867037336</v>
      </c>
      <c r="H19" s="50">
        <f t="shared" si="0"/>
        <v>2</v>
      </c>
      <c r="I19" s="38">
        <v>0.02070442959666252</v>
      </c>
      <c r="J19" s="38">
        <v>0.06394557654857635</v>
      </c>
      <c r="K19" s="38">
        <v>0.08474576473236084</v>
      </c>
      <c r="L19" s="38">
        <v>0.1062488853931427</v>
      </c>
      <c r="M19" s="38">
        <v>0.18666666746139526</v>
      </c>
      <c r="N19" s="80">
        <f>VLOOKUP('Hide - Control'!B$3,'All practice data'!A:CA,A19+29,FALSE)</f>
        <v>0.08508355051356738</v>
      </c>
      <c r="O19" s="80">
        <f>VLOOKUP('Hide - Control'!C$3,'All practice data'!A:CA,A19+29,FALSE)</f>
        <v>0.10919341638628717</v>
      </c>
      <c r="P19" s="38">
        <f>VLOOKUP('Hide - Control'!$B$4,'All practice data'!B:BC,A19+2,FALSE)</f>
        <v>555</v>
      </c>
      <c r="Q19" s="38">
        <f>VLOOKUP('Hide - Control'!$B$4,'All practice data'!B:BC,15,FALSE)</f>
        <v>6523</v>
      </c>
      <c r="R19" s="38">
        <f>+((2*P19+1.96^2-1.96*SQRT(1.96^2+4*P19*(1-P19/Q19)))/(2*(Q19+1.96^2)))</f>
        <v>0.07855446068520786</v>
      </c>
      <c r="S19" s="38">
        <f>+((2*P19+1.96^2+1.96*SQRT(1.96^2+4*P19*(1-P19/Q19)))/(2*(Q19+1.96^2)))</f>
        <v>0.09210106740360006</v>
      </c>
      <c r="T19" s="53">
        <f t="shared" si="19"/>
        <v>0.18666666746139526</v>
      </c>
      <c r="U19" s="51">
        <f t="shared" si="20"/>
        <v>0.02070442959666252</v>
      </c>
      <c r="V19" s="7"/>
      <c r="W19" s="27">
        <f t="shared" si="2"/>
        <v>-0.017175137996673584</v>
      </c>
      <c r="X19" s="27">
        <f t="shared" si="3"/>
        <v>0.18666666746139526</v>
      </c>
      <c r="Y19" s="27">
        <f t="shared" si="4"/>
        <v>-0.017175137996673584</v>
      </c>
      <c r="Z19" s="27">
        <f t="shared" si="5"/>
        <v>0.18666666746139526</v>
      </c>
      <c r="AA19" s="32">
        <f t="shared" si="6"/>
        <v>0.18582825788956278</v>
      </c>
      <c r="AB19" s="33">
        <f t="shared" si="7"/>
        <v>0.39795916427916855</v>
      </c>
      <c r="AC19" s="33">
        <v>0.5</v>
      </c>
      <c r="AD19" s="33">
        <f t="shared" si="8"/>
        <v>0.6054892572819424</v>
      </c>
      <c r="AE19" s="33">
        <f t="shared" si="9"/>
        <v>1</v>
      </c>
      <c r="AF19" s="33">
        <f t="shared" si="10"/>
        <v>-999</v>
      </c>
      <c r="AG19" s="33">
        <f t="shared" si="11"/>
        <v>0.5814631060673486</v>
      </c>
      <c r="AH19" s="33">
        <f t="shared" si="12"/>
        <v>-999</v>
      </c>
      <c r="AI19" s="34">
        <f t="shared" si="13"/>
        <v>0.6199344344453195</v>
      </c>
      <c r="AJ19" s="4">
        <v>15.61399639702198</v>
      </c>
      <c r="AK19" s="32">
        <f t="shared" si="14"/>
        <v>-999</v>
      </c>
      <c r="AL19" s="34">
        <f t="shared" si="15"/>
        <v>-999</v>
      </c>
      <c r="AY19" s="103" t="s">
        <v>270</v>
      </c>
      <c r="AZ19" s="103" t="s">
        <v>435</v>
      </c>
      <c r="BA19" s="103" t="s">
        <v>315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45</v>
      </c>
      <c r="E20" s="38">
        <f>IF(LEFT(VLOOKUP($B20,'Indicator chart'!$D$1:$J$36,5,FALSE),1)=" "," ",VLOOKUP($B20,'Indicator chart'!$D$1:$J$36,5,FALSE))</f>
        <v>0.3333333333333333</v>
      </c>
      <c r="F20" s="38">
        <f>IF(LEFT(VLOOKUP($B20,'Indicator chart'!$D$1:$J$36,6,FALSE),1)=" "," ",VLOOKUP($B20,'Indicator chart'!$D$1:$J$36,6,FALSE))</f>
        <v>0.21358692207276764</v>
      </c>
      <c r="G20" s="38">
        <f>IF(LEFT(VLOOKUP($B20,'Indicator chart'!$D$1:$J$36,7,FALSE),1)=" "," ",VLOOKUP($B20,'Indicator chart'!$D$1:$J$36,7,FALSE))</f>
        <v>0.47929783190744596</v>
      </c>
      <c r="H20" s="50">
        <f t="shared" si="0"/>
        <v>2</v>
      </c>
      <c r="I20" s="38">
        <v>0.09238772839307785</v>
      </c>
      <c r="J20" s="38">
        <v>0.3333333432674408</v>
      </c>
      <c r="K20" s="38">
        <v>0.45205479860305786</v>
      </c>
      <c r="L20" s="38">
        <v>0.5</v>
      </c>
      <c r="M20" s="38">
        <v>0.6285714507102966</v>
      </c>
      <c r="N20" s="80">
        <f>VLOOKUP('Hide - Control'!B$3,'All practice data'!A:CA,A20+29,FALSE)</f>
        <v>0.43359375</v>
      </c>
      <c r="O20" s="80">
        <f>VLOOKUP('Hide - Control'!C$3,'All practice data'!A:CA,A20+29,FALSE)</f>
        <v>0.4534552930810221</v>
      </c>
      <c r="P20" s="38">
        <f>VLOOKUP('Hide - Control'!$B$4,'All practice data'!B:BC,A20+1,FALSE)</f>
        <v>555</v>
      </c>
      <c r="Q20" s="38">
        <f>VLOOKUP('Hide - Control'!$B$4,'All practice data'!B:BC,A20+2,FALSE)</f>
        <v>1280</v>
      </c>
      <c r="R20" s="38">
        <f>+((2*P20+1.96^2-1.96*SQRT(1.96^2+4*P20*(1-P20/Q20)))/(2*(Q20+1.96^2)))</f>
        <v>0.4066832029756714</v>
      </c>
      <c r="S20" s="38">
        <f>+((2*P20+1.96^2+1.96*SQRT(1.96^2+4*P20*(1-P20/Q20)))/(2*(Q20+1.96^2)))</f>
        <v>0.4609017078108306</v>
      </c>
      <c r="T20" s="53">
        <f t="shared" si="19"/>
        <v>0.6285714507102966</v>
      </c>
      <c r="U20" s="51">
        <f t="shared" si="20"/>
        <v>0.09238772839307785</v>
      </c>
      <c r="V20" s="7"/>
      <c r="W20" s="27">
        <f t="shared" si="2"/>
        <v>0.09238772839307785</v>
      </c>
      <c r="X20" s="27">
        <f t="shared" si="3"/>
        <v>0.8117218688130379</v>
      </c>
      <c r="Y20" s="27">
        <f t="shared" si="4"/>
        <v>0.09238772839307785</v>
      </c>
      <c r="Z20" s="27">
        <f t="shared" si="5"/>
        <v>0.8117218688130379</v>
      </c>
      <c r="AA20" s="32">
        <f t="shared" si="6"/>
        <v>0</v>
      </c>
      <c r="AB20" s="33">
        <f t="shared" si="7"/>
        <v>0.3349564567221773</v>
      </c>
      <c r="AC20" s="33">
        <v>0.5</v>
      </c>
      <c r="AD20" s="33">
        <f t="shared" si="8"/>
        <v>0.5666521977796729</v>
      </c>
      <c r="AE20" s="33">
        <f t="shared" si="9"/>
        <v>0.7453889537401703</v>
      </c>
      <c r="AF20" s="33">
        <f t="shared" si="10"/>
        <v>-999</v>
      </c>
      <c r="AG20" s="33">
        <f t="shared" si="11"/>
        <v>0.3349564429120341</v>
      </c>
      <c r="AH20" s="33">
        <f t="shared" si="12"/>
        <v>-999</v>
      </c>
      <c r="AI20" s="34">
        <f t="shared" si="13"/>
        <v>0.5019469317515594</v>
      </c>
      <c r="AJ20" s="4">
        <v>16.689991822403904</v>
      </c>
      <c r="AK20" s="32">
        <f t="shared" si="14"/>
        <v>-999</v>
      </c>
      <c r="AL20" s="34">
        <f t="shared" si="15"/>
        <v>-999</v>
      </c>
      <c r="AY20" s="103" t="s">
        <v>211</v>
      </c>
      <c r="AZ20" s="103" t="s">
        <v>416</v>
      </c>
      <c r="BA20" s="103" t="s">
        <v>315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309.0087948657</v>
      </c>
      <c r="F21" s="38">
        <f>IF(LEFT(VLOOKUP($B21,'Indicator chart'!$D$1:$J$36,6,FALSE),1)=" "," ",VLOOKUP($B21,'Indicator chart'!$D$1:$J$36,6,FALSE))</f>
        <v>201.8019678170904</v>
      </c>
      <c r="G21" s="38">
        <f>IF(LEFT(VLOOKUP($B21,'Indicator chart'!$D$1:$J$36,7,FALSE),1)=" "," ",VLOOKUP($B21,'Indicator chart'!$D$1:$J$36,7,FALSE))</f>
        <v>452.79032062986494</v>
      </c>
      <c r="H21" s="50">
        <f t="shared" si="0"/>
        <v>2</v>
      </c>
      <c r="I21" s="38">
        <v>61.46357345581055</v>
      </c>
      <c r="J21" s="38">
        <v>225.57821655273438</v>
      </c>
      <c r="K21" s="38">
        <v>384.1788330078125</v>
      </c>
      <c r="L21" s="38">
        <v>444.8956604003906</v>
      </c>
      <c r="M21" s="38">
        <v>757.9522705078125</v>
      </c>
      <c r="N21" s="80">
        <f>VLOOKUP('Hide - Control'!B$3,'All practice data'!A:CA,A21+29,FALSE)</f>
        <v>354.6637935602381</v>
      </c>
      <c r="O21" s="80">
        <f>VLOOKUP('Hide - Control'!C$3,'All practice data'!A:CA,A21+29,FALSE)</f>
        <v>377.7293140102421</v>
      </c>
      <c r="P21" s="38">
        <f>VLOOKUP('Hide - Control'!$B$4,'All practice data'!B:BC,A21+2,FALSE)</f>
        <v>1004</v>
      </c>
      <c r="Q21" s="38">
        <f>VLOOKUP('Hide - Control'!$B$4,'All practice data'!B:BC,3,FALSE)</f>
        <v>283085</v>
      </c>
      <c r="R21" s="38">
        <f aca="true" t="shared" si="21" ref="R21:R27">100000*(P21*(1-1/(9*P21)-1.96/(3*SQRT(P21)))^3)/Q21</f>
        <v>333.0616456547641</v>
      </c>
      <c r="S21" s="38">
        <f aca="true" t="shared" si="22" ref="S21:S27">100000*((P21+1)*(1-1/(9*(P21+1))+1.96/(3*SQRT(P21+1)))^3)/Q21</f>
        <v>377.29924020608394</v>
      </c>
      <c r="T21" s="53">
        <f t="shared" si="19"/>
        <v>757.9522705078125</v>
      </c>
      <c r="U21" s="51">
        <f t="shared" si="20"/>
        <v>61.46357345581055</v>
      </c>
      <c r="V21" s="7"/>
      <c r="W21" s="27">
        <f t="shared" si="2"/>
        <v>10.4053955078125</v>
      </c>
      <c r="X21" s="27">
        <f t="shared" si="3"/>
        <v>757.9522705078125</v>
      </c>
      <c r="Y21" s="27">
        <f t="shared" si="4"/>
        <v>10.4053955078125</v>
      </c>
      <c r="Z21" s="27">
        <f t="shared" si="5"/>
        <v>757.9522705078125</v>
      </c>
      <c r="AA21" s="32">
        <f t="shared" si="6"/>
        <v>0.06830097169224077</v>
      </c>
      <c r="AB21" s="33">
        <f t="shared" si="7"/>
        <v>0.2878385667051606</v>
      </c>
      <c r="AC21" s="33">
        <v>0.5</v>
      </c>
      <c r="AD21" s="33">
        <f t="shared" si="8"/>
        <v>0.5812214316227035</v>
      </c>
      <c r="AE21" s="33">
        <f t="shared" si="9"/>
        <v>1</v>
      </c>
      <c r="AF21" s="33">
        <f t="shared" si="10"/>
        <v>-999</v>
      </c>
      <c r="AG21" s="33">
        <f t="shared" si="11"/>
        <v>0.39944438180935143</v>
      </c>
      <c r="AH21" s="33">
        <f t="shared" si="12"/>
        <v>-999</v>
      </c>
      <c r="AI21" s="34">
        <f t="shared" si="13"/>
        <v>0.49137242196675573</v>
      </c>
      <c r="AJ21" s="4">
        <v>17.765987247785823</v>
      </c>
      <c r="AK21" s="32">
        <f t="shared" si="14"/>
        <v>-999</v>
      </c>
      <c r="AL21" s="34">
        <f t="shared" si="15"/>
        <v>-999</v>
      </c>
      <c r="AY21" s="103" t="s">
        <v>123</v>
      </c>
      <c r="AZ21" s="103" t="s">
        <v>390</v>
      </c>
      <c r="BA21" s="103" t="s">
        <v>315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190.15925837889233</v>
      </c>
      <c r="F22" s="38">
        <f>IF(LEFT(VLOOKUP($B22,'Indicator chart'!$D$1:$J$36,6,FALSE),1)=" "," ",VLOOKUP($B22,'Indicator chart'!$D$1:$J$36,6,FALSE))</f>
        <v>108.6214611409295</v>
      </c>
      <c r="G22" s="38">
        <f>IF(LEFT(VLOOKUP($B22,'Indicator chart'!$D$1:$J$36,7,FALSE),1)=" "," ",VLOOKUP($B22,'Indicator chart'!$D$1:$J$36,7,FALSE))</f>
        <v>308.8261853512229</v>
      </c>
      <c r="H22" s="50">
        <f t="shared" si="0"/>
        <v>1</v>
      </c>
      <c r="I22" s="38">
        <v>18.07059669494629</v>
      </c>
      <c r="J22" s="38">
        <v>222.56338500976562</v>
      </c>
      <c r="K22" s="38">
        <v>311.2840576171875</v>
      </c>
      <c r="L22" s="38">
        <v>360.3579406738281</v>
      </c>
      <c r="M22" s="38">
        <v>740.9518432617188</v>
      </c>
      <c r="N22" s="80">
        <f>VLOOKUP('Hide - Control'!B$3,'All practice data'!A:CA,A22+29,FALSE)</f>
        <v>315.09970503559003</v>
      </c>
      <c r="O22" s="80">
        <f>VLOOKUP('Hide - Control'!C$3,'All practice data'!A:CA,A22+29,FALSE)</f>
        <v>282.45290788403287</v>
      </c>
      <c r="P22" s="38">
        <f>VLOOKUP('Hide - Control'!$B$4,'All practice data'!B:BC,A22+2,FALSE)</f>
        <v>892</v>
      </c>
      <c r="Q22" s="38">
        <f>VLOOKUP('Hide - Control'!$B$4,'All practice data'!B:BC,3,FALSE)</f>
        <v>283085</v>
      </c>
      <c r="R22" s="38">
        <f t="shared" si="21"/>
        <v>294.7574911902447</v>
      </c>
      <c r="S22" s="38">
        <f t="shared" si="22"/>
        <v>336.47587360371415</v>
      </c>
      <c r="T22" s="53">
        <f t="shared" si="19"/>
        <v>740.9518432617188</v>
      </c>
      <c r="U22" s="51">
        <f t="shared" si="20"/>
        <v>18.07059669494629</v>
      </c>
      <c r="V22" s="7"/>
      <c r="W22" s="27">
        <f t="shared" si="2"/>
        <v>-118.38372802734375</v>
      </c>
      <c r="X22" s="27">
        <f t="shared" si="3"/>
        <v>740.9518432617188</v>
      </c>
      <c r="Y22" s="27">
        <f t="shared" si="4"/>
        <v>-118.38372802734375</v>
      </c>
      <c r="Z22" s="27">
        <f t="shared" si="5"/>
        <v>740.9518432617188</v>
      </c>
      <c r="AA22" s="32">
        <f t="shared" si="6"/>
        <v>0.1587904996386908</v>
      </c>
      <c r="AB22" s="33">
        <f t="shared" si="7"/>
        <v>0.39675666227299916</v>
      </c>
      <c r="AC22" s="33">
        <v>0.5</v>
      </c>
      <c r="AD22" s="33">
        <f t="shared" si="8"/>
        <v>0.5571067749273155</v>
      </c>
      <c r="AE22" s="33">
        <f t="shared" si="9"/>
        <v>1</v>
      </c>
      <c r="AF22" s="33">
        <f t="shared" si="10"/>
        <v>-999</v>
      </c>
      <c r="AG22" s="33">
        <f t="shared" si="11"/>
        <v>-999</v>
      </c>
      <c r="AH22" s="33">
        <f t="shared" si="12"/>
        <v>0.35904831210862176</v>
      </c>
      <c r="AI22" s="34">
        <f t="shared" si="13"/>
        <v>0.46644948644461914</v>
      </c>
      <c r="AJ22" s="4">
        <v>18.841982673167745</v>
      </c>
      <c r="AK22" s="32">
        <f t="shared" si="14"/>
        <v>0.35904831210862176</v>
      </c>
      <c r="AL22" s="34">
        <f t="shared" si="15"/>
        <v>-999</v>
      </c>
      <c r="AY22" s="103" t="s">
        <v>149</v>
      </c>
      <c r="AZ22" s="103" t="s">
        <v>400</v>
      </c>
      <c r="BA22" s="103" t="s">
        <v>315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95.07962918944617</v>
      </c>
      <c r="F23" s="38">
        <f>IF(LEFT(VLOOKUP($B23,'Indicator chart'!$D$1:$J$36,6,FALSE),1)=" "," ",VLOOKUP($B23,'Indicator chart'!$D$1:$J$36,6,FALSE))</f>
        <v>40.939298355832115</v>
      </c>
      <c r="G23" s="38">
        <f>IF(LEFT(VLOOKUP($B23,'Indicator chart'!$D$1:$J$36,7,FALSE),1)=" "," ",VLOOKUP($B23,'Indicator chart'!$D$1:$J$36,7,FALSE))</f>
        <v>187.3562811027007</v>
      </c>
      <c r="H23" s="50">
        <f t="shared" si="0"/>
        <v>2</v>
      </c>
      <c r="I23" s="38">
        <v>3.248678207397461</v>
      </c>
      <c r="J23" s="38">
        <v>34.02328109741211</v>
      </c>
      <c r="K23" s="38">
        <v>68.17960357666016</v>
      </c>
      <c r="L23" s="38">
        <v>98.6334457397461</v>
      </c>
      <c r="M23" s="38">
        <v>213.73611450195312</v>
      </c>
      <c r="N23" s="80">
        <f>VLOOKUP('Hide - Control'!B$3,'All practice data'!A:CA,A23+29,FALSE)</f>
        <v>75.94891993570836</v>
      </c>
      <c r="O23" s="80">
        <f>VLOOKUP('Hide - Control'!C$3,'All practice data'!A:CA,A23+29,FALSE)</f>
        <v>70.46674929228394</v>
      </c>
      <c r="P23" s="38">
        <f>VLOOKUP('Hide - Control'!$B$4,'All practice data'!B:BC,A23+2,FALSE)</f>
        <v>215</v>
      </c>
      <c r="Q23" s="38">
        <f>VLOOKUP('Hide - Control'!$B$4,'All practice data'!B:BC,3,FALSE)</f>
        <v>283085</v>
      </c>
      <c r="R23" s="38">
        <f t="shared" si="21"/>
        <v>66.13495842958186</v>
      </c>
      <c r="S23" s="38">
        <f t="shared" si="22"/>
        <v>86.80857648392906</v>
      </c>
      <c r="T23" s="53">
        <f t="shared" si="19"/>
        <v>213.73611450195312</v>
      </c>
      <c r="U23" s="51">
        <f t="shared" si="20"/>
        <v>3.248678207397461</v>
      </c>
      <c r="V23" s="7"/>
      <c r="W23" s="27">
        <f t="shared" si="2"/>
        <v>-77.37690734863281</v>
      </c>
      <c r="X23" s="27">
        <f t="shared" si="3"/>
        <v>213.73611450195312</v>
      </c>
      <c r="Y23" s="27">
        <f t="shared" si="4"/>
        <v>-77.37690734863281</v>
      </c>
      <c r="Z23" s="27">
        <f t="shared" si="5"/>
        <v>213.73611450195312</v>
      </c>
      <c r="AA23" s="32">
        <f t="shared" si="6"/>
        <v>0.2769563004894073</v>
      </c>
      <c r="AB23" s="33">
        <f t="shared" si="7"/>
        <v>0.3826698913634347</v>
      </c>
      <c r="AC23" s="33">
        <v>0.5</v>
      </c>
      <c r="AD23" s="33">
        <f t="shared" si="8"/>
        <v>0.6046117482807636</v>
      </c>
      <c r="AE23" s="33">
        <f t="shared" si="9"/>
        <v>1</v>
      </c>
      <c r="AF23" s="33">
        <f t="shared" si="10"/>
        <v>-999</v>
      </c>
      <c r="AG23" s="33">
        <f t="shared" si="11"/>
        <v>0.5924040616314047</v>
      </c>
      <c r="AH23" s="33">
        <f t="shared" si="12"/>
        <v>-999</v>
      </c>
      <c r="AI23" s="34">
        <f t="shared" si="13"/>
        <v>0.5078565558527219</v>
      </c>
      <c r="AJ23" s="4">
        <v>19.917978098549675</v>
      </c>
      <c r="AK23" s="32">
        <f t="shared" si="14"/>
        <v>-999</v>
      </c>
      <c r="AL23" s="34">
        <f t="shared" si="15"/>
        <v>-999</v>
      </c>
      <c r="AY23" s="103" t="s">
        <v>264</v>
      </c>
      <c r="AZ23" s="103" t="s">
        <v>265</v>
      </c>
      <c r="BA23" s="103" t="s">
        <v>315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154.50439743285</v>
      </c>
      <c r="F24" s="38">
        <f>IF(LEFT(VLOOKUP($B24,'Indicator chart'!$D$1:$J$36,6,FALSE),1)=" "," ",VLOOKUP($B24,'Indicator chart'!$D$1:$J$36,6,FALSE))</f>
        <v>82.18630488785985</v>
      </c>
      <c r="G24" s="38">
        <f>IF(LEFT(VLOOKUP($B24,'Indicator chart'!$D$1:$J$36,7,FALSE),1)=" "," ",VLOOKUP($B24,'Indicator chart'!$D$1:$J$36,7,FALSE))</f>
        <v>264.225224997057</v>
      </c>
      <c r="H24" s="50">
        <f t="shared" si="0"/>
        <v>1</v>
      </c>
      <c r="I24" s="38">
        <v>27.3076171875</v>
      </c>
      <c r="J24" s="38">
        <v>219.0202178955078</v>
      </c>
      <c r="K24" s="38">
        <v>381.79754638671875</v>
      </c>
      <c r="L24" s="38">
        <v>525.06494140625</v>
      </c>
      <c r="M24" s="38">
        <v>996.7584838867188</v>
      </c>
      <c r="N24" s="80">
        <f>VLOOKUP('Hide - Control'!B$3,'All practice data'!A:CA,A24+29,FALSE)</f>
        <v>432.7322182383383</v>
      </c>
      <c r="O24" s="80">
        <f>VLOOKUP('Hide - Control'!C$3,'All practice data'!A:CA,A24+29,FALSE)</f>
        <v>323.23046266988894</v>
      </c>
      <c r="P24" s="38">
        <f>VLOOKUP('Hide - Control'!$B$4,'All practice data'!B:BC,A24+2,FALSE)</f>
        <v>1225</v>
      </c>
      <c r="Q24" s="38">
        <f>VLOOKUP('Hide - Control'!$B$4,'All practice data'!B:BC,3,FALSE)</f>
        <v>283085</v>
      </c>
      <c r="R24" s="38">
        <f t="shared" si="21"/>
        <v>408.8353640081112</v>
      </c>
      <c r="S24" s="38">
        <f t="shared" si="22"/>
        <v>457.6613505313522</v>
      </c>
      <c r="T24" s="53">
        <f t="shared" si="19"/>
        <v>996.7584838867188</v>
      </c>
      <c r="U24" s="51">
        <f t="shared" si="20"/>
        <v>27.3076171875</v>
      </c>
      <c r="V24" s="7"/>
      <c r="W24" s="27">
        <f t="shared" si="2"/>
        <v>-233.16339111328125</v>
      </c>
      <c r="X24" s="27">
        <f t="shared" si="3"/>
        <v>996.7584838867188</v>
      </c>
      <c r="Y24" s="27">
        <f t="shared" si="4"/>
        <v>-233.16339111328125</v>
      </c>
      <c r="Z24" s="27">
        <f t="shared" si="5"/>
        <v>996.7584838867188</v>
      </c>
      <c r="AA24" s="32">
        <f t="shared" si="6"/>
        <v>0.21177849877723431</v>
      </c>
      <c r="AB24" s="33">
        <f t="shared" si="7"/>
        <v>0.3676523023129327</v>
      </c>
      <c r="AC24" s="33">
        <v>0.5</v>
      </c>
      <c r="AD24" s="33">
        <f t="shared" si="8"/>
        <v>0.616484955615194</v>
      </c>
      <c r="AE24" s="33">
        <f t="shared" si="9"/>
        <v>1</v>
      </c>
      <c r="AF24" s="33">
        <f t="shared" si="10"/>
        <v>-999</v>
      </c>
      <c r="AG24" s="33">
        <f t="shared" si="11"/>
        <v>-999</v>
      </c>
      <c r="AH24" s="33">
        <f t="shared" si="12"/>
        <v>0.31519708399863305</v>
      </c>
      <c r="AI24" s="34">
        <f t="shared" si="13"/>
        <v>0.4523814602315047</v>
      </c>
      <c r="AJ24" s="4">
        <v>20.99397352393159</v>
      </c>
      <c r="AK24" s="32">
        <f t="shared" si="14"/>
        <v>0.31519708399863305</v>
      </c>
      <c r="AL24" s="34">
        <f t="shared" si="15"/>
        <v>-999</v>
      </c>
      <c r="AY24" s="103" t="s">
        <v>65</v>
      </c>
      <c r="AZ24" s="103" t="s">
        <v>66</v>
      </c>
      <c r="BA24" s="103" t="s">
        <v>496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58</v>
      </c>
      <c r="E25" s="38">
        <f>IF(LEFT(VLOOKUP($B25,'Indicator chart'!$D$1:$J$36,5,FALSE),1)=" "," ",VLOOKUP($B25,'Indicator chart'!$D$1:$J$36,5,FALSE))</f>
        <v>689.3273116234847</v>
      </c>
      <c r="F25" s="38">
        <f>IF(LEFT(VLOOKUP($B25,'Indicator chart'!$D$1:$J$36,6,FALSE),1)=" "," ",VLOOKUP($B25,'Indicator chart'!$D$1:$J$36,6,FALSE))</f>
        <v>523.401337795754</v>
      </c>
      <c r="G25" s="38">
        <f>IF(LEFT(VLOOKUP($B25,'Indicator chart'!$D$1:$J$36,7,FALSE),1)=" "," ",VLOOKUP($B25,'Indicator chart'!$D$1:$J$36,7,FALSE))</f>
        <v>891.1352075308296</v>
      </c>
      <c r="H25" s="50">
        <f t="shared" si="0"/>
        <v>2</v>
      </c>
      <c r="I25" s="38">
        <v>181.7263946533203</v>
      </c>
      <c r="J25" s="38">
        <v>548.9403686523438</v>
      </c>
      <c r="K25" s="38">
        <v>634.7593994140625</v>
      </c>
      <c r="L25" s="38">
        <v>780.0358276367188</v>
      </c>
      <c r="M25" s="38">
        <v>1082.8153076171875</v>
      </c>
      <c r="N25" s="80">
        <f>VLOOKUP('Hide - Control'!B$3,'All practice data'!A:CA,A25+29,FALSE)</f>
        <v>649.9814543335041</v>
      </c>
      <c r="O25" s="80">
        <f>VLOOKUP('Hide - Control'!C$3,'All practice data'!A:CA,A25+29,FALSE)</f>
        <v>562.6134400960308</v>
      </c>
      <c r="P25" s="38">
        <f>VLOOKUP('Hide - Control'!$B$4,'All practice data'!B:BC,A25+2,FALSE)</f>
        <v>1840</v>
      </c>
      <c r="Q25" s="38">
        <f>VLOOKUP('Hide - Control'!$B$4,'All practice data'!B:BC,3,FALSE)</f>
        <v>283085</v>
      </c>
      <c r="R25" s="38">
        <f t="shared" si="21"/>
        <v>620.6178927513399</v>
      </c>
      <c r="S25" s="38">
        <f t="shared" si="22"/>
        <v>680.3754943552085</v>
      </c>
      <c r="T25" s="53">
        <f t="shared" si="19"/>
        <v>1082.8153076171875</v>
      </c>
      <c r="U25" s="51">
        <f t="shared" si="20"/>
        <v>181.7263946533203</v>
      </c>
      <c r="V25" s="7"/>
      <c r="W25" s="27">
        <f t="shared" si="2"/>
        <v>181.7263946533203</v>
      </c>
      <c r="X25" s="27">
        <f t="shared" si="3"/>
        <v>1087.7924041748047</v>
      </c>
      <c r="Y25" s="27">
        <f t="shared" si="4"/>
        <v>181.7263946533203</v>
      </c>
      <c r="Z25" s="27">
        <f t="shared" si="5"/>
        <v>1087.7924041748047</v>
      </c>
      <c r="AA25" s="32">
        <f t="shared" si="6"/>
        <v>0</v>
      </c>
      <c r="AB25" s="33">
        <f t="shared" si="7"/>
        <v>0.4052839088323798</v>
      </c>
      <c r="AC25" s="33">
        <v>0.5</v>
      </c>
      <c r="AD25" s="33">
        <f t="shared" si="8"/>
        <v>0.6603375766180438</v>
      </c>
      <c r="AE25" s="33">
        <f t="shared" si="9"/>
        <v>0.9945069161569744</v>
      </c>
      <c r="AF25" s="33">
        <f t="shared" si="10"/>
        <v>-999</v>
      </c>
      <c r="AG25" s="33">
        <f t="shared" si="11"/>
        <v>0.5602250957832982</v>
      </c>
      <c r="AH25" s="33">
        <f t="shared" si="12"/>
        <v>-999</v>
      </c>
      <c r="AI25" s="34">
        <f t="shared" si="13"/>
        <v>0.4203744996944166</v>
      </c>
      <c r="AJ25" s="4">
        <v>22.06996894931352</v>
      </c>
      <c r="AK25" s="32">
        <f t="shared" si="14"/>
        <v>-999</v>
      </c>
      <c r="AL25" s="34">
        <f t="shared" si="15"/>
        <v>-999</v>
      </c>
      <c r="AY25" s="103" t="s">
        <v>257</v>
      </c>
      <c r="AZ25" s="103" t="s">
        <v>258</v>
      </c>
      <c r="BA25" s="103" t="s">
        <v>496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72</v>
      </c>
      <c r="E26" s="38">
        <f>IF(LEFT(VLOOKUP($B26,'Indicator chart'!$D$1:$J$36,5,FALSE),1)=" "," ",VLOOKUP($B26,'Indicator chart'!$D$1:$J$36,5,FALSE))</f>
        <v>855.7166627050154</v>
      </c>
      <c r="F26" s="38">
        <f>IF(LEFT(VLOOKUP($B26,'Indicator chart'!$D$1:$J$36,6,FALSE),1)=" "," ",VLOOKUP($B26,'Indicator chart'!$D$1:$J$36,6,FALSE))</f>
        <v>669.5152397846242</v>
      </c>
      <c r="G26" s="38">
        <f>IF(LEFT(VLOOKUP($B26,'Indicator chart'!$D$1:$J$36,7,FALSE),1)=" "," ",VLOOKUP($B26,'Indicator chart'!$D$1:$J$36,7,FALSE))</f>
        <v>1077.6527895995778</v>
      </c>
      <c r="H26" s="50">
        <f t="shared" si="0"/>
        <v>3</v>
      </c>
      <c r="I26" s="38">
        <v>112.1823501586914</v>
      </c>
      <c r="J26" s="38">
        <v>455.1059265136719</v>
      </c>
      <c r="K26" s="38">
        <v>614.413818359375</v>
      </c>
      <c r="L26" s="38">
        <v>763.0884399414062</v>
      </c>
      <c r="M26" s="38">
        <v>1028.310302734375</v>
      </c>
      <c r="N26" s="80">
        <f>VLOOKUP('Hide - Control'!B$3,'All practice data'!A:CA,A26+29,FALSE)</f>
        <v>602.2925976296872</v>
      </c>
      <c r="O26" s="80">
        <f>VLOOKUP('Hide - Control'!C$3,'All practice data'!A:CA,A26+29,FALSE)</f>
        <v>405.57105879375996</v>
      </c>
      <c r="P26" s="38">
        <f>VLOOKUP('Hide - Control'!$B$4,'All practice data'!B:BC,A26+2,FALSE)</f>
        <v>1705</v>
      </c>
      <c r="Q26" s="38">
        <f>VLOOKUP('Hide - Control'!$B$4,'All practice data'!B:BC,3,FALSE)</f>
        <v>283085</v>
      </c>
      <c r="R26" s="38">
        <f t="shared" si="21"/>
        <v>574.0393546220536</v>
      </c>
      <c r="S26" s="38">
        <f t="shared" si="22"/>
        <v>631.5766292092525</v>
      </c>
      <c r="T26" s="53">
        <f t="shared" si="19"/>
        <v>1028.310302734375</v>
      </c>
      <c r="U26" s="51">
        <f t="shared" si="20"/>
        <v>112.1823501586914</v>
      </c>
      <c r="V26" s="7"/>
      <c r="W26" s="27">
        <f t="shared" si="2"/>
        <v>112.1823501586914</v>
      </c>
      <c r="X26" s="27">
        <f t="shared" si="3"/>
        <v>1116.6452865600586</v>
      </c>
      <c r="Y26" s="27">
        <f t="shared" si="4"/>
        <v>112.1823501586914</v>
      </c>
      <c r="Z26" s="27">
        <f t="shared" si="5"/>
        <v>1116.6452865600586</v>
      </c>
      <c r="AA26" s="32">
        <f t="shared" si="6"/>
        <v>0</v>
      </c>
      <c r="AB26" s="33">
        <f t="shared" si="7"/>
        <v>0.3413999301791597</v>
      </c>
      <c r="AC26" s="33">
        <v>0.5</v>
      </c>
      <c r="AD26" s="33">
        <f t="shared" si="8"/>
        <v>0.648014044315741</v>
      </c>
      <c r="AE26" s="33">
        <f t="shared" si="9"/>
        <v>0.912057497967863</v>
      </c>
      <c r="AF26" s="33">
        <f t="shared" si="10"/>
        <v>-999</v>
      </c>
      <c r="AG26" s="33">
        <f t="shared" si="11"/>
        <v>-999</v>
      </c>
      <c r="AH26" s="33">
        <f t="shared" si="12"/>
        <v>0.7402307099654095</v>
      </c>
      <c r="AI26" s="34">
        <f t="shared" si="13"/>
        <v>0.29208515118156153</v>
      </c>
      <c r="AJ26" s="4">
        <v>23.145964374695435</v>
      </c>
      <c r="AK26" s="32">
        <f t="shared" si="14"/>
        <v>-999</v>
      </c>
      <c r="AL26" s="34">
        <f t="shared" si="15"/>
        <v>0.7402307099654095</v>
      </c>
      <c r="AY26" s="103" t="s">
        <v>120</v>
      </c>
      <c r="AZ26" s="103" t="s">
        <v>389</v>
      </c>
      <c r="BA26" s="103" t="s">
        <v>315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119</v>
      </c>
      <c r="E27" s="38">
        <f>IF(LEFT(VLOOKUP($B27,'Indicator chart'!$D$1:$J$36,5,FALSE),1)=" "," ",VLOOKUP($B27,'Indicator chart'!$D$1:$J$36,5,FALSE))</f>
        <v>1414.3094841930117</v>
      </c>
      <c r="F27" s="38">
        <f>IF(LEFT(VLOOKUP($B27,'Indicator chart'!$D$1:$J$36,6,FALSE),1)=" "," ",VLOOKUP($B27,'Indicator chart'!$D$1:$J$36,6,FALSE))</f>
        <v>1171.6137900677265</v>
      </c>
      <c r="G27" s="38">
        <f>IF(LEFT(VLOOKUP($B27,'Indicator chart'!$D$1:$J$36,7,FALSE),1)=" "," ",VLOOKUP($B27,'Indicator chart'!$D$1:$J$36,7,FALSE))</f>
        <v>1692.4502295727164</v>
      </c>
      <c r="H27" s="50">
        <f t="shared" si="0"/>
        <v>2</v>
      </c>
      <c r="I27" s="38">
        <v>373.5487060546875</v>
      </c>
      <c r="J27" s="38">
        <v>1241.4168701171875</v>
      </c>
      <c r="K27" s="38">
        <v>1606.56591796875</v>
      </c>
      <c r="L27" s="38">
        <v>2000.5262451171875</v>
      </c>
      <c r="M27" s="38">
        <v>3134.796142578125</v>
      </c>
      <c r="N27" s="80">
        <f>VLOOKUP('Hide - Control'!B$3,'All practice data'!A:CA,A27+29,FALSE)</f>
        <v>1631.6654008513344</v>
      </c>
      <c r="O27" s="80">
        <f>VLOOKUP('Hide - Control'!C$3,'All practice data'!A:CA,A27+29,FALSE)</f>
        <v>1059.3522061277838</v>
      </c>
      <c r="P27" s="38">
        <f>VLOOKUP('Hide - Control'!$B$4,'All practice data'!B:BC,A27+2,FALSE)</f>
        <v>4619</v>
      </c>
      <c r="Q27" s="38">
        <f>VLOOKUP('Hide - Control'!$B$4,'All practice data'!B:BC,3,FALSE)</f>
        <v>283085</v>
      </c>
      <c r="R27" s="38">
        <f t="shared" si="21"/>
        <v>1584.9450026926363</v>
      </c>
      <c r="S27" s="38">
        <f t="shared" si="22"/>
        <v>1679.4133255361858</v>
      </c>
      <c r="T27" s="53">
        <f t="shared" si="19"/>
        <v>3134.796142578125</v>
      </c>
      <c r="U27" s="51">
        <f t="shared" si="20"/>
        <v>373.5487060546875</v>
      </c>
      <c r="V27" s="7"/>
      <c r="W27" s="27">
        <f t="shared" si="2"/>
        <v>78.335693359375</v>
      </c>
      <c r="X27" s="27">
        <f t="shared" si="3"/>
        <v>3134.796142578125</v>
      </c>
      <c r="Y27" s="27">
        <f t="shared" si="4"/>
        <v>78.335693359375</v>
      </c>
      <c r="Z27" s="27">
        <f t="shared" si="5"/>
        <v>3134.796142578125</v>
      </c>
      <c r="AA27" s="32">
        <f t="shared" si="6"/>
        <v>0.09658656396838727</v>
      </c>
      <c r="AB27" s="33">
        <f t="shared" si="7"/>
        <v>0.3805320553240279</v>
      </c>
      <c r="AC27" s="33">
        <v>0.5</v>
      </c>
      <c r="AD27" s="33">
        <f t="shared" si="8"/>
        <v>0.6288942990409498</v>
      </c>
      <c r="AE27" s="33">
        <f t="shared" si="9"/>
        <v>1</v>
      </c>
      <c r="AF27" s="33">
        <f t="shared" si="10"/>
        <v>-999</v>
      </c>
      <c r="AG27" s="33">
        <f t="shared" si="11"/>
        <v>0.43709834072124826</v>
      </c>
      <c r="AH27" s="33">
        <f t="shared" si="12"/>
        <v>-999</v>
      </c>
      <c r="AI27" s="34">
        <f t="shared" si="13"/>
        <v>0.32096489683652296</v>
      </c>
      <c r="AJ27" s="4">
        <v>24.221959800077364</v>
      </c>
      <c r="AK27" s="32">
        <f t="shared" si="14"/>
        <v>-999</v>
      </c>
      <c r="AL27" s="34">
        <f t="shared" si="15"/>
        <v>-999</v>
      </c>
      <c r="AY27" s="103" t="s">
        <v>115</v>
      </c>
      <c r="AZ27" s="103" t="s">
        <v>388</v>
      </c>
      <c r="BA27" s="103" t="s">
        <v>496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831.9467554076539</v>
      </c>
      <c r="F28" s="38">
        <f>IF(LEFT(VLOOKUP($B28,'Indicator chart'!$D$1:$J$36,6,FALSE),1)=" "," ",VLOOKUP($B28,'Indicator chart'!$D$1:$J$36,6,FALSE))</f>
        <v>648.5125468696475</v>
      </c>
      <c r="G28" s="38">
        <f>IF(LEFT(VLOOKUP($B28,'Indicator chart'!$D$1:$J$36,7,FALSE),1)=" "," ",VLOOKUP($B28,'Indicator chart'!$D$1:$J$36,7,FALSE))</f>
        <v>1051.1340202255635</v>
      </c>
      <c r="H28" s="50">
        <f t="shared" si="0"/>
        <v>3</v>
      </c>
      <c r="I28" s="38">
        <v>70.67137908935547</v>
      </c>
      <c r="J28" s="38">
        <v>530.1134643554688</v>
      </c>
      <c r="K28" s="38">
        <v>670.9741821289062</v>
      </c>
      <c r="L28" s="38">
        <v>756.4791870117188</v>
      </c>
      <c r="M28" s="38">
        <v>1088.869384765625</v>
      </c>
      <c r="N28" s="80">
        <f>VLOOKUP('Hide - Control'!B$3,'All practice data'!A:CA,A28+29,FALSE)</f>
        <v>612.1836197608492</v>
      </c>
      <c r="O28" s="80">
        <f>VLOOKUP('Hide - Control'!C$3,'All practice data'!A:CA,A28+29,FALSE)</f>
        <v>582.9390489900089</v>
      </c>
      <c r="P28" s="38">
        <f>VLOOKUP('Hide - Control'!$B$4,'All practice data'!B:BC,A28+2,FALSE)</f>
        <v>1733</v>
      </c>
      <c r="Q28" s="38">
        <f>VLOOKUP('Hide - Control'!$B$4,'All practice data'!B:BC,3,FALSE)</f>
        <v>283085</v>
      </c>
      <c r="R28" s="38">
        <f>100000*(P28*(1-1/(9*P28)-1.96/(3*SQRT(P28)))^3)/Q28</f>
        <v>583.6965724777162</v>
      </c>
      <c r="S28" s="38">
        <f>100000*((P28+1)*(1-1/(9*(P28+1))+1.96/(3*SQRT(P28+1)))^3)/Q28</f>
        <v>641.7013883352103</v>
      </c>
      <c r="T28" s="53">
        <f t="shared" si="19"/>
        <v>1088.869384765625</v>
      </c>
      <c r="U28" s="51">
        <f t="shared" si="20"/>
        <v>70.67137908935547</v>
      </c>
      <c r="V28" s="7"/>
      <c r="W28" s="27">
        <f t="shared" si="2"/>
        <v>70.67137908935547</v>
      </c>
      <c r="X28" s="27">
        <f t="shared" si="3"/>
        <v>1271.276985168457</v>
      </c>
      <c r="Y28" s="27">
        <f t="shared" si="4"/>
        <v>70.67137908935547</v>
      </c>
      <c r="Z28" s="27">
        <f t="shared" si="5"/>
        <v>1271.276985168457</v>
      </c>
      <c r="AA28" s="32">
        <f t="shared" si="6"/>
        <v>0</v>
      </c>
      <c r="AB28" s="33">
        <f t="shared" si="7"/>
        <v>0.38267527899236137</v>
      </c>
      <c r="AC28" s="33">
        <v>0.5</v>
      </c>
      <c r="AD28" s="33">
        <f t="shared" si="8"/>
        <v>0.5712182289087021</v>
      </c>
      <c r="AE28" s="33">
        <f t="shared" si="9"/>
        <v>0.8480703409352445</v>
      </c>
      <c r="AF28" s="33">
        <f t="shared" si="10"/>
        <v>-999</v>
      </c>
      <c r="AG28" s="33">
        <f t="shared" si="11"/>
        <v>-999</v>
      </c>
      <c r="AH28" s="33">
        <f t="shared" si="12"/>
        <v>0.6340761466244078</v>
      </c>
      <c r="AI28" s="34">
        <f t="shared" si="13"/>
        <v>0.42667439441133415</v>
      </c>
      <c r="AJ28" s="4">
        <v>25.297955225459287</v>
      </c>
      <c r="AK28" s="32">
        <f t="shared" si="14"/>
        <v>-999</v>
      </c>
      <c r="AL28" s="34">
        <f t="shared" si="15"/>
        <v>0.6340761466244078</v>
      </c>
      <c r="AY28" s="103" t="s">
        <v>241</v>
      </c>
      <c r="AZ28" s="103" t="s">
        <v>242</v>
      </c>
      <c r="BA28" s="103" t="s">
        <v>496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391</v>
      </c>
      <c r="BA29" s="103" t="s">
        <v>315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412</v>
      </c>
      <c r="BA31" s="103" t="s">
        <v>315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371</v>
      </c>
      <c r="BA32" s="103" t="s">
        <v>315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436</v>
      </c>
      <c r="BA33" s="103" t="s">
        <v>496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315</v>
      </c>
      <c r="BB34" s="10">
        <v>532801</v>
      </c>
      <c r="BE34" s="77"/>
      <c r="BF34" s="253"/>
    </row>
    <row r="35" spans="2:58" ht="12.75">
      <c r="B35" s="17" t="s">
        <v>41</v>
      </c>
      <c r="C35" s="18"/>
      <c r="H35" s="290" t="s">
        <v>547</v>
      </c>
      <c r="I35" s="291"/>
      <c r="Y35" s="43"/>
      <c r="Z35" s="44"/>
      <c r="AA35" s="44"/>
      <c r="AB35" s="43"/>
      <c r="AC35" s="43"/>
      <c r="AY35" s="103" t="s">
        <v>159</v>
      </c>
      <c r="AZ35" s="103" t="s">
        <v>404</v>
      </c>
      <c r="BA35" s="103" t="s">
        <v>315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393</v>
      </c>
      <c r="BA36" s="103" t="s">
        <v>315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410</v>
      </c>
      <c r="BA37" s="103" t="s">
        <v>315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315</v>
      </c>
      <c r="BB40" s="10">
        <v>714731</v>
      </c>
      <c r="BF40" s="252"/>
    </row>
    <row r="41" spans="1:58" ht="12.75">
      <c r="A41" s="3"/>
      <c r="B41" s="71"/>
      <c r="C41" s="3"/>
      <c r="T41" s="13"/>
      <c r="U41" s="2"/>
      <c r="W41" s="2"/>
      <c r="X41" s="10"/>
      <c r="Y41" s="44"/>
      <c r="Z41" s="44"/>
      <c r="AA41" s="44"/>
      <c r="AB41" s="44"/>
      <c r="AC41" s="44"/>
      <c r="AD41" s="2"/>
      <c r="AE41" s="2"/>
      <c r="AY41" s="103" t="s">
        <v>272</v>
      </c>
      <c r="AZ41" s="103" t="s">
        <v>437</v>
      </c>
      <c r="BA41" s="103" t="s">
        <v>496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434</v>
      </c>
      <c r="BA43" s="103" t="s">
        <v>315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422</v>
      </c>
      <c r="BA44" s="103" t="s">
        <v>315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413</v>
      </c>
      <c r="BA46" s="103" t="s">
        <v>496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417</v>
      </c>
      <c r="BA48" s="103" t="s">
        <v>496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428</v>
      </c>
      <c r="BA49" s="103" t="s">
        <v>496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394</v>
      </c>
      <c r="BA51" s="103" t="s">
        <v>315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315</v>
      </c>
      <c r="BB52" s="10">
        <v>611636</v>
      </c>
      <c r="BF52" s="252"/>
    </row>
    <row r="53" spans="1:58" ht="12.75">
      <c r="A53" s="3"/>
      <c r="B53" s="12"/>
      <c r="C53" s="3"/>
      <c r="I53" s="11"/>
      <c r="J53" s="11"/>
      <c r="K53" s="11"/>
      <c r="L53" s="11"/>
      <c r="S53" s="11"/>
      <c r="U53" s="2"/>
      <c r="X53" s="2"/>
      <c r="Y53" s="2"/>
      <c r="Z53" s="2"/>
      <c r="AA53" s="2"/>
      <c r="AB53" s="2"/>
      <c r="AY53" s="103" t="s">
        <v>244</v>
      </c>
      <c r="AZ53" s="103" t="s">
        <v>427</v>
      </c>
      <c r="BA53" s="103" t="s">
        <v>315</v>
      </c>
      <c r="BB53" s="10">
        <v>230998</v>
      </c>
      <c r="BF53" s="252"/>
    </row>
    <row r="54" spans="1:58" ht="12.75">
      <c r="A54" s="3"/>
      <c r="B54" s="12"/>
      <c r="C54" s="3"/>
      <c r="I54" s="11"/>
      <c r="J54" s="11"/>
      <c r="K54" s="11"/>
      <c r="L54" s="11"/>
      <c r="S54" s="11"/>
      <c r="U54" s="2"/>
      <c r="X54" s="2"/>
      <c r="Y54" s="2"/>
      <c r="Z54" s="2"/>
      <c r="AA54" s="2"/>
      <c r="AB54" s="2"/>
      <c r="AY54" s="103" t="s">
        <v>67</v>
      </c>
      <c r="AZ54" s="103" t="s">
        <v>368</v>
      </c>
      <c r="BA54" s="103" t="s">
        <v>315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414</v>
      </c>
      <c r="BA55" s="103" t="s">
        <v>315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384</v>
      </c>
      <c r="BA56" s="103" t="s">
        <v>315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429</v>
      </c>
      <c r="BA57" s="103" t="s">
        <v>315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374</v>
      </c>
      <c r="BA58" s="103" t="s">
        <v>315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418</v>
      </c>
      <c r="BA61" s="103" t="s">
        <v>496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407</v>
      </c>
      <c r="BA63" s="103" t="s">
        <v>315</v>
      </c>
      <c r="BB63" s="10">
        <v>318405</v>
      </c>
      <c r="BE63" s="70"/>
      <c r="BF63" s="239"/>
    </row>
    <row r="64" spans="1:58" ht="12.75">
      <c r="A64" s="3"/>
      <c r="B64" s="12"/>
      <c r="C64" s="3"/>
      <c r="I64" s="11"/>
      <c r="V64" s="3"/>
      <c r="AY64" s="103" t="s">
        <v>78</v>
      </c>
      <c r="AZ64" s="103" t="s">
        <v>375</v>
      </c>
      <c r="BA64" s="103" t="s">
        <v>496</v>
      </c>
      <c r="BB64" s="10">
        <v>181285</v>
      </c>
      <c r="BE64" s="70"/>
      <c r="BF64" s="241"/>
    </row>
    <row r="65" spans="1:58" ht="12.75">
      <c r="A65" s="3"/>
      <c r="B65" s="12"/>
      <c r="C65" s="3"/>
      <c r="AY65" s="103" t="s">
        <v>485</v>
      </c>
      <c r="AZ65" s="103" t="s">
        <v>486</v>
      </c>
      <c r="BA65" s="103" t="s">
        <v>315</v>
      </c>
      <c r="BB65" s="10">
        <v>1169302</v>
      </c>
      <c r="BE65" s="70"/>
      <c r="BF65" s="241"/>
    </row>
    <row r="66" spans="1:58" ht="12.75">
      <c r="A66" s="3"/>
      <c r="B66" s="12"/>
      <c r="C66" s="3"/>
      <c r="E66" s="2"/>
      <c r="F66" s="2"/>
      <c r="G66" s="2"/>
      <c r="V66" s="2"/>
      <c r="AY66" s="103" t="s">
        <v>200</v>
      </c>
      <c r="AZ66" s="103" t="s">
        <v>415</v>
      </c>
      <c r="BA66" s="103" t="s">
        <v>315</v>
      </c>
      <c r="BB66" s="10">
        <v>217916</v>
      </c>
      <c r="BE66" s="70"/>
      <c r="BF66" s="239"/>
    </row>
    <row r="67" spans="1:58" ht="12.75">
      <c r="A67" s="3"/>
      <c r="B67" s="12"/>
      <c r="C67" s="3"/>
      <c r="AY67" s="103" t="s">
        <v>69</v>
      </c>
      <c r="AZ67" s="103" t="s">
        <v>70</v>
      </c>
      <c r="BA67" s="103" t="s">
        <v>315</v>
      </c>
      <c r="BB67" s="10">
        <v>270842</v>
      </c>
      <c r="BE67" s="70"/>
      <c r="BF67" s="239"/>
    </row>
    <row r="68" spans="1:58" ht="12.75">
      <c r="A68" s="3"/>
      <c r="B68" s="12"/>
      <c r="C68" s="3"/>
      <c r="AY68" s="103" t="s">
        <v>109</v>
      </c>
      <c r="AZ68" s="103" t="s">
        <v>110</v>
      </c>
      <c r="BA68" s="103" t="s">
        <v>315</v>
      </c>
      <c r="BB68" s="10">
        <v>251613</v>
      </c>
      <c r="BF68" s="252"/>
    </row>
    <row r="69" spans="1:58" ht="12.75">
      <c r="A69" s="3"/>
      <c r="B69" s="12"/>
      <c r="C69" s="3"/>
      <c r="AY69" s="103" t="s">
        <v>209</v>
      </c>
      <c r="AZ69" s="103" t="s">
        <v>210</v>
      </c>
      <c r="BA69" s="103" t="s">
        <v>315</v>
      </c>
      <c r="BB69" s="10">
        <v>283547</v>
      </c>
      <c r="BE69" s="70"/>
      <c r="BF69" s="241"/>
    </row>
    <row r="70" spans="1:58" ht="12.75">
      <c r="A70" s="3"/>
      <c r="B70" s="12"/>
      <c r="C70" s="3"/>
      <c r="AY70" s="103" t="s">
        <v>275</v>
      </c>
      <c r="AZ70" s="103" t="s">
        <v>438</v>
      </c>
      <c r="BA70" s="103" t="s">
        <v>495</v>
      </c>
      <c r="BB70" s="10">
        <v>141474</v>
      </c>
      <c r="BE70" s="70"/>
      <c r="BF70" s="239"/>
    </row>
    <row r="71" spans="1:58" ht="12.75">
      <c r="A71" s="3"/>
      <c r="B71" s="12"/>
      <c r="C71" s="3"/>
      <c r="AY71" s="103" t="s">
        <v>127</v>
      </c>
      <c r="AZ71" s="103" t="s">
        <v>392</v>
      </c>
      <c r="BA71" s="103" t="s">
        <v>315</v>
      </c>
      <c r="BB71" s="10">
        <v>213326</v>
      </c>
      <c r="BE71" s="70"/>
      <c r="BF71" s="239"/>
    </row>
    <row r="72" spans="1:58" ht="12.75">
      <c r="A72" s="3"/>
      <c r="B72" s="12"/>
      <c r="C72" s="3"/>
      <c r="AY72" s="103" t="s">
        <v>136</v>
      </c>
      <c r="AZ72" s="103" t="s">
        <v>137</v>
      </c>
      <c r="BA72" s="103" t="s">
        <v>315</v>
      </c>
      <c r="BB72" s="10">
        <v>183220</v>
      </c>
      <c r="BE72" s="250"/>
      <c r="BF72" s="239"/>
    </row>
    <row r="73" spans="1:58" ht="12.75">
      <c r="A73" s="3"/>
      <c r="B73" s="12"/>
      <c r="C73" s="3"/>
      <c r="AY73" s="103" t="s">
        <v>64</v>
      </c>
      <c r="AZ73" s="103" t="s">
        <v>367</v>
      </c>
      <c r="BA73" s="103" t="s">
        <v>315</v>
      </c>
      <c r="BB73" s="10">
        <v>190143</v>
      </c>
      <c r="BE73" s="70"/>
      <c r="BF73" s="239"/>
    </row>
    <row r="74" spans="1:58" ht="12.75">
      <c r="A74" s="3"/>
      <c r="B74" s="12"/>
      <c r="C74" s="3"/>
      <c r="AY74" s="103" t="s">
        <v>165</v>
      </c>
      <c r="AZ74" s="103" t="s">
        <v>166</v>
      </c>
      <c r="BA74" s="103" t="s">
        <v>496</v>
      </c>
      <c r="BB74" s="10">
        <v>419928</v>
      </c>
      <c r="BE74" s="70"/>
      <c r="BF74" s="241"/>
    </row>
    <row r="75" spans="1:58" ht="12.75">
      <c r="A75" s="3"/>
      <c r="B75" s="12"/>
      <c r="C75" s="3"/>
      <c r="AY75" s="103" t="s">
        <v>113</v>
      </c>
      <c r="AZ75" s="103" t="s">
        <v>386</v>
      </c>
      <c r="BA75" s="103" t="s">
        <v>315</v>
      </c>
      <c r="BB75" s="10">
        <v>158106</v>
      </c>
      <c r="BE75" s="70"/>
      <c r="BF75" s="241"/>
    </row>
    <row r="76" spans="1:58" ht="12.75">
      <c r="A76" s="3"/>
      <c r="B76" s="12"/>
      <c r="C76" s="3"/>
      <c r="AY76" s="103" t="s">
        <v>140</v>
      </c>
      <c r="AZ76" s="103" t="s">
        <v>141</v>
      </c>
      <c r="BA76" s="103" t="s">
        <v>315</v>
      </c>
      <c r="BB76" s="10">
        <v>377807</v>
      </c>
      <c r="BE76" s="70"/>
      <c r="BF76" s="241"/>
    </row>
    <row r="77" spans="1:58" ht="12.75">
      <c r="A77" s="3"/>
      <c r="B77" s="12"/>
      <c r="C77" s="3"/>
      <c r="AY77" s="103" t="s">
        <v>163</v>
      </c>
      <c r="AZ77" s="103" t="s">
        <v>164</v>
      </c>
      <c r="BA77" s="103" t="s">
        <v>496</v>
      </c>
      <c r="BB77" s="10">
        <v>799634</v>
      </c>
      <c r="BE77" s="70"/>
      <c r="BF77" s="249"/>
    </row>
    <row r="78" spans="1:58" ht="12.75">
      <c r="A78" s="3"/>
      <c r="B78" s="12"/>
      <c r="C78" s="3"/>
      <c r="AY78" s="103" t="s">
        <v>224</v>
      </c>
      <c r="AZ78" s="103" t="s">
        <v>225</v>
      </c>
      <c r="BA78" s="103" t="s">
        <v>315</v>
      </c>
      <c r="BB78" s="10">
        <v>362638</v>
      </c>
      <c r="BE78" s="70"/>
      <c r="BF78" s="239"/>
    </row>
    <row r="79" spans="1:58" ht="12.75">
      <c r="A79" s="3"/>
      <c r="B79" s="12"/>
      <c r="C79" s="3"/>
      <c r="AY79" s="103" t="s">
        <v>223</v>
      </c>
      <c r="AZ79" s="103" t="s">
        <v>420</v>
      </c>
      <c r="BA79" s="103" t="s">
        <v>315</v>
      </c>
      <c r="BB79" s="10">
        <v>678998</v>
      </c>
      <c r="BF79" s="239"/>
    </row>
    <row r="80" spans="1:58" ht="12.75">
      <c r="A80" s="3"/>
      <c r="B80" s="12"/>
      <c r="C80" s="3"/>
      <c r="AY80" s="103" t="s">
        <v>144</v>
      </c>
      <c r="AZ80" s="103" t="s">
        <v>145</v>
      </c>
      <c r="BA80" s="103" t="s">
        <v>315</v>
      </c>
      <c r="BB80" s="10">
        <v>290986</v>
      </c>
      <c r="BF80" s="252"/>
    </row>
    <row r="81" spans="1:58" ht="12.75">
      <c r="A81" s="3"/>
      <c r="B81" s="12"/>
      <c r="C81" s="3"/>
      <c r="AY81" s="103" t="s">
        <v>178</v>
      </c>
      <c r="AZ81" s="103" t="s">
        <v>409</v>
      </c>
      <c r="BA81" s="103" t="s">
        <v>496</v>
      </c>
      <c r="BB81" s="10">
        <v>747976</v>
      </c>
      <c r="BF81" s="252"/>
    </row>
    <row r="82" spans="1:58" ht="12.75">
      <c r="A82" s="3"/>
      <c r="B82" s="12"/>
      <c r="C82" s="3"/>
      <c r="AY82" s="103" t="s">
        <v>193</v>
      </c>
      <c r="AZ82" s="103" t="s">
        <v>194</v>
      </c>
      <c r="BA82" s="103" t="s">
        <v>315</v>
      </c>
      <c r="BB82" s="10">
        <v>489140</v>
      </c>
      <c r="BF82" s="252"/>
    </row>
    <row r="83" spans="1:58" ht="12.75">
      <c r="A83" s="3"/>
      <c r="B83" s="12"/>
      <c r="C83" s="3"/>
      <c r="AY83" s="103" t="s">
        <v>98</v>
      </c>
      <c r="AZ83" s="103" t="s">
        <v>383</v>
      </c>
      <c r="BA83" s="103" t="s">
        <v>496</v>
      </c>
      <c r="BB83" s="10">
        <v>208442</v>
      </c>
      <c r="BE83" s="70"/>
      <c r="BF83" s="241"/>
    </row>
    <row r="84" spans="1:58" ht="12.75">
      <c r="A84" s="3"/>
      <c r="B84" s="12"/>
      <c r="C84" s="3"/>
      <c r="AY84" s="103" t="s">
        <v>203</v>
      </c>
      <c r="AZ84" s="103" t="s">
        <v>204</v>
      </c>
      <c r="BA84" s="103" t="s">
        <v>496</v>
      </c>
      <c r="BB84" s="10">
        <v>545543</v>
      </c>
      <c r="BE84" s="70"/>
      <c r="BF84" s="241"/>
    </row>
    <row r="85" spans="1:58" ht="12.75">
      <c r="A85" s="3"/>
      <c r="B85" s="12"/>
      <c r="C85" s="3"/>
      <c r="AY85" s="103" t="s">
        <v>135</v>
      </c>
      <c r="AZ85" s="103" t="s">
        <v>398</v>
      </c>
      <c r="BA85" s="103" t="s">
        <v>496</v>
      </c>
      <c r="BB85" s="10">
        <v>274067</v>
      </c>
      <c r="BE85" s="70"/>
      <c r="BF85" s="241"/>
    </row>
    <row r="86" spans="1:58" ht="12.75">
      <c r="A86" s="3"/>
      <c r="B86" s="12"/>
      <c r="C86" s="3"/>
      <c r="AY86" s="103" t="s">
        <v>251</v>
      </c>
      <c r="AZ86" s="103" t="s">
        <v>252</v>
      </c>
      <c r="BA86" s="103" t="s">
        <v>496</v>
      </c>
      <c r="BB86" s="10">
        <v>374861</v>
      </c>
      <c r="BE86" s="70"/>
      <c r="BF86" s="249"/>
    </row>
    <row r="87" spans="1:58" ht="12.75">
      <c r="A87" s="3"/>
      <c r="B87" s="12"/>
      <c r="C87" s="3"/>
      <c r="AY87" s="103" t="s">
        <v>132</v>
      </c>
      <c r="AZ87" s="103" t="s">
        <v>133</v>
      </c>
      <c r="BA87" s="103" t="s">
        <v>315</v>
      </c>
      <c r="BB87" s="10">
        <v>153833</v>
      </c>
      <c r="BE87" s="70"/>
      <c r="BF87" s="249"/>
    </row>
    <row r="88" spans="1:58" ht="12.75">
      <c r="A88" s="3"/>
      <c r="B88" s="12"/>
      <c r="C88" s="3"/>
      <c r="AY88" s="103" t="s">
        <v>79</v>
      </c>
      <c r="AZ88" s="103" t="s">
        <v>80</v>
      </c>
      <c r="BA88" s="103" t="s">
        <v>496</v>
      </c>
      <c r="BB88" s="10">
        <v>258492</v>
      </c>
      <c r="BE88" s="70"/>
      <c r="BF88" s="241"/>
    </row>
    <row r="89" spans="1:58" ht="12.75">
      <c r="A89" s="3"/>
      <c r="B89" s="12"/>
      <c r="C89" s="3"/>
      <c r="AY89" s="103" t="s">
        <v>81</v>
      </c>
      <c r="AZ89" s="103" t="s">
        <v>376</v>
      </c>
      <c r="BA89" s="103" t="s">
        <v>315</v>
      </c>
      <c r="BB89" s="10">
        <v>283085</v>
      </c>
      <c r="BE89" s="70"/>
      <c r="BF89" s="241"/>
    </row>
    <row r="90" spans="1:58" ht="12.75">
      <c r="A90" s="3"/>
      <c r="B90" s="12"/>
      <c r="C90" s="3"/>
      <c r="AY90" s="103" t="s">
        <v>76</v>
      </c>
      <c r="AZ90" s="103" t="s">
        <v>373</v>
      </c>
      <c r="BA90" s="103" t="s">
        <v>315</v>
      </c>
      <c r="BB90" s="10">
        <v>357346</v>
      </c>
      <c r="BE90" s="70"/>
      <c r="BF90" s="241"/>
    </row>
    <row r="91" spans="1:58" ht="12.75">
      <c r="A91" s="3"/>
      <c r="B91" s="12"/>
      <c r="C91" s="3"/>
      <c r="AY91" s="103" t="s">
        <v>243</v>
      </c>
      <c r="AZ91" s="103" t="s">
        <v>426</v>
      </c>
      <c r="BA91" s="103" t="s">
        <v>496</v>
      </c>
      <c r="BB91" s="10">
        <v>748575</v>
      </c>
      <c r="BE91" s="247"/>
      <c r="BF91" s="249"/>
    </row>
    <row r="92" spans="1:58" ht="12.75">
      <c r="A92" s="3"/>
      <c r="B92" s="12"/>
      <c r="C92" s="3"/>
      <c r="AY92" s="103" t="s">
        <v>249</v>
      </c>
      <c r="AZ92" s="103" t="s">
        <v>250</v>
      </c>
      <c r="BA92" s="103" t="s">
        <v>496</v>
      </c>
      <c r="BB92" s="10">
        <v>322673</v>
      </c>
      <c r="BE92" s="247"/>
      <c r="BF92" s="249"/>
    </row>
    <row r="93" spans="1:58" ht="12.75">
      <c r="A93" s="3"/>
      <c r="B93" s="12"/>
      <c r="C93" s="3"/>
      <c r="AY93" s="103" t="s">
        <v>58</v>
      </c>
      <c r="AZ93" s="103" t="s">
        <v>59</v>
      </c>
      <c r="BA93" s="103" t="s">
        <v>315</v>
      </c>
      <c r="BB93" s="10">
        <v>165284</v>
      </c>
      <c r="BF93" s="252"/>
    </row>
    <row r="94" spans="1:58" ht="12.75">
      <c r="A94" s="3"/>
      <c r="B94" s="12"/>
      <c r="C94" s="3"/>
      <c r="AY94" s="103" t="s">
        <v>186</v>
      </c>
      <c r="AZ94" s="103" t="s">
        <v>411</v>
      </c>
      <c r="BA94" s="103" t="s">
        <v>315</v>
      </c>
      <c r="BB94" s="10">
        <v>339272</v>
      </c>
      <c r="BE94" s="70"/>
      <c r="BF94" s="241"/>
    </row>
    <row r="95" spans="1:58" ht="12.75">
      <c r="A95" s="3"/>
      <c r="B95" s="12"/>
      <c r="C95" s="3"/>
      <c r="AY95" s="103" t="s">
        <v>86</v>
      </c>
      <c r="AZ95" s="103" t="s">
        <v>87</v>
      </c>
      <c r="BA95" s="103" t="s">
        <v>315</v>
      </c>
      <c r="BB95" s="10">
        <v>165642</v>
      </c>
      <c r="BE95" s="247"/>
      <c r="BF95" s="249"/>
    </row>
    <row r="96" spans="1:58" ht="12.75">
      <c r="A96" s="3"/>
      <c r="B96" s="12"/>
      <c r="C96" s="3"/>
      <c r="AY96" s="103" t="s">
        <v>157</v>
      </c>
      <c r="AZ96" s="103" t="s">
        <v>158</v>
      </c>
      <c r="BA96" s="103" t="s">
        <v>315</v>
      </c>
      <c r="BB96" s="10">
        <v>208351</v>
      </c>
      <c r="BE96" s="243"/>
      <c r="BF96" s="238"/>
    </row>
    <row r="97" spans="1:58" ht="12.75">
      <c r="A97" s="3"/>
      <c r="B97" s="12"/>
      <c r="C97" s="3"/>
      <c r="AY97" s="103" t="s">
        <v>231</v>
      </c>
      <c r="AZ97" s="103" t="s">
        <v>232</v>
      </c>
      <c r="BA97" s="103" t="s">
        <v>315</v>
      </c>
      <c r="BB97" s="10">
        <v>203178</v>
      </c>
      <c r="BE97" s="243"/>
      <c r="BF97" s="238"/>
    </row>
    <row r="98" spans="1:58" ht="12.75">
      <c r="A98" s="3"/>
      <c r="B98" s="12"/>
      <c r="C98" s="3"/>
      <c r="AY98" s="103" t="s">
        <v>82</v>
      </c>
      <c r="AZ98" s="103" t="s">
        <v>377</v>
      </c>
      <c r="BA98" s="103" t="s">
        <v>315</v>
      </c>
      <c r="BB98" s="10">
        <v>214052</v>
      </c>
      <c r="BE98" s="248"/>
      <c r="BF98" s="241"/>
    </row>
    <row r="99" spans="1:58" ht="12.75">
      <c r="A99" s="3"/>
      <c r="B99" s="12"/>
      <c r="C99" s="3"/>
      <c r="AY99" s="103" t="s">
        <v>205</v>
      </c>
      <c r="AZ99" s="103" t="s">
        <v>206</v>
      </c>
      <c r="BA99" s="103" t="s">
        <v>496</v>
      </c>
      <c r="BB99" s="10">
        <v>795503</v>
      </c>
      <c r="BE99" s="70"/>
      <c r="BF99" s="249"/>
    </row>
    <row r="100" spans="1:58" ht="12.75">
      <c r="A100" s="3"/>
      <c r="B100" s="12"/>
      <c r="C100" s="3"/>
      <c r="AY100" s="103" t="s">
        <v>226</v>
      </c>
      <c r="AZ100" s="103" t="s">
        <v>421</v>
      </c>
      <c r="BA100" s="103" t="s">
        <v>315</v>
      </c>
      <c r="BB100" s="10">
        <v>648340</v>
      </c>
      <c r="BE100" s="70"/>
      <c r="BF100" s="249"/>
    </row>
    <row r="101" spans="51:58" ht="12.75">
      <c r="AY101" s="103" t="s">
        <v>51</v>
      </c>
      <c r="AZ101" s="103" t="s">
        <v>52</v>
      </c>
      <c r="BA101" s="103" t="s">
        <v>315</v>
      </c>
      <c r="BB101" s="10">
        <v>320818</v>
      </c>
      <c r="BE101" s="237"/>
      <c r="BF101" s="238"/>
    </row>
    <row r="102" spans="51:58" ht="12.75">
      <c r="AY102" s="103" t="s">
        <v>88</v>
      </c>
      <c r="AZ102" s="103" t="s">
        <v>89</v>
      </c>
      <c r="BA102" s="103" t="s">
        <v>315</v>
      </c>
      <c r="BB102" s="10">
        <v>339920</v>
      </c>
      <c r="BE102" s="237"/>
      <c r="BF102" s="238"/>
    </row>
    <row r="103" spans="51:58" ht="12.75">
      <c r="AY103" s="103" t="s">
        <v>177</v>
      </c>
      <c r="AZ103" s="103" t="s">
        <v>408</v>
      </c>
      <c r="BA103" s="103" t="s">
        <v>315</v>
      </c>
      <c r="BB103" s="10">
        <v>656875</v>
      </c>
      <c r="BE103" s="70"/>
      <c r="BF103" s="239"/>
    </row>
    <row r="104" spans="51:58" ht="12.75">
      <c r="AY104" s="103" t="s">
        <v>114</v>
      </c>
      <c r="AZ104" s="103" t="s">
        <v>387</v>
      </c>
      <c r="BA104" s="103" t="s">
        <v>315</v>
      </c>
      <c r="BB104" s="10">
        <v>236592</v>
      </c>
      <c r="BF104" s="252"/>
    </row>
    <row r="105" spans="51:58" ht="12.75">
      <c r="AY105" s="103" t="s">
        <v>259</v>
      </c>
      <c r="AZ105" s="103" t="s">
        <v>430</v>
      </c>
      <c r="BA105" s="103" t="s">
        <v>496</v>
      </c>
      <c r="BB105" s="10">
        <v>671572</v>
      </c>
      <c r="BE105" s="237"/>
      <c r="BF105" s="238"/>
    </row>
    <row r="106" spans="51:58" ht="12.75">
      <c r="AY106" s="103" t="s">
        <v>239</v>
      </c>
      <c r="AZ106" s="103" t="s">
        <v>240</v>
      </c>
      <c r="BA106" s="103" t="s">
        <v>496</v>
      </c>
      <c r="BB106" s="10">
        <v>177882</v>
      </c>
      <c r="BF106" s="252"/>
    </row>
    <row r="107" spans="51:58" ht="12.75">
      <c r="AY107" s="103" t="s">
        <v>91</v>
      </c>
      <c r="AZ107" s="103" t="s">
        <v>380</v>
      </c>
      <c r="BA107" s="103" t="s">
        <v>315</v>
      </c>
      <c r="BB107" s="10">
        <v>274443</v>
      </c>
      <c r="BF107" s="252"/>
    </row>
    <row r="108" spans="51:58" ht="12.75">
      <c r="AY108" s="103" t="s">
        <v>95</v>
      </c>
      <c r="AZ108" s="103" t="s">
        <v>382</v>
      </c>
      <c r="BA108" s="103" t="s">
        <v>315</v>
      </c>
      <c r="BB108" s="10">
        <v>213174</v>
      </c>
      <c r="BE108" s="70"/>
      <c r="BF108" s="239"/>
    </row>
    <row r="109" spans="51:58" ht="12.75">
      <c r="AY109" s="103" t="s">
        <v>179</v>
      </c>
      <c r="AZ109" s="103" t="s">
        <v>180</v>
      </c>
      <c r="BA109" s="103" t="s">
        <v>315</v>
      </c>
      <c r="BB109" s="10">
        <v>278950</v>
      </c>
      <c r="BE109" s="237"/>
      <c r="BF109" s="238"/>
    </row>
    <row r="110" spans="51:58" ht="12.75">
      <c r="AY110" s="103" t="s">
        <v>273</v>
      </c>
      <c r="AZ110" s="103" t="s">
        <v>274</v>
      </c>
      <c r="BA110" s="103" t="s">
        <v>315</v>
      </c>
      <c r="BB110" s="10">
        <v>133304</v>
      </c>
      <c r="BE110" s="70"/>
      <c r="BF110" s="249"/>
    </row>
    <row r="111" spans="51:58" ht="12.75">
      <c r="AY111" s="103" t="s">
        <v>155</v>
      </c>
      <c r="AZ111" s="103" t="s">
        <v>402</v>
      </c>
      <c r="BA111" s="103" t="s">
        <v>315</v>
      </c>
      <c r="BB111" s="10">
        <v>197060</v>
      </c>
      <c r="BE111" s="70"/>
      <c r="BF111" s="239"/>
    </row>
    <row r="112" spans="51:58" ht="12.75">
      <c r="AY112" s="103" t="s">
        <v>100</v>
      </c>
      <c r="AZ112" s="103" t="s">
        <v>101</v>
      </c>
      <c r="BA112" s="103" t="s">
        <v>315</v>
      </c>
      <c r="BB112" s="10">
        <v>253140</v>
      </c>
      <c r="BE112" s="250"/>
      <c r="BF112" s="249"/>
    </row>
    <row r="113" spans="51:58" ht="12.75">
      <c r="AY113" s="103" t="s">
        <v>92</v>
      </c>
      <c r="AZ113" s="103" t="s">
        <v>93</v>
      </c>
      <c r="BA113" s="103" t="s">
        <v>315</v>
      </c>
      <c r="BB113" s="10">
        <v>240983</v>
      </c>
      <c r="BE113" s="70"/>
      <c r="BF113" s="241"/>
    </row>
    <row r="114" spans="51:58" ht="12.75">
      <c r="AY114" s="103" t="s">
        <v>228</v>
      </c>
      <c r="AZ114" s="103" t="s">
        <v>423</v>
      </c>
      <c r="BA114" s="103" t="s">
        <v>315</v>
      </c>
      <c r="BB114" s="10">
        <v>340451</v>
      </c>
      <c r="BF114" s="241"/>
    </row>
    <row r="115" spans="51:58" ht="12.75">
      <c r="AY115" s="103" t="s">
        <v>189</v>
      </c>
      <c r="AZ115" s="103" t="s">
        <v>190</v>
      </c>
      <c r="BA115" s="103" t="s">
        <v>315</v>
      </c>
      <c r="BB115" s="10">
        <v>280673</v>
      </c>
      <c r="BE115" s="248"/>
      <c r="BF115" s="241"/>
    </row>
    <row r="116" spans="51:58" ht="12.75">
      <c r="AY116" s="103" t="s">
        <v>169</v>
      </c>
      <c r="AZ116" s="103" t="s">
        <v>170</v>
      </c>
      <c r="BA116" s="103" t="s">
        <v>315</v>
      </c>
      <c r="BB116" s="10">
        <v>565874</v>
      </c>
      <c r="BE116" s="70"/>
      <c r="BF116" s="239"/>
    </row>
    <row r="117" spans="51:58" ht="12.75">
      <c r="AY117" s="103" t="s">
        <v>152</v>
      </c>
      <c r="AZ117" s="103" t="s">
        <v>401</v>
      </c>
      <c r="BA117" s="103" t="s">
        <v>496</v>
      </c>
      <c r="BB117" s="10">
        <v>295379</v>
      </c>
      <c r="BE117" s="237"/>
      <c r="BF117" s="238"/>
    </row>
    <row r="118" spans="51:58" ht="12.75">
      <c r="AY118" s="103" t="s">
        <v>56</v>
      </c>
      <c r="AZ118" s="103" t="s">
        <v>57</v>
      </c>
      <c r="BA118" s="103" t="s">
        <v>315</v>
      </c>
      <c r="BB118" s="10">
        <v>217094</v>
      </c>
      <c r="BE118" s="70"/>
      <c r="BF118" s="239"/>
    </row>
    <row r="119" spans="51:58" ht="12.75">
      <c r="AY119" s="103" t="s">
        <v>268</v>
      </c>
      <c r="AZ119" s="103" t="s">
        <v>433</v>
      </c>
      <c r="BA119" s="103" t="s">
        <v>315</v>
      </c>
      <c r="BB119" s="10">
        <v>538131</v>
      </c>
      <c r="BE119" s="70"/>
      <c r="BF119" s="239"/>
    </row>
    <row r="120" spans="51:58" ht="12.75">
      <c r="AY120" s="103" t="s">
        <v>150</v>
      </c>
      <c r="AZ120" s="103" t="s">
        <v>151</v>
      </c>
      <c r="BA120" s="103" t="s">
        <v>496</v>
      </c>
      <c r="BB120" s="10">
        <v>389725</v>
      </c>
      <c r="BE120" s="70"/>
      <c r="BF120" s="239"/>
    </row>
    <row r="121" spans="51:58" ht="12.75">
      <c r="AY121" s="103" t="s">
        <v>212</v>
      </c>
      <c r="AZ121" s="103" t="s">
        <v>213</v>
      </c>
      <c r="BA121" s="103" t="s">
        <v>496</v>
      </c>
      <c r="BB121" s="10">
        <v>356812</v>
      </c>
      <c r="BE121" s="237"/>
      <c r="BF121" s="238"/>
    </row>
    <row r="122" spans="51:58" ht="12.75">
      <c r="AY122" s="103" t="s">
        <v>60</v>
      </c>
      <c r="AZ122" s="103" t="s">
        <v>61</v>
      </c>
      <c r="BA122" s="103" t="s">
        <v>315</v>
      </c>
      <c r="BB122" s="10">
        <v>256321</v>
      </c>
      <c r="BE122" s="70"/>
      <c r="BF122" s="249"/>
    </row>
    <row r="123" spans="51:58" ht="12.75">
      <c r="AY123" s="103" t="s">
        <v>234</v>
      </c>
      <c r="AZ123" s="103" t="s">
        <v>425</v>
      </c>
      <c r="BA123" s="103" t="s">
        <v>496</v>
      </c>
      <c r="BB123" s="10">
        <v>615835</v>
      </c>
      <c r="BF123" s="252"/>
    </row>
    <row r="124" spans="51:58" ht="12.75">
      <c r="AY124" s="103" t="s">
        <v>130</v>
      </c>
      <c r="AZ124" s="103" t="s">
        <v>395</v>
      </c>
      <c r="BA124" s="103" t="s">
        <v>315</v>
      </c>
      <c r="BB124" s="10">
        <v>150179</v>
      </c>
      <c r="BF124" s="252"/>
    </row>
    <row r="125" spans="51:58" ht="12.75">
      <c r="AY125" s="103" t="s">
        <v>253</v>
      </c>
      <c r="AZ125" s="103" t="s">
        <v>254</v>
      </c>
      <c r="BA125" s="103" t="s">
        <v>315</v>
      </c>
      <c r="BB125" s="10">
        <v>420503</v>
      </c>
      <c r="BE125" s="70"/>
      <c r="BF125" s="249"/>
    </row>
    <row r="126" spans="51:58" ht="12.75">
      <c r="AY126" s="103" t="s">
        <v>134</v>
      </c>
      <c r="AZ126" s="103" t="s">
        <v>397</v>
      </c>
      <c r="BA126" s="103" t="s">
        <v>315</v>
      </c>
      <c r="BB126" s="10">
        <v>263936</v>
      </c>
      <c r="BE126" s="70"/>
      <c r="BF126" s="239"/>
    </row>
    <row r="127" spans="51:58" ht="12.75">
      <c r="AY127" s="103" t="s">
        <v>142</v>
      </c>
      <c r="AZ127" s="103" t="s">
        <v>143</v>
      </c>
      <c r="BA127" s="103" t="s">
        <v>315</v>
      </c>
      <c r="BB127" s="10">
        <v>308593</v>
      </c>
      <c r="BF127" s="252"/>
    </row>
    <row r="128" spans="51:58" ht="12.75">
      <c r="AY128" s="103" t="s">
        <v>94</v>
      </c>
      <c r="AZ128" s="103" t="s">
        <v>381</v>
      </c>
      <c r="BA128" s="103" t="s">
        <v>496</v>
      </c>
      <c r="BB128" s="10">
        <v>298190</v>
      </c>
      <c r="BE128" s="250"/>
      <c r="BF128" s="249"/>
    </row>
    <row r="129" spans="51:58" ht="12.75">
      <c r="AY129" s="103" t="s">
        <v>85</v>
      </c>
      <c r="AZ129" s="103" t="s">
        <v>378</v>
      </c>
      <c r="BA129" s="103" t="s">
        <v>315</v>
      </c>
      <c r="BB129" s="10">
        <v>191885</v>
      </c>
      <c r="BE129" s="70"/>
      <c r="BF129" s="249"/>
    </row>
    <row r="130" spans="51:58" ht="12.75">
      <c r="AY130" s="103" t="s">
        <v>233</v>
      </c>
      <c r="AZ130" s="103" t="s">
        <v>424</v>
      </c>
      <c r="BA130" s="103" t="s">
        <v>315</v>
      </c>
      <c r="BB130" s="10">
        <v>268223</v>
      </c>
      <c r="BE130" s="70"/>
      <c r="BF130" s="249"/>
    </row>
    <row r="131" spans="51:58" ht="12.75">
      <c r="AY131" s="103" t="s">
        <v>245</v>
      </c>
      <c r="AZ131" s="103" t="s">
        <v>246</v>
      </c>
      <c r="BA131" s="103" t="s">
        <v>496</v>
      </c>
      <c r="BB131" s="10">
        <v>616983</v>
      </c>
      <c r="BE131" s="247"/>
      <c r="BF131" s="249"/>
    </row>
    <row r="132" spans="51:58" ht="12.75">
      <c r="AY132" s="103" t="s">
        <v>131</v>
      </c>
      <c r="AZ132" s="103" t="s">
        <v>396</v>
      </c>
      <c r="BA132" s="103" t="s">
        <v>315</v>
      </c>
      <c r="BB132" s="10">
        <v>283991</v>
      </c>
      <c r="BE132" s="247"/>
      <c r="BF132" s="249"/>
    </row>
    <row r="133" spans="51:58" ht="12.75">
      <c r="AY133" s="103" t="s">
        <v>216</v>
      </c>
      <c r="AZ133" s="103" t="s">
        <v>217</v>
      </c>
      <c r="BA133" s="103" t="s">
        <v>315</v>
      </c>
      <c r="BB133" s="10">
        <v>1156805</v>
      </c>
      <c r="BE133" s="247"/>
      <c r="BF133" s="251"/>
    </row>
    <row r="134" spans="51:58" ht="12.75">
      <c r="AY134" s="103" t="s">
        <v>156</v>
      </c>
      <c r="AZ134" s="103" t="s">
        <v>403</v>
      </c>
      <c r="BA134" s="103" t="s">
        <v>315</v>
      </c>
      <c r="BB134" s="10">
        <v>390971</v>
      </c>
      <c r="BE134" s="243"/>
      <c r="BF134" s="238"/>
    </row>
    <row r="135" spans="51:58" ht="12.75">
      <c r="AY135" s="103" t="s">
        <v>121</v>
      </c>
      <c r="AZ135" s="103" t="s">
        <v>122</v>
      </c>
      <c r="BA135" s="103" t="s">
        <v>495</v>
      </c>
      <c r="BB135" s="10">
        <v>218182</v>
      </c>
      <c r="BE135" s="250"/>
      <c r="BF135" s="249"/>
    </row>
    <row r="136" spans="51:58" ht="12.75">
      <c r="AY136" s="103" t="s">
        <v>148</v>
      </c>
      <c r="AZ136" s="103" t="s">
        <v>399</v>
      </c>
      <c r="BA136" s="103" t="s">
        <v>496</v>
      </c>
      <c r="BB136" s="10">
        <v>236598</v>
      </c>
      <c r="BE136" s="237"/>
      <c r="BF136" s="238"/>
    </row>
    <row r="137" spans="51:58" ht="12.75">
      <c r="AY137" s="103" t="s">
        <v>160</v>
      </c>
      <c r="AZ137" s="103" t="s">
        <v>405</v>
      </c>
      <c r="BA137" s="103" t="s">
        <v>496</v>
      </c>
      <c r="BB137" s="10">
        <v>165993</v>
      </c>
      <c r="BF137" s="252"/>
    </row>
    <row r="138" spans="51:58" ht="12.75">
      <c r="AY138" s="103" t="s">
        <v>54</v>
      </c>
      <c r="AZ138" s="103" t="s">
        <v>55</v>
      </c>
      <c r="BA138" s="103" t="s">
        <v>315</v>
      </c>
      <c r="BB138" s="10">
        <v>145889</v>
      </c>
      <c r="BE138" s="70"/>
      <c r="BF138" s="239"/>
    </row>
    <row r="139" spans="51:58" ht="12.75">
      <c r="AY139" s="103" t="s">
        <v>75</v>
      </c>
      <c r="AZ139" s="103" t="s">
        <v>372</v>
      </c>
      <c r="BA139" s="103" t="s">
        <v>315</v>
      </c>
      <c r="BB139" s="10">
        <v>267393</v>
      </c>
      <c r="BE139" s="237"/>
      <c r="BF139" s="238"/>
    </row>
    <row r="140" spans="51:58" ht="12.75">
      <c r="AY140" s="103" t="s">
        <v>201</v>
      </c>
      <c r="AZ140" s="103" t="s">
        <v>202</v>
      </c>
      <c r="BA140" s="103" t="s">
        <v>496</v>
      </c>
      <c r="BB140" s="10">
        <v>232551</v>
      </c>
      <c r="BE140" s="70"/>
      <c r="BF140" s="239"/>
    </row>
    <row r="141" spans="51:58" ht="12.75">
      <c r="AY141" s="103" t="s">
        <v>167</v>
      </c>
      <c r="AZ141" s="103" t="s">
        <v>168</v>
      </c>
      <c r="BA141" s="103" t="s">
        <v>496</v>
      </c>
      <c r="BB141" s="10">
        <v>350958</v>
      </c>
      <c r="BE141" s="70"/>
      <c r="BF141" s="239"/>
    </row>
    <row r="142" spans="51:58" ht="12.75">
      <c r="AY142" s="103" t="s">
        <v>153</v>
      </c>
      <c r="AZ142" s="103" t="s">
        <v>154</v>
      </c>
      <c r="BA142" s="103" t="s">
        <v>315</v>
      </c>
      <c r="BB142" s="10">
        <v>265654</v>
      </c>
      <c r="BE142" s="70"/>
      <c r="BF142" s="241"/>
    </row>
    <row r="143" spans="51:58" ht="12.75">
      <c r="AY143" s="103" t="s">
        <v>181</v>
      </c>
      <c r="AZ143" s="103" t="s">
        <v>182</v>
      </c>
      <c r="BA143" s="103" t="s">
        <v>315</v>
      </c>
      <c r="BB143" s="10">
        <v>284466</v>
      </c>
      <c r="BE143" s="70"/>
      <c r="BF143" s="249"/>
    </row>
    <row r="144" spans="51:58" ht="12.75">
      <c r="AY144" s="103" t="s">
        <v>146</v>
      </c>
      <c r="AZ144" s="103" t="s">
        <v>147</v>
      </c>
      <c r="BA144" s="103" t="s">
        <v>315</v>
      </c>
      <c r="BB144" s="10">
        <v>319933</v>
      </c>
      <c r="BE144" s="70"/>
      <c r="BF144" s="241"/>
    </row>
    <row r="145" spans="51:58" ht="12.75">
      <c r="AY145" s="103" t="s">
        <v>111</v>
      </c>
      <c r="AZ145" s="103" t="s">
        <v>112</v>
      </c>
      <c r="BA145" s="103" t="s">
        <v>315</v>
      </c>
      <c r="BB145" s="10">
        <v>192336</v>
      </c>
      <c r="BE145" s="248"/>
      <c r="BF145" s="249"/>
    </row>
    <row r="146" spans="51:58" ht="12.75">
      <c r="AY146" s="103" t="s">
        <v>237</v>
      </c>
      <c r="AZ146" s="103" t="s">
        <v>238</v>
      </c>
      <c r="BA146" s="103" t="s">
        <v>315</v>
      </c>
      <c r="BB146" s="10">
        <v>548313</v>
      </c>
      <c r="BF146" s="252"/>
    </row>
    <row r="147" spans="51:58" ht="12.75">
      <c r="AY147" s="103" t="s">
        <v>247</v>
      </c>
      <c r="AZ147" s="103" t="s">
        <v>248</v>
      </c>
      <c r="BA147" s="103" t="s">
        <v>315</v>
      </c>
      <c r="BB147" s="10">
        <v>287229</v>
      </c>
      <c r="BF147" s="252"/>
    </row>
    <row r="148" spans="51:58" ht="12.75">
      <c r="AY148" s="103" t="s">
        <v>222</v>
      </c>
      <c r="AZ148" s="103" t="s">
        <v>419</v>
      </c>
      <c r="BA148" s="103" t="s">
        <v>496</v>
      </c>
      <c r="BB148" s="10">
        <v>707573</v>
      </c>
      <c r="BF148" s="252"/>
    </row>
    <row r="149" spans="51:58" ht="12.75">
      <c r="AY149" s="103" t="s">
        <v>218</v>
      </c>
      <c r="AZ149" s="103" t="s">
        <v>219</v>
      </c>
      <c r="BA149" s="103" t="s">
        <v>496</v>
      </c>
      <c r="BB149" s="10">
        <v>825533</v>
      </c>
      <c r="BE149" s="248"/>
      <c r="BF149" s="249"/>
    </row>
    <row r="150" spans="51:58" ht="12.75">
      <c r="AY150" s="103" t="s">
        <v>196</v>
      </c>
      <c r="AZ150" s="103" t="s">
        <v>197</v>
      </c>
      <c r="BA150" s="103" t="s">
        <v>315</v>
      </c>
      <c r="BB150" s="10">
        <v>259945</v>
      </c>
      <c r="BF150" s="252"/>
    </row>
    <row r="151" spans="51:58" ht="12.75">
      <c r="AY151" s="103" t="s">
        <v>138</v>
      </c>
      <c r="AZ151" s="103" t="s">
        <v>139</v>
      </c>
      <c r="BA151" s="103" t="s">
        <v>315</v>
      </c>
      <c r="BB151" s="10">
        <v>246573</v>
      </c>
      <c r="BF151" s="252"/>
    </row>
    <row r="152" spans="51:58" ht="12.75">
      <c r="AY152" s="103" t="s">
        <v>266</v>
      </c>
      <c r="AZ152" s="103" t="s">
        <v>267</v>
      </c>
      <c r="BA152" s="103" t="s">
        <v>496</v>
      </c>
      <c r="BB152" s="10">
        <v>462395</v>
      </c>
      <c r="BE152" s="250"/>
      <c r="BF152" s="239"/>
    </row>
    <row r="153" spans="51:58" ht="12.75">
      <c r="AY153" s="103" t="s">
        <v>191</v>
      </c>
      <c r="AZ153" s="103" t="s">
        <v>192</v>
      </c>
      <c r="BA153" s="103" t="s">
        <v>315</v>
      </c>
      <c r="BB153" s="10">
        <v>332176</v>
      </c>
      <c r="BF153" s="252"/>
    </row>
    <row r="154" spans="51:58" ht="12.75">
      <c r="AY154" s="103" t="s">
        <v>161</v>
      </c>
      <c r="AZ154" s="103" t="s">
        <v>406</v>
      </c>
      <c r="BA154" s="103" t="s">
        <v>315</v>
      </c>
      <c r="BB154" s="10">
        <v>246213</v>
      </c>
      <c r="BE154" s="237"/>
      <c r="BF154" s="238"/>
    </row>
    <row r="155" spans="51:58" ht="12.75">
      <c r="AY155" s="103" t="s">
        <v>235</v>
      </c>
      <c r="AZ155" s="103" t="s">
        <v>236</v>
      </c>
      <c r="BA155" s="103" t="s">
        <v>496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519</v>
      </c>
      <c r="B3" s="56" t="s">
        <v>376</v>
      </c>
      <c r="C3" s="56" t="s">
        <v>24</v>
      </c>
    </row>
    <row r="4" spans="1:2" ht="12.75">
      <c r="A4" s="76">
        <v>1</v>
      </c>
      <c r="B4" s="78" t="s">
        <v>81</v>
      </c>
    </row>
    <row r="5" ht="12.75">
      <c r="A5" s="280" t="s">
        <v>519</v>
      </c>
    </row>
    <row r="6" ht="12.75">
      <c r="A6" s="280" t="s">
        <v>506</v>
      </c>
    </row>
    <row r="7" ht="12.75">
      <c r="A7" s="280" t="s">
        <v>526</v>
      </c>
    </row>
    <row r="8" ht="12.75">
      <c r="A8" s="280" t="s">
        <v>509</v>
      </c>
    </row>
    <row r="9" ht="12.75">
      <c r="A9" s="280" t="s">
        <v>529</v>
      </c>
    </row>
    <row r="10" ht="12.75">
      <c r="A10" s="280" t="s">
        <v>528</v>
      </c>
    </row>
    <row r="11" ht="12.75">
      <c r="A11" s="280" t="s">
        <v>514</v>
      </c>
    </row>
    <row r="12" ht="12.75">
      <c r="A12" s="280" t="s">
        <v>512</v>
      </c>
    </row>
    <row r="13" ht="12.75">
      <c r="A13" s="280" t="s">
        <v>534</v>
      </c>
    </row>
    <row r="14" ht="12.75">
      <c r="A14" s="280" t="s">
        <v>535</v>
      </c>
    </row>
    <row r="15" ht="12.75">
      <c r="A15" s="280" t="s">
        <v>524</v>
      </c>
    </row>
    <row r="16" ht="12.75">
      <c r="A16" s="280" t="s">
        <v>508</v>
      </c>
    </row>
    <row r="17" ht="12.75">
      <c r="A17" s="280" t="s">
        <v>527</v>
      </c>
    </row>
    <row r="18" ht="12.75">
      <c r="A18" s="280" t="s">
        <v>530</v>
      </c>
    </row>
    <row r="19" ht="12.75">
      <c r="A19" s="280" t="s">
        <v>531</v>
      </c>
    </row>
    <row r="20" ht="12.75">
      <c r="A20" s="280" t="s">
        <v>520</v>
      </c>
    </row>
    <row r="21" ht="12.75">
      <c r="A21" s="280" t="s">
        <v>513</v>
      </c>
    </row>
    <row r="22" ht="12.75">
      <c r="A22" s="280" t="s">
        <v>517</v>
      </c>
    </row>
    <row r="23" ht="12.75">
      <c r="A23" s="280" t="s">
        <v>532</v>
      </c>
    </row>
    <row r="24" ht="12.75">
      <c r="A24" s="280" t="s">
        <v>523</v>
      </c>
    </row>
    <row r="25" ht="12.75">
      <c r="A25" s="280" t="s">
        <v>507</v>
      </c>
    </row>
    <row r="26" ht="12.75">
      <c r="A26" s="280" t="s">
        <v>518</v>
      </c>
    </row>
    <row r="27" ht="12.75">
      <c r="A27" s="280" t="s">
        <v>536</v>
      </c>
    </row>
    <row r="28" ht="12.75">
      <c r="A28" s="280" t="s">
        <v>504</v>
      </c>
    </row>
    <row r="29" ht="12.75">
      <c r="A29" s="280" t="s">
        <v>505</v>
      </c>
    </row>
    <row r="30" ht="12.75">
      <c r="A30" s="280" t="s">
        <v>503</v>
      </c>
    </row>
    <row r="31" ht="12.75">
      <c r="A31" s="280" t="s">
        <v>537</v>
      </c>
    </row>
    <row r="32" ht="12.75">
      <c r="A32" s="280" t="s">
        <v>533</v>
      </c>
    </row>
    <row r="33" ht="12.75">
      <c r="A33" s="280" t="s">
        <v>515</v>
      </c>
    </row>
    <row r="34" ht="12.75">
      <c r="A34" s="280" t="s">
        <v>516</v>
      </c>
    </row>
    <row r="35" ht="12.75">
      <c r="A35" s="280" t="s">
        <v>525</v>
      </c>
    </row>
    <row r="36" ht="12.75">
      <c r="A36" s="280" t="s">
        <v>522</v>
      </c>
    </row>
    <row r="37" ht="12.75">
      <c r="A37" s="280" t="s">
        <v>510</v>
      </c>
    </row>
    <row r="38" ht="12.75">
      <c r="A38" s="280" t="s">
        <v>511</v>
      </c>
    </row>
    <row r="39" ht="12.75">
      <c r="A39" s="280" t="s">
        <v>521</v>
      </c>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