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<sst xmlns="http://schemas.openxmlformats.org/spreadsheetml/2006/main" count="932" uniqueCount="506">
  <si>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</si>
  <si>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</si>
  <si>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</si>
  <si>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</si>
  <si>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</si>
  <si>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</si>
  <si>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</si>
  <si>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</si>
  <si>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</si>
  <si>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</si>
  <si>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</si>
  <si>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</si>
  <si>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</si>
  <si>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</si>
  <si>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</si>
  <si>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</si>
  <si>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</si>
  <si>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</si>
  <si>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</si>
  <si>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</si>
  <si>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</si>
  <si>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</si>
  <si>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</si>
  <si>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</si>
  <si>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</si>
  <si>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</si>
  <si>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</si>
  <si>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</si>
  <si>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</si>
  <si>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</si>
  <si>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</si>
  <si>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</si>
  <si>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</si>
  <si>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</si>
  <si>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</si>
  <si>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</si>
  <si>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</si>
  <si>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</si>
  <si>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</si>
  <si>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</si>
  <si>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</si>
  <si>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</si>
  <si>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</si>
  <si>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</si>
  <si>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</si>
  <si>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</si>
  <si>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</si>
  <si>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</si>
  <si>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</si>
  <si>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</si>
  <si>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</si>
  <si>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</si>
  <si>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</si>
  <si>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</si>
  <si>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</si>
  <si>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</si>
  <si>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</si>
  <si>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</si>
  <si>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</si>
  <si>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</si>
  <si>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</si>
  <si>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</si>
  <si>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</si>
  <si>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</si>
  <si>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</si>
  <si>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</si>
  <si>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</si>
  <si>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</si>
  <si>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</si>
  <si>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</si>
  <si>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</si>
  <si>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</si>
  <si>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</si>
  <si>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</si>
  <si>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</si>
  <si>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</si>
  <si>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</si>
  <si>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</si>
  <si>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</si>
  <si>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</si>
  <si>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</si>
  <si>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</si>
  <si>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</si>
  <si>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</si>
  <si>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</si>
  <si>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</si>
  <si>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</si>
  <si>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</si>
  <si>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</si>
  <si>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</si>
  <si>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</si>
  <si>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</si>
  <si>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</si>
  <si>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</si>
  <si>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</si>
  <si>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</si>
  <si>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</si>
  <si>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</si>
  <si>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</si>
  <si>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</si>
  <si>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</si>
  <si>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</si>
  <si>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</si>
  <si>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</si>
  <si>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</si>
  <si>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</si>
  <si>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</si>
  <si>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</si>
  <si>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</si>
  <si>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</si>
  <si>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</si>
  <si>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</si>
  <si>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</si>
  <si>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</si>
  <si>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</si>
  <si>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</si>
  <si>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</si>
  <si>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</si>
  <si>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</si>
  <si>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</si>
  <si>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</si>
  <si>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</si>
  <si>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</si>
  <si>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</si>
  <si>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</si>
  <si>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</si>
  <si>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</si>
  <si>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</si>
  <si>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</si>
  <si>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</si>
  <si>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</si>
  <si>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</si>
  <si>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</si>
  <si>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</si>
  <si>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</si>
  <si>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</si>
  <si>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</si>
  <si>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</si>
  <si>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</si>
  <si>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</si>
  <si>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</si>
  <si>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</si>
  <si>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</si>
  <si>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</si>
  <si>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</si>
  <si>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</si>
  <si>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</si>
  <si>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</si>
  <si>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</si>
  <si>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</si>
  <si>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</si>
  <si>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</si>
  <si>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</si>
  <si>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</si>
  <si>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</si>
  <si>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</si>
  <si>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</si>
  <si>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</si>
  <si>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</si>
  <si>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</si>
  <si>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</si>
  <si>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</si>
  <si>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</si>
  <si>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</si>
  <si>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</si>
  <si>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</si>
  <si>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</si>
  <si>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</si>
  <si>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</si>
  <si>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</si>
  <si>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</si>
  <si>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</si>
  <si>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</si>
  <si>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</si>
  <si>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</si>
  <si>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</si>
  <si>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</si>
  <si>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</si>
  <si>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</si>
  <si>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</si>
  <si>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</si>
  <si>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</si>
  <si>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</si>
  <si>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</si>
  <si>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</si>
  <si>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</si>
  <si>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</si>
  <si>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</si>
  <si>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</si>
  <si>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</si>
  <si>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</si>
  <si>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</si>
  <si>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</si>
  <si>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</si>
  <si>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</si>
  <si>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</si>
  <si>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</si>
  <si>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</si>
  <si>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</si>
  <si>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</si>
  <si>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</si>
  <si>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</si>
  <si>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</si>
  <si>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</si>
  <si>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</si>
  <si>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</si>
  <si>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</si>
  <si>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</si>
  <si>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</si>
  <si>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</si>
  <si>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</si>
  <si>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</si>
  <si>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</si>
  <si>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</si>
  <si>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</si>
  <si>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</si>
  <si>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</si>
  <si>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</si>
  <si>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</si>
  <si>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</si>
  <si>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</si>
  <si>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</si>
  <si>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</si>
  <si>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</si>
  <si>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</si>
  <si>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</si>
  <si>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</si>
  <si>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</si>
  <si>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</si>
  <si>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</si>
  <si>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</si>
  <si>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</si>
  <si>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</si>
  <si>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</si>
  <si>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</si>
  <si>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</si>
  <si>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</si>
  <si>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</si>
  <si>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</si>
  <si>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</si>
  <si>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</si>
  <si>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</si>
  <si>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</si>
  <si>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</si>
  <si>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</si>
  <si>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</si>
  <si>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</si>
  <si>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</si>
  <si>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</si>
  <si>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</si>
  <si>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</si>
  <si>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</si>
  <si>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</si>
  <si>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</si>
  <si>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</si>
  <si>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</si>
  <si>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</si>
  <si>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</si>
  <si>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</si>
  <si>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</si>
  <si>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</si>
  <si>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</si>
  <si>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</si>
  <si>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</si>
  <si>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</si>
  <si>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</si>
  <si>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</si>
  <si>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</si>
  <si>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</si>
  <si>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</si>
  <si>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</si>
  <si>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</si>
  <si>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</si>
  <si>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</si>
  <si>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</si>
  <si>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</si>
  <si>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</si>
  <si>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</si>
  <si>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</si>
  <si>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</si>
  <si>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</si>
  <si>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</si>
  <si>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A81003</t>
  </si>
  <si>
    <t>A81007</t>
  </si>
  <si>
    <t>A81011</t>
  </si>
  <si>
    <t>A81041</t>
  </si>
  <si>
    <t>A81044</t>
  </si>
  <si>
    <t>A81060</t>
  </si>
  <si>
    <t>A81063</t>
  </si>
  <si>
    <t>A81070</t>
  </si>
  <si>
    <t>A81612</t>
  </si>
  <si>
    <t>A81613</t>
  </si>
  <si>
    <t>A81622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</si>
  <si>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</si>
  <si>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</si>
  <si>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</si>
  <si>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</si>
  <si>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</si>
  <si>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</si>
  <si>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</si>
  <si>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</si>
  <si>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</si>
  <si>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</si>
  <si>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</si>
  <si>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</si>
  <si>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</si>
  <si>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</si>
  <si>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</si>
  <si>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</si>
  <si>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</si>
  <si>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</si>
  <si>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</si>
  <si>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</si>
  <si>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</si>
  <si>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</si>
  <si>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</si>
  <si>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</si>
  <si>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</si>
  <si>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</si>
  <si>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</si>
  <si>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</si>
  <si>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</si>
  <si>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</si>
  <si>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</si>
  <si>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</si>
  <si>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</si>
  <si>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</si>
  <si>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</si>
  <si>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</si>
  <si>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</si>
  <si>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</si>
  <si>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</si>
  <si>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</si>
  <si>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</si>
  <si>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</si>
  <si>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</si>
  <si>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</si>
  <si>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</si>
  <si>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</si>
  <si>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</si>
  <si>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</si>
  <si>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</si>
  <si>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</si>
  <si>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</si>
  <si>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</si>
  <si>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</si>
  <si>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</si>
  <si>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</si>
  <si>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</si>
  <si>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</si>
  <si>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</si>
  <si>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</si>
  <si>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</si>
  <si>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</si>
  <si>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</si>
  <si>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</si>
  <si>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</si>
  <si>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</si>
  <si>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</si>
  <si>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</si>
  <si>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</si>
  <si>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</si>
  <si>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</si>
  <si>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</si>
  <si>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</si>
  <si>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</si>
  <si>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</si>
  <si>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</si>
  <si>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</si>
  <si>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</si>
  <si>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</si>
  <si>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</si>
  <si>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</si>
  <si>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</si>
  <si>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</si>
  <si>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</si>
  <si>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</si>
  <si>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</si>
  <si>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</si>
  <si>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</si>
  <si>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</si>
  <si>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</si>
  <si>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</si>
  <si>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</si>
  <si>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</si>
  <si>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</si>
  <si>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</si>
  <si>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</si>
  <si>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</si>
  <si>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</si>
  <si>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</si>
  <si>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</si>
  <si>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</si>
  <si>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</si>
  <si>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</si>
  <si>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</si>
  <si>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</si>
  <si>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</si>
  <si>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</si>
  <si>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</si>
  <si>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</si>
  <si>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</si>
  <si>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</si>
  <si>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</si>
  <si>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</si>
  <si>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</si>
  <si>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</si>
  <si>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</si>
  <si>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</si>
  <si>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</si>
  <si>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</si>
  <si>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</si>
  <si>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</si>
  <si>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</si>
  <si>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</si>
  <si>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</si>
  <si>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</si>
  <si>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</si>
  <si>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</si>
  <si>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</si>
  <si>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</si>
  <si>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</si>
  <si>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</si>
  <si>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</si>
  <si>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</si>
  <si>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</si>
  <si>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</si>
  <si>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</si>
  <si>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</si>
  <si>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</si>
  <si>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</si>
  <si>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</si>
  <si>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</si>
  <si>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</si>
  <si>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</si>
  <si>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</si>
  <si>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</si>
  <si>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</si>
  <si>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</si>
  <si>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</si>
  <si>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</si>
  <si>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</si>
  <si>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</si>
  <si>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</si>
  <si>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</si>
  <si>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</si>
  <si>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</si>
  <si>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</si>
  <si>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</si>
  <si>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</si>
  <si>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</si>
  <si>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</si>
  <si>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</si>
  <si>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</si>
  <si>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</si>
  <si>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</si>
  <si>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</si>
  <si>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</si>
  <si>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</si>
  <si>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</si>
  <si>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</si>
  <si>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</si>
  <si>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</si>
  <si>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</si>
  <si>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</si>
  <si>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</si>
  <si>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</si>
  <si>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</si>
  <si>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</si>
  <si>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</si>
  <si>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</si>
  <si>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</si>
  <si>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</si>
  <si>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</si>
  <si>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A81031</t>
  </si>
  <si>
    <t>A81631</t>
  </si>
  <si>
    <t>Y02597</t>
  </si>
  <si>
    <t>2010/11</t>
  </si>
  <si>
    <t>2008/09-2010/11</t>
  </si>
  <si>
    <t>2005/06-2010/11</t>
  </si>
  <si>
    <t>(A81003) THE GALLAGHER PRACTICE</t>
  </si>
  <si>
    <t>(A81007) BANKHOUSE SURGERY</t>
  </si>
  <si>
    <t>(A81011) CHADWICK PRACTICE</t>
  </si>
  <si>
    <t>(A81031) HAVELOCK GRANGE PRACTICE</t>
  </si>
  <si>
    <t>(A81041) HART MEDICAL PRACTICE</t>
  </si>
  <si>
    <t>(A81044) MCKENZIE HOUSE SURGERY</t>
  </si>
  <si>
    <t>(A81060) THE KOH PRACTICE</t>
  </si>
  <si>
    <t>(A81063) THE HEADLAND MEDICAL CENTRE</t>
  </si>
  <si>
    <t>(A81070) WYNYARD ROAD PRIMARY CARE CENTRE</t>
  </si>
  <si>
    <t>(A81612) THE PATEL PRACTICE</t>
  </si>
  <si>
    <t>(A81613) THE HAZLE PRACTICE</t>
  </si>
  <si>
    <t>(A81622) GLADSTONE HOUSE SURGERY</t>
  </si>
  <si>
    <t>(A81631) WEST VIEW MILLENIUM SURGERY A</t>
  </si>
  <si>
    <t>(Y02597) THE FENS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</si>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</sst>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0.6318360480423446</c:v>
                </c:pt>
                <c:pt idx="3">
                  <c:v>0.9285715958293774</c:v>
                </c:pt>
                <c:pt idx="4">
                  <c:v>0.9562533932861205</c:v>
                </c:pt>
                <c:pt idx="5">
                  <c:v>0.7447004579057291</c:v>
                </c:pt>
                <c:pt idx="6">
                  <c:v>0.7333333291941215</c:v>
                </c:pt>
                <c:pt idx="7">
                  <c:v>0.8495533337277407</c:v>
                </c:pt>
                <c:pt idx="8">
                  <c:v>0.6449131942325405</c:v>
                </c:pt>
                <c:pt idx="9">
                  <c:v>1</c:v>
                </c:pt>
                <c:pt idx="10">
                  <c:v>1</c:v>
                </c:pt>
                <c:pt idx="11">
                  <c:v>1</c:v>
                </c:pt>
                <c:pt idx="12">
                  <c:v>1</c:v>
                </c:pt>
                <c:pt idx="13">
                  <c:v>0</c:v>
                </c:pt>
                <c:pt idx="14">
                  <c:v>1</c:v>
                </c:pt>
                <c:pt idx="15">
                  <c:v>1</c:v>
                </c:pt>
                <c:pt idx="16">
                  <c:v>0.9951650386251705</c:v>
                </c:pt>
                <c:pt idx="17">
                  <c:v>1</c:v>
                </c:pt>
                <c:pt idx="18">
                  <c:v>0.7154299441889819</c:v>
                </c:pt>
                <c:pt idx="19">
                  <c:v>1</c:v>
                </c:pt>
                <c:pt idx="20">
                  <c:v>0.971036043325579</c:v>
                </c:pt>
                <c:pt idx="21">
                  <c:v>1</c:v>
                </c:pt>
                <c:pt idx="22">
                  <c:v>0.8735537303433615</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0.551980934043449</c:v>
                </c:pt>
                <c:pt idx="3">
                  <c:v>0.6964287234812522</c:v>
                </c:pt>
                <c:pt idx="4">
                  <c:v>0.6620140515558672</c:v>
                </c:pt>
                <c:pt idx="5">
                  <c:v>0.5690601888702519</c:v>
                </c:pt>
                <c:pt idx="6">
                  <c:v>0.5833333850734808</c:v>
                </c:pt>
                <c:pt idx="7">
                  <c:v>0.6473393364564699</c:v>
                </c:pt>
                <c:pt idx="8">
                  <c:v>0.5864925318312959</c:v>
                </c:pt>
                <c:pt idx="9">
                  <c:v>0.617761067013757</c:v>
                </c:pt>
                <c:pt idx="10">
                  <c:v>0.5848541791766193</c:v>
                </c:pt>
                <c:pt idx="11">
                  <c:v>0.5460549543315766</c:v>
                </c:pt>
                <c:pt idx="12">
                  <c:v>0.6619678306594067</c:v>
                </c:pt>
                <c:pt idx="13">
                  <c:v>0</c:v>
                </c:pt>
                <c:pt idx="14">
                  <c:v>0.5667594613696111</c:v>
                </c:pt>
                <c:pt idx="15">
                  <c:v>0.7540995234846503</c:v>
                </c:pt>
                <c:pt idx="16">
                  <c:v>0.7553110095206632</c:v>
                </c:pt>
                <c:pt idx="17">
                  <c:v>0.633583433656987</c:v>
                </c:pt>
                <c:pt idx="18">
                  <c:v>0.5815405262143082</c:v>
                </c:pt>
                <c:pt idx="19">
                  <c:v>0.7025204068022594</c:v>
                </c:pt>
                <c:pt idx="20">
                  <c:v>0.5890663972119109</c:v>
                </c:pt>
                <c:pt idx="21">
                  <c:v>0.6688749162495927</c:v>
                </c:pt>
                <c:pt idx="22">
                  <c:v>0.7005772101684364</c:v>
                </c:pt>
                <c:pt idx="23">
                  <c:v>0.6840663149658083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0.3809724892634454</c:v>
                </c:pt>
                <c:pt idx="3">
                  <c:v>0.375</c:v>
                </c:pt>
                <c:pt idx="4">
                  <c:v>0.3192044910800195</c:v>
                </c:pt>
                <c:pt idx="5">
                  <c:v>0.3603154443767452</c:v>
                </c:pt>
                <c:pt idx="6">
                  <c:v>0.1333333043588508</c:v>
                </c:pt>
                <c:pt idx="7">
                  <c:v>0.413213874679722</c:v>
                </c:pt>
                <c:pt idx="8">
                  <c:v>0.4112616901236175</c:v>
                </c:pt>
                <c:pt idx="9">
                  <c:v>0.37854059981407023</c:v>
                </c:pt>
                <c:pt idx="10">
                  <c:v>0.35701787846299565</c:v>
                </c:pt>
                <c:pt idx="11">
                  <c:v>0.3267097846065982</c:v>
                </c:pt>
                <c:pt idx="12">
                  <c:v>0.26868009705120743</c:v>
                </c:pt>
                <c:pt idx="13">
                  <c:v>0</c:v>
                </c:pt>
                <c:pt idx="14">
                  <c:v>0.43116767761390296</c:v>
                </c:pt>
                <c:pt idx="15">
                  <c:v>0.45505140353258733</c:v>
                </c:pt>
                <c:pt idx="16">
                  <c:v>0.24942865558777286</c:v>
                </c:pt>
                <c:pt idx="17">
                  <c:v>0.44519814501607036</c:v>
                </c:pt>
                <c:pt idx="18">
                  <c:v>0.4361789894497399</c:v>
                </c:pt>
                <c:pt idx="19">
                  <c:v>0.4109459373184131</c:v>
                </c:pt>
                <c:pt idx="20">
                  <c:v>0.31083726262557115</c:v>
                </c:pt>
                <c:pt idx="21">
                  <c:v>0.3158334263893415</c:v>
                </c:pt>
                <c:pt idx="22">
                  <c:v>0.25803826615391917</c:v>
                </c:pt>
                <c:pt idx="23">
                  <c:v>0.3701085789192326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c:v>
                </c:pt>
                <c:pt idx="7">
                  <c:v>0</c:v>
                </c:pt>
                <c:pt idx="8">
                  <c:v>0</c:v>
                </c:pt>
                <c:pt idx="9">
                  <c:v>0.2847967311027914</c:v>
                </c:pt>
                <c:pt idx="10">
                  <c:v>0.10641281321082234</c:v>
                </c:pt>
                <c:pt idx="11">
                  <c:v>0.06733075071993636</c:v>
                </c:pt>
                <c:pt idx="12">
                  <c:v>0.046489473468936234</c:v>
                </c:pt>
                <c:pt idx="13">
                  <c:v>0</c:v>
                </c:pt>
                <c:pt idx="14">
                  <c:v>0.2847821683050363</c:v>
                </c:pt>
                <c:pt idx="15">
                  <c:v>0.2474264642695053</c:v>
                </c:pt>
                <c:pt idx="16">
                  <c:v>0</c:v>
                </c:pt>
                <c:pt idx="17">
                  <c:v>0.2913509079665043</c:v>
                </c:pt>
                <c:pt idx="18">
                  <c:v>0</c:v>
                </c:pt>
                <c:pt idx="19">
                  <c:v>0.31326538119422703</c:v>
                </c:pt>
                <c:pt idx="20">
                  <c:v>0</c:v>
                </c:pt>
                <c:pt idx="21">
                  <c:v>0.07567244025804279</c:v>
                </c:pt>
                <c:pt idx="22">
                  <c:v>0</c:v>
                </c:pt>
                <c:pt idx="23">
                  <c:v>0.026094470158283093</c:v>
                </c:pt>
                <c:pt idx="24">
                  <c:v>0</c:v>
                </c:pt>
                <c:pt idx="25">
                  <c:v>0</c:v>
                </c:pt>
                <c:pt idx="26">
                  <c:v>0</c:v>
                </c:pt>
              </c:numCache>
            </c:numRef>
          </c:val>
        </c:ser>
        <c:overlap val="100"/>
        <c:gapWidth val="100"/>
        <c:axId val="29676565"/>
        <c:axId val="6576249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0.463556718385032</c:v>
                </c:pt>
                <c:pt idx="3">
                  <c:v>-0.14207643496439656</c:v>
                </c:pt>
                <c:pt idx="4">
                  <c:v>0.4883992505947667</c:v>
                </c:pt>
                <c:pt idx="5">
                  <c:v>0.3346627326950042</c:v>
                </c:pt>
                <c:pt idx="6">
                  <c:v>0.5293817755374728</c:v>
                </c:pt>
                <c:pt idx="7">
                  <c:v>0.5720721515246247</c:v>
                </c:pt>
                <c:pt idx="8">
                  <c:v>0.5939527320771342</c:v>
                </c:pt>
                <c:pt idx="9">
                  <c:v>0.6337354656488208</c:v>
                </c:pt>
                <c:pt idx="10">
                  <c:v>0.46716795993661137</c:v>
                </c:pt>
                <c:pt idx="11">
                  <c:v>0.5637720334044612</c:v>
                </c:pt>
                <c:pt idx="12">
                  <c:v>0.4371876254881237</c:v>
                </c:pt>
                <c:pt idx="13">
                  <c:v>0.5</c:v>
                </c:pt>
                <c:pt idx="14">
                  <c:v>0.5394388692847182</c:v>
                </c:pt>
                <c:pt idx="15">
                  <c:v>0.6885853919092317</c:v>
                </c:pt>
                <c:pt idx="16">
                  <c:v>0.3882619983726855</c:v>
                </c:pt>
                <c:pt idx="17">
                  <c:v>0.4930134300052507</c:v>
                </c:pt>
                <c:pt idx="18">
                  <c:v>0.2647095195327519</c:v>
                </c:pt>
                <c:pt idx="19">
                  <c:v>0.6477224288162761</c:v>
                </c:pt>
                <c:pt idx="20">
                  <c:v>-0.22516181378085331</c:v>
                </c:pt>
                <c:pt idx="21">
                  <c:v>0.1935995040965577</c:v>
                </c:pt>
                <c:pt idx="22">
                  <c:v>-0.12080612420950852</c:v>
                </c:pt>
                <c:pt idx="23">
                  <c:v>0.27158589062392874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0.5144223851927054</c:v>
                </c:pt>
                <c:pt idx="3">
                  <c:v>-999</c:v>
                </c:pt>
                <c:pt idx="4">
                  <c:v>0.5683251922940554</c:v>
                </c:pt>
                <c:pt idx="5">
                  <c:v>0.3203728958345346</c:v>
                </c:pt>
                <c:pt idx="6">
                  <c:v>-999</c:v>
                </c:pt>
                <c:pt idx="7">
                  <c:v>-999</c:v>
                </c:pt>
                <c:pt idx="8">
                  <c:v>0.4930359430185056</c:v>
                </c:pt>
                <c:pt idx="9">
                  <c:v>-999</c:v>
                </c:pt>
                <c:pt idx="10">
                  <c:v>0.5033374122548995</c:v>
                </c:pt>
                <c:pt idx="11">
                  <c:v>0.4360759725942236</c:v>
                </c:pt>
                <c:pt idx="12">
                  <c:v>-999</c:v>
                </c:pt>
                <c:pt idx="13">
                  <c:v>-999</c:v>
                </c:pt>
                <c:pt idx="14">
                  <c:v>0.4903646028490764</c:v>
                </c:pt>
                <c:pt idx="15">
                  <c:v>-999</c:v>
                </c:pt>
                <c:pt idx="16">
                  <c:v>-999</c:v>
                </c:pt>
                <c:pt idx="17">
                  <c:v>-999</c:v>
                </c:pt>
                <c:pt idx="18">
                  <c:v>0.715429954720507</c:v>
                </c:pt>
                <c:pt idx="19">
                  <c:v>-999</c:v>
                </c:pt>
                <c:pt idx="20">
                  <c:v>0.5394272077011361</c:v>
                </c:pt>
                <c:pt idx="21">
                  <c:v>0.6465736276322137</c:v>
                </c:pt>
                <c:pt idx="22">
                  <c:v>0.5618378166112731</c:v>
                </c:pt>
                <c:pt idx="23">
                  <c:v>0.3797265461990763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0.4285714595901755</c:v>
                </c:pt>
                <c:pt idx="4">
                  <c:v>-999</c:v>
                </c:pt>
                <c:pt idx="5">
                  <c:v>-999</c:v>
                </c:pt>
                <c:pt idx="6">
                  <c:v>0.7333333699239656</c:v>
                </c:pt>
                <c:pt idx="7">
                  <c:v>0.4015256983479416</c:v>
                </c:pt>
                <c:pt idx="8">
                  <c:v>-999</c:v>
                </c:pt>
                <c:pt idx="9">
                  <c:v>0.6414357547861669</c:v>
                </c:pt>
                <c:pt idx="10">
                  <c:v>-999</c:v>
                </c:pt>
                <c:pt idx="11">
                  <c:v>-999</c:v>
                </c:pt>
                <c:pt idx="12">
                  <c:v>1.0000000177639068</c:v>
                </c:pt>
                <c:pt idx="13">
                  <c:v>1.0000000364284396</c:v>
                </c:pt>
                <c:pt idx="14">
                  <c:v>-999</c:v>
                </c:pt>
                <c:pt idx="15">
                  <c:v>1.0000000242753468</c:v>
                </c:pt>
                <c:pt idx="16">
                  <c:v>0.8073793420470297</c:v>
                </c:pt>
                <c:pt idx="17">
                  <c:v>0.8025877232775493</c:v>
                </c:pt>
                <c:pt idx="18">
                  <c:v>-999</c:v>
                </c:pt>
                <c:pt idx="19">
                  <c:v>0.8629530367885346</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991535"/>
        <c:axId val="25161768"/>
      </c:scatterChart>
      <c:catAx>
        <c:axId val="29676565"/>
        <c:scaling>
          <c:orientation val="maxMin"/>
        </c:scaling>
        <c:axPos val="l"/>
        <c:delete val="0"/>
        <c:numFmt formatCode="General" sourceLinked="1"/>
        <c:majorTickMark val="out"/>
        <c:minorTickMark val="none"/>
        <c:tickLblPos val="none"/>
        <c:spPr>
          <a:ln w="3175">
            <a:noFill/>
          </a:ln>
        </c:spPr>
        <c:crossAx val="65762494"/>
        <c:crosses val="autoZero"/>
        <c:auto val="1"/>
        <c:lblOffset val="100"/>
        <c:tickLblSkip val="1"/>
        <c:noMultiLvlLbl val="0"/>
      </c:catAx>
      <c:valAx>
        <c:axId val="65762494"/>
        <c:scaling>
          <c:orientation val="minMax"/>
          <c:max val="1"/>
          <c:min val="0"/>
        </c:scaling>
        <c:axPos val="t"/>
        <c:delete val="0"/>
        <c:numFmt formatCode="General" sourceLinked="1"/>
        <c:majorTickMark val="none"/>
        <c:minorTickMark val="none"/>
        <c:tickLblPos val="none"/>
        <c:spPr>
          <a:ln w="3175">
            <a:noFill/>
          </a:ln>
        </c:spPr>
        <c:crossAx val="29676565"/>
        <c:crossesAt val="1"/>
        <c:crossBetween val="between"/>
        <c:dispUnits/>
        <c:majorUnit val="1"/>
      </c:valAx>
      <c:valAx>
        <c:axId val="54991535"/>
        <c:scaling>
          <c:orientation val="minMax"/>
          <c:max val="1"/>
          <c:min val="0"/>
        </c:scaling>
        <c:axPos val="t"/>
        <c:delete val="0"/>
        <c:numFmt formatCode="General" sourceLinked="1"/>
        <c:majorTickMark val="none"/>
        <c:minorTickMark val="none"/>
        <c:tickLblPos val="none"/>
        <c:spPr>
          <a:ln w="3175">
            <a:noFill/>
          </a:ln>
        </c:spPr>
        <c:crossAx val="25161768"/>
        <c:crosses val="max"/>
        <c:crossBetween val="midCat"/>
        <c:dispUnits/>
        <c:majorUnit val="0.1"/>
        <c:minorUnit val="0.020000000000000004"/>
      </c:valAx>
      <c:valAx>
        <c:axId val="25161768"/>
        <c:scaling>
          <c:orientation val="maxMin"/>
          <c:max val="29"/>
          <c:min val="0"/>
        </c:scaling>
        <c:axPos val="l"/>
        <c:delete val="0"/>
        <c:numFmt formatCode="General" sourceLinked="1"/>
        <c:majorTickMark val="none"/>
        <c:minorTickMark val="none"/>
        <c:tickLblPos val="none"/>
        <c:spPr>
          <a:ln w="3175">
            <a:noFill/>
          </a:ln>
        </c:spPr>
        <c:crossAx val="5499153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(A81007) BANKHOUSE SURGERY, HARTLEPOOL PCT (5D9)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446</v>
      </c>
      <c r="Q3" s="65"/>
      <c r="R3" s="66"/>
      <c r="S3" s="66"/>
      <c r="T3" s="66"/>
      <c r="U3" s="66"/>
      <c r="V3" s="66"/>
      <c r="W3" s="66"/>
      <c r="X3" s="66"/>
      <c r="Y3" s="66"/>
      <c r="Z3" s="66"/>
      <c r="AA3" s="66"/>
      <c r="AB3" s="66"/>
      <c r="AC3" s="66"/>
    </row>
    <row r="4" spans="2:29" ht="18" customHeight="1">
      <c r="B4" s="319" t="s">
        <v>497</v>
      </c>
      <c r="C4" s="320"/>
      <c r="D4" s="320"/>
      <c r="E4" s="320"/>
      <c r="F4" s="320"/>
      <c r="G4" s="321"/>
      <c r="H4" s="112"/>
      <c r="I4" s="112"/>
      <c r="J4" s="112"/>
      <c r="K4" s="112"/>
      <c r="L4" s="113"/>
      <c r="M4" s="65"/>
      <c r="N4" s="65"/>
      <c r="O4" s="65"/>
      <c r="P4" s="134" t="s">
        <v>447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448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343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496</v>
      </c>
      <c r="C8" s="115"/>
      <c r="D8" s="115"/>
      <c r="E8" s="128">
        <f>VLOOKUP('Hide - Control'!A$3,'All practice data'!A:CA,4,FALSE)</f>
        <v>9734</v>
      </c>
      <c r="F8" s="310" t="str">
        <f>VLOOKUP('Hide - Control'!B4,'Hide - Calculation'!AY:BA,3,FALSE)</f>
        <v> </v>
      </c>
      <c r="G8" s="310"/>
      <c r="H8" s="310"/>
      <c r="I8" s="115"/>
      <c r="J8" s="115"/>
      <c r="K8" s="115"/>
      <c r="L8" s="115"/>
      <c r="M8" s="109"/>
      <c r="N8" s="314" t="s">
        <v>456</v>
      </c>
      <c r="O8" s="314"/>
      <c r="P8" s="314"/>
      <c r="Q8" s="314" t="s">
        <v>32</v>
      </c>
      <c r="R8" s="314"/>
      <c r="S8" s="314"/>
      <c r="T8" s="314" t="s">
        <v>500</v>
      </c>
      <c r="U8" s="314"/>
      <c r="V8" s="314" t="s">
        <v>33</v>
      </c>
      <c r="W8" s="314"/>
      <c r="X8" s="314"/>
      <c r="Y8" s="135"/>
      <c r="Z8" s="314" t="s">
        <v>449</v>
      </c>
      <c r="AA8" s="314"/>
      <c r="AB8" s="161"/>
      <c r="AC8" s="109"/>
    </row>
    <row r="9" spans="2:29" s="61" customFormat="1" ht="19.5" customHeight="1" thickBot="1">
      <c r="B9" s="114" t="s">
        <v>441</v>
      </c>
      <c r="C9" s="114"/>
      <c r="D9" s="114"/>
      <c r="E9" s="129">
        <f>VLOOKUP('Hide - Control'!B4,'Hide - Calculation'!AY:BB,4,FALSE)</f>
        <v>93460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438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419</v>
      </c>
      <c r="E11" s="317"/>
      <c r="F11" s="318"/>
      <c r="G11" s="263" t="s">
        <v>417</v>
      </c>
      <c r="H11" s="255" t="s">
        <v>418</v>
      </c>
      <c r="I11" s="255" t="s">
        <v>429</v>
      </c>
      <c r="J11" s="255" t="s">
        <v>430</v>
      </c>
      <c r="K11" s="255" t="s">
        <v>303</v>
      </c>
      <c r="L11" s="256" t="s">
        <v>343</v>
      </c>
      <c r="M11" s="257" t="s">
        <v>439</v>
      </c>
      <c r="N11" s="334" t="s">
        <v>437</v>
      </c>
      <c r="O11" s="334"/>
      <c r="P11" s="334"/>
      <c r="Q11" s="334"/>
      <c r="R11" s="334"/>
      <c r="S11" s="334"/>
      <c r="T11" s="334"/>
      <c r="U11" s="334"/>
      <c r="V11" s="334"/>
      <c r="W11" s="334"/>
      <c r="X11" s="334"/>
      <c r="Y11" s="334"/>
      <c r="Z11" s="334"/>
      <c r="AA11" s="258" t="s">
        <v>440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301</v>
      </c>
      <c r="C13" s="163">
        <v>1</v>
      </c>
      <c r="D13" s="312" t="s">
        <v>297</v>
      </c>
      <c r="E13" s="313"/>
      <c r="F13" s="313"/>
      <c r="G13" s="166">
        <f>IF(VLOOKUP('Hide - Control'!A$3,'All practice data'!A:CA,C13+4,FALSE)=" "," ",VLOOKUP('Hide - Control'!A$3,'All practice data'!A:CA,C13+4,FALSE))</f>
        <v>1630</v>
      </c>
      <c r="H13" s="190">
        <f>IF(VLOOKUP('Hide - Control'!A$3,'All practice data'!A:CA,C13+30,FALSE)=" "," ",VLOOKUP('Hide - Control'!A$3,'All practice data'!A:CA,C13+30,FALSE))</f>
        <v>0.1674542839531539</v>
      </c>
      <c r="I13" s="191">
        <f>IF(LEFT(G13,1)=" "," n/a",+((2*G13+1.96^2-1.96*SQRT(1.96^2+4*G13*(1-G13/E$8)))/(2*(E$8+1.96^2))))</f>
        <v>0.1601681911974442</v>
      </c>
      <c r="J13" s="191">
        <f>IF(LEFT(G13,1)=" "," n/a",+((2*G13+1.96^2+1.96*SQRT(1.96^2+4*G13*(1-G13/E$8)))/(2*(E$8+1.96^2))))</f>
        <v>0.17500275674650267</v>
      </c>
      <c r="K13" s="190">
        <f>IF('Hide - Calculation'!N7="","",'Hide - Calculation'!N7)</f>
        <v>0.16312861117055424</v>
      </c>
      <c r="L13" s="192">
        <f>'Hide - Calculation'!O7</f>
        <v>0.1599882305185145</v>
      </c>
      <c r="M13" s="208">
        <f>IF(ISBLANK('Hide - Calculation'!K7),"",'Hide - Calculation'!U7)</f>
        <v>0.09194745868444443</v>
      </c>
      <c r="N13" s="173"/>
      <c r="O13" s="173"/>
      <c r="P13" s="173"/>
      <c r="Q13" s="173"/>
      <c r="R13" s="173"/>
      <c r="S13" s="173"/>
      <c r="T13" s="173"/>
      <c r="U13" s="173"/>
      <c r="V13" s="173"/>
      <c r="W13" s="173"/>
      <c r="X13" s="173"/>
      <c r="Y13" s="173"/>
      <c r="Z13" s="173"/>
      <c r="AA13" s="226">
        <f>IF(ISBLANK('Hide - Calculation'!K7),"",'Hide - Calculation'!T7)</f>
        <v>0.1846882402896881</v>
      </c>
      <c r="AB13" s="233" t="s">
        <v>494</v>
      </c>
      <c r="AC13" s="209" t="s">
        <v>495</v>
      </c>
    </row>
    <row r="14" spans="2:29" ht="33.75" customHeight="1">
      <c r="B14" s="306"/>
      <c r="C14" s="137">
        <v>2</v>
      </c>
      <c r="D14" s="132" t="s">
        <v>450</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0.22174722816301148</v>
      </c>
      <c r="J14" s="120">
        <f>IF(LEFT(G14,1)=" "," n/a",+((2*H14*E8+1.96^2+1.96*SQRT(1.96^2+4*H14*E8*(1-H14*E8/E$8)))/(2*(E$8+1.96^2))))</f>
        <v>0.23846580302862344</v>
      </c>
      <c r="K14" s="119">
        <f>IF('Hide - Calculation'!N8="","",'Hide - Calculation'!N8)</f>
        <v>0.23927926385619513</v>
      </c>
      <c r="L14" s="155">
        <f>'Hide - Calculation'!O8</f>
        <v>0.15010930292554353</v>
      </c>
      <c r="M14" s="150">
        <f>IF(ISBLANK('Hide - Calculation'!K8),"",'Hide - Calculation'!U8)</f>
        <v>0.17000000178813934</v>
      </c>
      <c r="N14" s="84"/>
      <c r="O14" s="84"/>
      <c r="P14" s="84"/>
      <c r="Q14" s="84"/>
      <c r="R14" s="84"/>
      <c r="S14" s="84"/>
      <c r="T14" s="84"/>
      <c r="U14" s="84"/>
      <c r="V14" s="84"/>
      <c r="W14" s="84"/>
      <c r="X14" s="84"/>
      <c r="Y14" s="84"/>
      <c r="Z14" s="84"/>
      <c r="AA14" s="227">
        <f>IF(ISBLANK('Hide - Calculation'!K8),"",'Hide - Calculation'!T8)</f>
        <v>0.30000001192092896</v>
      </c>
      <c r="AB14" s="234" t="s">
        <v>39</v>
      </c>
      <c r="AC14" s="130" t="s">
        <v>495</v>
      </c>
    </row>
    <row r="15" spans="2:39" s="63" customFormat="1" ht="33.75" customHeight="1">
      <c r="B15" s="306"/>
      <c r="C15" s="137">
        <v>3</v>
      </c>
      <c r="D15" s="132" t="s">
        <v>306</v>
      </c>
      <c r="E15" s="85"/>
      <c r="F15" s="85"/>
      <c r="G15" s="121">
        <f>IF(VLOOKUP('Hide - Control'!A$3,'All practice data'!A:CA,C15+4,FALSE)=" "," ",VLOOKUP('Hide - Control'!A$3,'All practice data'!A:CA,C15+4,FALSE))</f>
        <v>49</v>
      </c>
      <c r="H15" s="122">
        <f>IF(VLOOKUP('Hide - Control'!A$3,'All practice data'!A:CA,C15+30,FALSE)=" "," ",VLOOKUP('Hide - Control'!A$3,'All practice data'!A:CA,C15+30,FALSE))</f>
        <v>503.3901787548798</v>
      </c>
      <c r="I15" s="123">
        <f>IF(LEFT(G15,1)=" "," n/a",IF(G15&lt;5,100000*VLOOKUP(G15,'Hide - Calculation'!AQ:AR,2,FALSE)/$E$8,100000*(G15*(1-1/(9*G15)-1.96/(3*SQRT(G15)))^3)/$E$8))</f>
        <v>372.37892380875314</v>
      </c>
      <c r="J15" s="123">
        <f>IF(LEFT(G15,1)=" "," n/a",IF(G15&lt;5,100000*VLOOKUP(G15,'Hide - Calculation'!AQ:AS,3,FALSE)/$E$8,100000*((G15+1)*(1-1/(9*(G15+1))+1.96/(3*SQRT(G15+1)))^3)/$E$8))</f>
        <v>665.5259653975126</v>
      </c>
      <c r="K15" s="122">
        <f>IF('Hide - Calculation'!N9="","",'Hide - Calculation'!N9)</f>
        <v>477.2095013909694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783.7838134765625</v>
      </c>
      <c r="AB15" s="234" t="s">
        <v>420</v>
      </c>
      <c r="AC15" s="131">
        <v>2009</v>
      </c>
      <c r="AD15" s="64"/>
      <c r="AE15" s="64"/>
      <c r="AF15" s="64"/>
      <c r="AG15" s="64"/>
      <c r="AH15" s="64"/>
      <c r="AI15" s="64"/>
      <c r="AJ15" s="64"/>
      <c r="AK15" s="64"/>
      <c r="AL15" s="64"/>
      <c r="AM15" s="64"/>
    </row>
    <row r="16" spans="2:29" s="63" customFormat="1" ht="33.75" customHeight="1">
      <c r="B16" s="306"/>
      <c r="C16" s="137">
        <v>4</v>
      </c>
      <c r="D16" s="132" t="s">
        <v>442</v>
      </c>
      <c r="E16" s="85"/>
      <c r="F16" s="85"/>
      <c r="G16" s="121">
        <f>IF(VLOOKUP('Hide - Control'!A$3,'All practice data'!A:CA,C16+4,FALSE)=" "," ",VLOOKUP('Hide - Control'!A$3,'All practice data'!A:CA,C16+4,FALSE))</f>
        <v>22</v>
      </c>
      <c r="H16" s="122">
        <f>IF(VLOOKUP('Hide - Control'!A$3,'All practice data'!A:CA,C16+30,FALSE)=" "," ",VLOOKUP('Hide - Control'!A$3,'All practice data'!A:CA,C16+30,FALSE))</f>
        <v>226.01191699198685</v>
      </c>
      <c r="I16" s="123">
        <f>IF(LEFT(G16,1)=" "," n/a",IF(G16&lt;5,100000*VLOOKUP(G16,'Hide - Calculation'!AQ:AR,2,FALSE)/$E$8,100000*(G16*(1-1/(9*G16)-1.96/(3*SQRT(G16)))^3)/$E$8))</f>
        <v>141.589984084454</v>
      </c>
      <c r="J16" s="123">
        <f>IF(LEFT(G16,1)=" "," n/a",IF(G16&lt;5,100000*VLOOKUP(G16,'Hide - Calculation'!AQ:AS,3,FALSE)/$E$8,100000*((G16+1)*(1-1/(9*(G16+1))+1.96/(3*SQRT(G16+1)))^3)/$E$8))</f>
        <v>342.2025875968573</v>
      </c>
      <c r="K16" s="122">
        <f>IF('Hide - Calculation'!N10="","",'Hide - Calculation'!N10)</f>
        <v>316.7130323132891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466.8533935546875</v>
      </c>
      <c r="AB16" s="234" t="s">
        <v>300</v>
      </c>
      <c r="AC16" s="131" t="s">
        <v>477</v>
      </c>
    </row>
    <row r="17" spans="2:29" s="63" customFormat="1" ht="33.75" customHeight="1" thickBot="1">
      <c r="B17" s="309"/>
      <c r="C17" s="180">
        <v>5</v>
      </c>
      <c r="D17" s="195" t="s">
        <v>305</v>
      </c>
      <c r="E17" s="182"/>
      <c r="F17" s="182"/>
      <c r="G17" s="140">
        <f>IF(VLOOKUP('Hide - Control'!A$3,'All practice data'!A:CA,C17+4,FALSE)=" "," ",VLOOKUP('Hide - Control'!A$3,'All practice data'!A:CA,C17+4,FALSE))</f>
        <v>186</v>
      </c>
      <c r="H17" s="141">
        <f>IF(VLOOKUP('Hide - Control'!A$3,'All practice data'!A:CA,C17+30,FALSE)=" "," ",VLOOKUP('Hide - Control'!A$3,'All practice data'!A:CA,C17+30,FALSE))</f>
        <v>0.019</v>
      </c>
      <c r="I17" s="142">
        <f>IF(LEFT(G17,1)=" "," n/a",+((2*G17+1.96^2-1.96*SQRT(1.96^2+4*G17*(1-G17/E$8)))/(2*(E$8+1.96^2))))</f>
        <v>0.016572152581267714</v>
      </c>
      <c r="J17" s="142">
        <f>IF(LEFT(G17,1)=" "," n/a",+((2*G17+1.96^2+1.96*SQRT(1.96^2+4*G17*(1-G17/E$8)))/(2*(E$8+1.96^2))))</f>
        <v>0.02202383361756304</v>
      </c>
      <c r="K17" s="141">
        <f>IF('Hide - Calculation'!N11="","",'Hide - Calculation'!N11)</f>
        <v>0.014059490691204794</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0.01899999938905239</v>
      </c>
      <c r="AB17" s="235" t="s">
        <v>443</v>
      </c>
      <c r="AC17" s="189" t="s">
        <v>477</v>
      </c>
    </row>
    <row r="18" spans="2:29" s="63" customFormat="1" ht="33.75" customHeight="1">
      <c r="B18" s="308" t="s">
        <v>13</v>
      </c>
      <c r="C18" s="163">
        <v>6</v>
      </c>
      <c r="D18" s="164" t="s">
        <v>451</v>
      </c>
      <c r="E18" s="165"/>
      <c r="F18" s="165"/>
      <c r="G18" s="219">
        <f>IF(OR(VLOOKUP('Hide - Control'!A$3,'All practice data'!A:CA,C18+4,FALSE)=" ",VLOOKUP('Hide - Control'!A$3,'All practice data'!A:CA,C18+52,FALSE)=0)," n/a",VLOOKUP('Hide - Control'!A$3,'All practice data'!A:CA,C18+4,FALSE))</f>
        <v>751</v>
      </c>
      <c r="H18" s="220">
        <f>IF(OR(VLOOKUP('Hide - Control'!A$3,'All practice data'!A:CA,C18+30,FALSE)=" ",VLOOKUP('Hide - Control'!A$3,'All practice data'!A:CA,C18+52,FALSE)=0)," n/a",VLOOKUP('Hide - Control'!A$3,'All practice data'!A:CA,C18+30,FALSE))</f>
        <v>0.658195</v>
      </c>
      <c r="I18" s="191">
        <f>IF(OR(LEFT(H18,1)=" ",VLOOKUP('Hide - Control'!A$3,'All practice data'!A:CA,C18+52,FALSE)=0)," n/a",+((2*G18+1.96^2-1.96*SQRT(1.96^2+4*G18*(1-G18/(VLOOKUP('Hide - Control'!A$3,'All practice data'!A:CA,C18+52,FALSE)))))/(2*(((VLOOKUP('Hide - Control'!A$3,'All practice data'!A:CA,C18+52,FALSE)))+1.96^2))))</f>
        <v>0.6301828273526255</v>
      </c>
      <c r="J18" s="191">
        <f>IF(OR(LEFT(H18,1)=" ",VLOOKUP('Hide - Control'!A$3,'All practice data'!A:CA,C18+52,FALSE)=0)," n/a",+((2*G18+1.96^2+1.96*SQRT(1.96^2+4*G18*(1-G18/(VLOOKUP('Hide - Control'!A$3,'All practice data'!A:CA,C18+52,FALSE)))))/(2*((VLOOKUP('Hide - Control'!A$3,'All practice data'!A:CA,C18+52,FALSE))+1.96^2))))</f>
        <v>0.6851446380364729</v>
      </c>
      <c r="K18" s="220">
        <f>IF('Hide - Calculation'!N12="","",'Hide - Calculation'!N12)</f>
        <v>0.7082463465553236</v>
      </c>
      <c r="L18" s="192">
        <f>'Hide - Calculation'!O12</f>
        <v>0.7248631360507991</v>
      </c>
      <c r="M18" s="193">
        <f>IF(ISBLANK('Hide - Calculation'!K12),"",'Hide - Calculation'!U12)</f>
        <v>0.5012350082397461</v>
      </c>
      <c r="N18" s="194"/>
      <c r="O18" s="173"/>
      <c r="P18" s="173"/>
      <c r="Q18" s="173"/>
      <c r="R18" s="173"/>
      <c r="S18" s="173"/>
      <c r="T18" s="173"/>
      <c r="U18" s="173"/>
      <c r="V18" s="173"/>
      <c r="W18" s="173"/>
      <c r="X18" s="173"/>
      <c r="Y18" s="173"/>
      <c r="Z18" s="174"/>
      <c r="AA18" s="193">
        <f>IF(ISBLANK('Hide - Calculation'!K12),"",'Hide - Calculation'!T12)</f>
        <v>0.8333330154418945</v>
      </c>
      <c r="AB18" s="233" t="s">
        <v>48</v>
      </c>
      <c r="AC18" s="175" t="s">
        <v>478</v>
      </c>
    </row>
    <row r="19" spans="2:29" s="63" customFormat="1" ht="33.75" customHeight="1">
      <c r="B19" s="306"/>
      <c r="C19" s="137">
        <v>7</v>
      </c>
      <c r="D19" s="132" t="s">
        <v>452</v>
      </c>
      <c r="E19" s="85"/>
      <c r="F19" s="85"/>
      <c r="G19" s="221">
        <f>IF(OR(VLOOKUP('Hide - Control'!A$3,'All practice data'!A:CA,C19+4,FALSE)=" ",VLOOKUP('Hide - Control'!A$3,'All practice data'!A:CA,C19+52,FALSE)=0)," n/a",VLOOKUP('Hide - Control'!A$3,'All practice data'!A:CA,C19+4,FALSE))</f>
        <v>17</v>
      </c>
      <c r="H19" s="218">
        <f>IF(OR(VLOOKUP('Hide - Control'!A$3,'All practice data'!A:CA,C19+30,FALSE)=" ",VLOOKUP('Hide - Control'!A$3,'All practice data'!A:CA,C19+52,FALSE)=0)," n/a",VLOOKUP('Hide - Control'!A$3,'All practice data'!A:CA,C19+30,FALSE))</f>
        <v>0.653846</v>
      </c>
      <c r="I19" s="120">
        <f>IF(OR(LEFT(H19,1)=" ",VLOOKUP('Hide - Control'!A$3,'All practice data'!A:CA,C19+52,FALSE)=0)," n/a",+((2*G19+1.96^2-1.96*SQRT(1.96^2+4*G19*(1-G19/(VLOOKUP('Hide - Control'!A$3,'All practice data'!A:CA,C19+52,FALSE)))))/(2*(((VLOOKUP('Hide - Control'!A$3,'All practice data'!A:CA,C19+52,FALSE)))+1.96^2))))</f>
        <v>0.46220229009632996</v>
      </c>
      <c r="J19" s="120">
        <f>IF(OR(LEFT(H19,1)=" ",VLOOKUP('Hide - Control'!A$3,'All practice data'!A:CA,C19+52,FALSE)=0)," n/a",+((2*G19+1.96^2+1.96*SQRT(1.96^2+4*G19*(1-G19/(VLOOKUP('Hide - Control'!A$3,'All practice data'!A:CA,C19+52,FALSE)))))/(2*((VLOOKUP('Hide - Control'!A$3,'All practice data'!A:CA,C19+52,FALSE))+1.96^2))))</f>
        <v>0.8058798502714787</v>
      </c>
      <c r="K19" s="218">
        <f>IF('Hide - Calculation'!N13="","",'Hide - Calculation'!N13)</f>
        <v>0.7395740905057675</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0.7936509847640991</v>
      </c>
      <c r="AB19" s="234" t="s">
        <v>48</v>
      </c>
      <c r="AC19" s="131" t="s">
        <v>477</v>
      </c>
    </row>
    <row r="20" spans="2:29" s="63" customFormat="1" ht="33.75" customHeight="1">
      <c r="B20" s="306"/>
      <c r="C20" s="137">
        <v>8</v>
      </c>
      <c r="D20" s="132" t="s">
        <v>453</v>
      </c>
      <c r="E20" s="85"/>
      <c r="F20" s="85"/>
      <c r="G20" s="221">
        <f>IF(OR(VLOOKUP('Hide - Control'!A$3,'All practice data'!A:CA,C20+4,FALSE)=" ",VLOOKUP('Hide - Control'!A$3,'All practice data'!A:CA,C20+52,FALSE)=0)," n/a",VLOOKUP('Hide - Control'!A$3,'All practice data'!A:CA,C20+4,FALSE))</f>
        <v>1722</v>
      </c>
      <c r="H20" s="218">
        <f>IF(OR(VLOOKUP('Hide - Control'!A$3,'All practice data'!A:CA,C20+30,FALSE)=" ",VLOOKUP('Hide - Control'!A$3,'All practice data'!A:CA,C20+52,FALSE)=0)," n/a",VLOOKUP('Hide - Control'!A$3,'All practice data'!A:CA,C20+30,FALSE))</f>
        <v>0.758256</v>
      </c>
      <c r="I20" s="120">
        <f>IF(OR(LEFT(H20,1)=" ",VLOOKUP('Hide - Control'!A$3,'All practice data'!A:CA,C20+52,FALSE)=0)," n/a",+((2*G20+1.96^2-1.96*SQRT(1.96^2+4*G20*(1-G20/(VLOOKUP('Hide - Control'!A$3,'All practice data'!A:CA,C20+52,FALSE)))))/(2*(((VLOOKUP('Hide - Control'!A$3,'All practice data'!A:CA,C20+52,FALSE)))+1.96^2))))</f>
        <v>0.7402206829622293</v>
      </c>
      <c r="J20" s="120">
        <f>IF(OR(LEFT(H20,1)=" ",VLOOKUP('Hide - Control'!A$3,'All practice data'!A:CA,C20+52,FALSE)=0)," n/a",+((2*G20+1.96^2+1.96*SQRT(1.96^2+4*G20*(1-G20/(VLOOKUP('Hide - Control'!A$3,'All practice data'!A:CA,C20+52,FALSE)))))/(2*((VLOOKUP('Hide - Control'!A$3,'All practice data'!A:CA,C20+52,FALSE))+1.96^2))))</f>
        <v>0.7754196148061955</v>
      </c>
      <c r="K20" s="218">
        <f>IF('Hide - Calculation'!N14="","",'Hide - Calculation'!N14)</f>
        <v>0.7174471537386758</v>
      </c>
      <c r="L20" s="155">
        <f>'Hide - Calculation'!O14</f>
        <v>0.7559681673907895</v>
      </c>
      <c r="M20" s="152">
        <f>IF(ISBLANK('Hide - Calculation'!K14),"",'Hide - Calculation'!U14)</f>
        <v>0.6522949934005737</v>
      </c>
      <c r="N20" s="160"/>
      <c r="O20" s="84"/>
      <c r="P20" s="84"/>
      <c r="Q20" s="84"/>
      <c r="R20" s="84"/>
      <c r="S20" s="84"/>
      <c r="T20" s="84"/>
      <c r="U20" s="84"/>
      <c r="V20" s="84"/>
      <c r="W20" s="84"/>
      <c r="X20" s="84"/>
      <c r="Y20" s="84"/>
      <c r="Z20" s="88"/>
      <c r="AA20" s="152">
        <f>IF(ISBLANK('Hide - Calculation'!K14),"",'Hide - Calculation'!T14)</f>
        <v>0.8647890090942383</v>
      </c>
      <c r="AB20" s="234" t="s">
        <v>48</v>
      </c>
      <c r="AC20" s="131" t="s">
        <v>479</v>
      </c>
    </row>
    <row r="21" spans="2:29" s="63" customFormat="1" ht="33.75" customHeight="1">
      <c r="B21" s="306"/>
      <c r="C21" s="137">
        <v>9</v>
      </c>
      <c r="D21" s="132" t="s">
        <v>454</v>
      </c>
      <c r="E21" s="85"/>
      <c r="F21" s="85"/>
      <c r="G21" s="221">
        <f>IF(OR(VLOOKUP('Hide - Control'!A$3,'All practice data'!A:CA,C21+4,FALSE)=" ",VLOOKUP('Hide - Control'!A$3,'All practice data'!A:CA,C21+52,FALSE)=0)," n/a",VLOOKUP('Hide - Control'!A$3,'All practice data'!A:CA,C21+4,FALSE))</f>
        <v>510</v>
      </c>
      <c r="H21" s="218">
        <f>IF(OR(VLOOKUP('Hide - Control'!A$3,'All practice data'!A:CA,C21+30,FALSE)=" ",VLOOKUP('Hide - Control'!A$3,'All practice data'!A:CA,C21+52,FALSE)=0)," n/a",VLOOKUP('Hide - Control'!A$3,'All practice data'!A:CA,C21+30,FALSE))</f>
        <v>0.525773</v>
      </c>
      <c r="I21" s="120">
        <f>IF(OR(LEFT(H21,1)=" ",VLOOKUP('Hide - Control'!A$3,'All practice data'!A:CA,C21+52,FALSE)=0)," n/a",+((2*G21+1.96^2-1.96*SQRT(1.96^2+4*G21*(1-G21/(VLOOKUP('Hide - Control'!A$3,'All practice data'!A:CA,C21+52,FALSE)))))/(2*(((VLOOKUP('Hide - Control'!A$3,'All practice data'!A:CA,C21+52,FALSE)))+1.96^2))))</f>
        <v>0.4943093302541237</v>
      </c>
      <c r="J21" s="120">
        <f>IF(OR(LEFT(H21,1)=" ",VLOOKUP('Hide - Control'!A$3,'All practice data'!A:CA,C21+52,FALSE)=0)," n/a",+((2*G21+1.96^2+1.96*SQRT(1.96^2+4*G21*(1-G21/(VLOOKUP('Hide - Control'!A$3,'All practice data'!A:CA,C21+52,FALSE)))))/(2*((VLOOKUP('Hide - Control'!A$3,'All practice data'!A:CA,C21+52,FALSE))+1.96^2))))</f>
        <v>0.5570337218397692</v>
      </c>
      <c r="K21" s="218">
        <f>IF('Hide - Calculation'!N15="","",'Hide - Calculation'!N15)</f>
        <v>0.5273931366646598</v>
      </c>
      <c r="L21" s="155">
        <f>'Hide - Calculation'!O15</f>
        <v>0.5147293797466616</v>
      </c>
      <c r="M21" s="152">
        <f>IF(ISBLANK('Hide - Calculation'!K15),"",'Hide - Calculation'!U15)</f>
        <v>0.4045799970626831</v>
      </c>
      <c r="N21" s="160"/>
      <c r="O21" s="84"/>
      <c r="P21" s="84"/>
      <c r="Q21" s="84"/>
      <c r="R21" s="84"/>
      <c r="S21" s="84"/>
      <c r="T21" s="84"/>
      <c r="U21" s="84"/>
      <c r="V21" s="84"/>
      <c r="W21" s="84"/>
      <c r="X21" s="84"/>
      <c r="Y21" s="84"/>
      <c r="Z21" s="88"/>
      <c r="AA21" s="152">
        <f>IF(ISBLANK('Hide - Calculation'!K15),"",'Hide - Calculation'!T15)</f>
        <v>0.6774190068244934</v>
      </c>
      <c r="AB21" s="234" t="s">
        <v>48</v>
      </c>
      <c r="AC21" s="131" t="s">
        <v>478</v>
      </c>
    </row>
    <row r="22" spans="2:29" s="63" customFormat="1" ht="33.75" customHeight="1" thickBot="1">
      <c r="B22" s="309"/>
      <c r="C22" s="180">
        <v>10</v>
      </c>
      <c r="D22" s="195" t="s">
        <v>455</v>
      </c>
      <c r="E22" s="182"/>
      <c r="F22" s="182"/>
      <c r="G22" s="222">
        <f>IF(OR(VLOOKUP('Hide - Control'!A$3,'All practice data'!A:CA,C22+4,FALSE)=" ",VLOOKUP('Hide - Control'!A$3,'All practice data'!A:CA,C22+52,FALSE)=0)," n/a",VLOOKUP('Hide - Control'!A$3,'All practice data'!A:CA,C22+4,FALSE))</f>
        <v>254</v>
      </c>
      <c r="H22" s="223">
        <f>IF(OR(VLOOKUP('Hide - Control'!A$3,'All practice data'!A:CA,C22+30,FALSE)=" ",VLOOKUP('Hide - Control'!A$3,'All practice data'!A:CA,C22+52,FALSE)=0)," n/a",VLOOKUP('Hide - Control'!A$3,'All practice data'!A:CA,C22+30,FALSE))</f>
        <v>0.520492</v>
      </c>
      <c r="I22" s="196">
        <f>IF(OR(LEFT(H22,1)=" ",VLOOKUP('Hide - Control'!A$3,'All practice data'!A:CA,C22+52,FALSE)=0)," n/a",+((2*G22+1.96^2-1.96*SQRT(1.96^2+4*G22*(1-G22/(VLOOKUP('Hide - Control'!A$3,'All practice data'!A:CA,C22+52,FALSE)))))/(2*(((VLOOKUP('Hide - Control'!A$3,'All practice data'!A:CA,C22+52,FALSE)))+1.96^2))))</f>
        <v>0.47617965966248316</v>
      </c>
      <c r="J22" s="196">
        <f>IF(OR(LEFT(H22,1)=" ",VLOOKUP('Hide - Control'!A$3,'All practice data'!A:CA,C22+52,FALSE)=0)," n/a",+((2*G22+1.96^2+1.96*SQRT(1.96^2+4*G22*(1-G22/(VLOOKUP('Hide - Control'!A$3,'All practice data'!A:CA,C22+52,FALSE)))))/(2*((VLOOKUP('Hide - Control'!A$3,'All practice data'!A:CA,C22+52,FALSE))+1.96^2))))</f>
        <v>0.5644838385044063</v>
      </c>
      <c r="K22" s="223">
        <f>IF('Hide - Calculation'!N16="","",'Hide - Calculation'!N16)</f>
        <v>0.5349593495934959</v>
      </c>
      <c r="L22" s="197">
        <f>'Hide - Calculation'!O16</f>
        <v>0.5752927626212945</v>
      </c>
      <c r="M22" s="198">
        <f>IF(ISBLANK('Hide - Calculation'!K16),"",'Hide - Calculation'!U16)</f>
        <v>0.36224499344825745</v>
      </c>
      <c r="N22" s="199"/>
      <c r="O22" s="91"/>
      <c r="P22" s="91"/>
      <c r="Q22" s="91"/>
      <c r="R22" s="91"/>
      <c r="S22" s="91"/>
      <c r="T22" s="91"/>
      <c r="U22" s="91"/>
      <c r="V22" s="91"/>
      <c r="W22" s="91"/>
      <c r="X22" s="91"/>
      <c r="Y22" s="91"/>
      <c r="Z22" s="188"/>
      <c r="AA22" s="198">
        <f>IF(ISBLANK('Hide - Calculation'!K16),"",'Hide - Calculation'!T16)</f>
        <v>0.762499988079071</v>
      </c>
      <c r="AB22" s="235" t="s">
        <v>48</v>
      </c>
      <c r="AC22" s="189" t="s">
        <v>477</v>
      </c>
    </row>
    <row r="23" spans="2:29" s="63" customFormat="1" ht="33.75" customHeight="1">
      <c r="B23" s="308" t="s">
        <v>295</v>
      </c>
      <c r="C23" s="163">
        <v>11</v>
      </c>
      <c r="D23" s="179" t="s">
        <v>307</v>
      </c>
      <c r="E23" s="165"/>
      <c r="F23" s="165"/>
      <c r="G23" s="118">
        <f>IF(VLOOKUP('Hide - Control'!A$3,'All practice data'!A:CA,C23+4,FALSE)=" "," ",VLOOKUP('Hide - Control'!A$3,'All practice data'!A:CA,C23+4,FALSE))</f>
        <v>369</v>
      </c>
      <c r="H23" s="216">
        <f>IF(VLOOKUP('Hide - Control'!A$3,'All practice data'!A:CA,C23+30,FALSE)=" "," ",VLOOKUP('Hide - Control'!A$3,'All practice data'!A:CA,C23+30,FALSE))</f>
        <v>3790.8362440928704</v>
      </c>
      <c r="I23" s="215">
        <f>IF(LEFT(G23,1)=" "," n/a",IF(G23&lt;5,100000*VLOOKUP(G23,'Hide - Calculation'!AQ:AR,2,FALSE)/$E$8,100000*(G23*(1-1/(9*G23)-1.96/(3*SQRT(G23)))^3)/$E$8))</f>
        <v>3413.8555319529396</v>
      </c>
      <c r="J23" s="215">
        <f>IF(LEFT(G23,1)=" "," n/a",IF(G23&lt;5,100000*VLOOKUP(G23,'Hide - Calculation'!AQ:AS,3,FALSE)/$E$8,100000*((G23+1)*(1-1/(9*(G23+1))+1.96/(3*SQRT(G23+1)))^3)/$E$8))</f>
        <v>4198.069920903473</v>
      </c>
      <c r="K23" s="216">
        <f>IF('Hide - Calculation'!N17="","",'Hide - Calculation'!N17)</f>
        <v>2221.2711320350954</v>
      </c>
      <c r="L23" s="217">
        <f>'Hide - Calculation'!O17</f>
        <v>1812.1669120472948</v>
      </c>
      <c r="M23" s="170">
        <f>IF(ISBLANK('Hide - Calculation'!K17),"",'Hide - Calculation'!U17)</f>
        <v>438.59649658203125</v>
      </c>
      <c r="N23" s="171"/>
      <c r="O23" s="172"/>
      <c r="P23" s="172"/>
      <c r="Q23" s="172"/>
      <c r="R23" s="173"/>
      <c r="S23" s="173"/>
      <c r="T23" s="173"/>
      <c r="U23" s="173"/>
      <c r="V23" s="173"/>
      <c r="W23" s="173"/>
      <c r="X23" s="173"/>
      <c r="Y23" s="173"/>
      <c r="Z23" s="174"/>
      <c r="AA23" s="170">
        <f>IF(ISBLANK('Hide - Calculation'!K17),"",'Hide - Calculation'!T17)</f>
        <v>3790.836181640625</v>
      </c>
      <c r="AB23" s="233" t="s">
        <v>26</v>
      </c>
      <c r="AC23" s="175" t="s">
        <v>477</v>
      </c>
    </row>
    <row r="24" spans="2:29" s="63" customFormat="1" ht="33.75" customHeight="1">
      <c r="B24" s="306"/>
      <c r="C24" s="137">
        <v>12</v>
      </c>
      <c r="D24" s="147" t="s">
        <v>461</v>
      </c>
      <c r="E24" s="85"/>
      <c r="F24" s="85"/>
      <c r="G24" s="118">
        <f>IF(VLOOKUP('Hide - Control'!A$3,'All practice data'!A:CA,C24+4,FALSE)=" "," ",VLOOKUP('Hide - Control'!A$3,'All practice data'!A:CA,C24+4,FALSE))</f>
        <v>369</v>
      </c>
      <c r="H24" s="119">
        <f>IF(VLOOKUP('Hide - Control'!A$3,'All practice data'!A:CA,C24+30,FALSE)=" "," ",VLOOKUP('Hide - Control'!A$3,'All practice data'!A:CA,C24+30,FALSE))</f>
        <v>2.04395874</v>
      </c>
      <c r="I24" s="212">
        <f>IF(LEFT(VLOOKUP('Hide - Control'!A$3,'All practice data'!A:CA,C24+44,FALSE),1)=" "," n/a",VLOOKUP('Hide - Control'!A$3,'All practice data'!A:CA,C24+44,FALSE))</f>
        <v>1.8407052609999999</v>
      </c>
      <c r="J24" s="212">
        <f>IF(LEFT(VLOOKUP('Hide - Control'!A$3,'All practice data'!A:CA,C24+45,FALSE),1)=" "," n/a",VLOOKUP('Hide - Control'!A$3,'All practice data'!A:CA,C24+45,FALSE))</f>
        <v>2.26352478</v>
      </c>
      <c r="K24" s="152" t="s">
        <v>499</v>
      </c>
      <c r="L24" s="213">
        <v>1</v>
      </c>
      <c r="M24" s="152">
        <f>IF(ISBLANK('Hide - Calculation'!K18),"",'Hide - Calculation'!U18)</f>
        <v>0.24243120849132538</v>
      </c>
      <c r="N24" s="86"/>
      <c r="O24" s="87"/>
      <c r="P24" s="87"/>
      <c r="Q24" s="87"/>
      <c r="R24" s="84"/>
      <c r="S24" s="84"/>
      <c r="T24" s="84"/>
      <c r="U24" s="84"/>
      <c r="V24" s="84"/>
      <c r="W24" s="84"/>
      <c r="X24" s="84"/>
      <c r="Y24" s="84"/>
      <c r="Z24" s="88"/>
      <c r="AA24" s="152">
        <f>IF(ISBLANK('Hide - Calculation'!K18),"",'Hide - Calculation'!T18)</f>
        <v>2.0439586639404297</v>
      </c>
      <c r="AB24" s="234" t="s">
        <v>26</v>
      </c>
      <c r="AC24" s="131" t="s">
        <v>477</v>
      </c>
    </row>
    <row r="25" spans="2:29" s="63" customFormat="1" ht="33.75" customHeight="1">
      <c r="B25" s="306"/>
      <c r="C25" s="137">
        <v>13</v>
      </c>
      <c r="D25" s="147" t="s">
        <v>302</v>
      </c>
      <c r="E25" s="85"/>
      <c r="F25" s="85"/>
      <c r="G25" s="118">
        <f>IF(VLOOKUP('Hide - Control'!A$3,'All practice data'!A:CA,C25+4,FALSE)=" "," ",VLOOKUP('Hide - Control'!A$3,'All practice data'!A:CA,C25+4,FALSE))</f>
        <v>34</v>
      </c>
      <c r="H25" s="119">
        <f>IF(VLOOKUP('Hide - Control'!A$3,'All practice data'!A:CA,C25+30,FALSE)=" "," ",VLOOKUP('Hide - Control'!A$3,'All practice data'!A:CA,C25+30,FALSE))</f>
        <v>0.0921409214092141</v>
      </c>
      <c r="I25" s="120">
        <f>IF(LEFT(G25,1)=" "," n/a",IF(G25=0," n/a",+((2*G25+1.96^2-1.96*SQRT(1.96^2+4*G25*(1-G25/G23)))/(2*(G23+1.96^2)))))</f>
        <v>0.06668588289593883</v>
      </c>
      <c r="J25" s="120">
        <f>IF(LEFT(G25,1)=" "," n/a",IF(G25=0," n/a",+((2*G25+1.96^2+1.96*SQRT(1.96^2+4*G25*(1-G25/G23)))/(2*(G23+1.96^2)))))</f>
        <v>0.12600077009557287</v>
      </c>
      <c r="K25" s="125">
        <f>IF('Hide - Calculation'!N19="","",'Hide - Calculation'!N19)</f>
        <v>0.09826589595375723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0.26923078298568726</v>
      </c>
      <c r="AB25" s="234" t="s">
        <v>26</v>
      </c>
      <c r="AC25" s="131" t="s">
        <v>477</v>
      </c>
    </row>
    <row r="26" spans="2:29" s="63" customFormat="1" ht="33.75" customHeight="1">
      <c r="B26" s="306"/>
      <c r="C26" s="137">
        <v>14</v>
      </c>
      <c r="D26" s="147" t="s">
        <v>444</v>
      </c>
      <c r="E26" s="85"/>
      <c r="F26" s="85"/>
      <c r="G26" s="121">
        <f>IF(VLOOKUP('Hide - Control'!A$3,'All practice data'!A:CA,C26+4,FALSE)=" "," ",VLOOKUP('Hide - Control'!A$3,'All practice data'!A:CA,C26+4,FALSE))</f>
        <v>48</v>
      </c>
      <c r="H26" s="119">
        <f>IF(VLOOKUP('Hide - Control'!A$3,'All practice data'!A:CA,C26+30,FALSE)=" "," ",VLOOKUP('Hide - Control'!A$3,'All practice data'!A:CA,C26+30,FALSE))</f>
        <v>0.7083333333333334</v>
      </c>
      <c r="I26" s="120">
        <f>IF(OR(LEFT(G26,1)=" ",LEFT(G25,1)=" ")," n/a",IF(G26=0," n/a",+((2*G25+1.96^2-1.96*SQRT(1.96^2+4*G25*(1-G25/G26)))/(2*(G26+1.96^2)))))</f>
        <v>0.5682047226383246</v>
      </c>
      <c r="J26" s="120">
        <f>IF(OR(LEFT(G26,1)=" ",LEFT(G25,1)=" ")," n/a",IF(G26=0," n/a",+((2*G25+1.96^2+1.96*SQRT(1.96^2+4*G25*(1-G25/G26)))/(2*(G26+1.96^2)))))</f>
        <v>0.8175858393813662</v>
      </c>
      <c r="K26" s="125">
        <f>IF('Hide - Calculation'!N20="","",'Hide - Calculation'!N20)</f>
        <v>0.4358974358974359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0.7083333134651184</v>
      </c>
      <c r="AB26" s="234" t="s">
        <v>26</v>
      </c>
      <c r="AC26" s="131" t="s">
        <v>477</v>
      </c>
    </row>
    <row r="27" spans="2:29" s="63" customFormat="1" ht="33.75" customHeight="1">
      <c r="B27" s="306"/>
      <c r="C27" s="137">
        <v>15</v>
      </c>
      <c r="D27" s="147" t="s">
        <v>431</v>
      </c>
      <c r="E27" s="85"/>
      <c r="F27" s="85"/>
      <c r="G27" s="121">
        <f>IF(VLOOKUP('Hide - Control'!A$3,'All practice data'!A:CA,C27+4,FALSE)=" "," ",VLOOKUP('Hide - Control'!A$3,'All practice data'!A:CA,C27+4,FALSE))</f>
        <v>70</v>
      </c>
      <c r="H27" s="122">
        <f>IF(VLOOKUP('Hide - Control'!A$3,'All practice data'!A:CA,C27+30,FALSE)=" "," ",VLOOKUP('Hide - Control'!A$3,'All practice data'!A:CA,C27+30,FALSE))</f>
        <v>719.1288267926855</v>
      </c>
      <c r="I27" s="123">
        <f>IF(LEFT(G27,1)=" "," n/a",IF(G27&lt;5,100000*VLOOKUP(G27,'Hide - Calculation'!AQ:AR,2,FALSE)/$E$8,100000*(G27*(1-1/(9*G27)-1.96/(3*SQRT(G27)))^3)/$E$8))</f>
        <v>560.5696085228287</v>
      </c>
      <c r="J27" s="123">
        <f>IF(LEFT(G27,1)=" "," n/a",IF(G27&lt;5,100000*VLOOKUP(G27,'Hide - Calculation'!AQ:AS,3,FALSE)/$E$8,100000*((G27+1)*(1-1/(9*(G27+1))+1.96/(3*SQRT(G27+1)))^3)/$E$8))</f>
        <v>908.5927312695594</v>
      </c>
      <c r="K27" s="122">
        <f>IF('Hide - Calculation'!N21="","",'Hide - Calculation'!N21)</f>
        <v>526.4284185747914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872.093017578125</v>
      </c>
      <c r="AB27" s="234" t="s">
        <v>26</v>
      </c>
      <c r="AC27" s="131" t="s">
        <v>477</v>
      </c>
    </row>
    <row r="28" spans="2:29" s="63" customFormat="1" ht="33.75" customHeight="1">
      <c r="B28" s="306"/>
      <c r="C28" s="137">
        <v>16</v>
      </c>
      <c r="D28" s="147" t="s">
        <v>432</v>
      </c>
      <c r="E28" s="85"/>
      <c r="F28" s="85"/>
      <c r="G28" s="121">
        <f>IF(VLOOKUP('Hide - Control'!A$3,'All practice data'!A:CA,C28+4,FALSE)=" "," ",VLOOKUP('Hide - Control'!A$3,'All practice data'!A:CA,C28+4,FALSE))</f>
        <v>67</v>
      </c>
      <c r="H28" s="122">
        <f>IF(VLOOKUP('Hide - Control'!A$3,'All practice data'!A:CA,C28+30,FALSE)=" "," ",VLOOKUP('Hide - Control'!A$3,'All practice data'!A:CA,C28+30,FALSE))</f>
        <v>688.3090199301417</v>
      </c>
      <c r="I28" s="123">
        <f>IF(LEFT(G28,1)=" "," n/a",IF(G28&lt;5,100000*VLOOKUP(G28,'Hide - Calculation'!AQ:AR,2,FALSE)/$E$8,100000*(G28*(1-1/(9*G28)-1.96/(3*SQRT(G28)))^3)/$E$8))</f>
        <v>533.4028693825405</v>
      </c>
      <c r="J28" s="123">
        <f>IF(LEFT(G28,1)=" "," n/a",IF(G28&lt;5,100000*VLOOKUP(G28,'Hide - Calculation'!AQ:AS,3,FALSE)/$E$8,100000*((G28+1)*(1-1/(9*(G28+1))+1.96/(3*SQRT(G28+1)))^3)/$E$8))</f>
        <v>874.1449402922335</v>
      </c>
      <c r="K28" s="122">
        <f>IF('Hide - Calculation'!N22="","",'Hide - Calculation'!N22)</f>
        <v>361.65204365503956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947.1192016601562</v>
      </c>
      <c r="AB28" s="234" t="s">
        <v>26</v>
      </c>
      <c r="AC28" s="131" t="s">
        <v>477</v>
      </c>
    </row>
    <row r="29" spans="2:29" s="63" customFormat="1" ht="33.75" customHeight="1">
      <c r="B29" s="306"/>
      <c r="C29" s="137">
        <v>17</v>
      </c>
      <c r="D29" s="147" t="s">
        <v>433</v>
      </c>
      <c r="E29" s="85"/>
      <c r="F29" s="85"/>
      <c r="G29" s="121">
        <f>IF(VLOOKUP('Hide - Control'!A$3,'All practice data'!A:CA,C29+4,FALSE)=" "," ",VLOOKUP('Hide - Control'!A$3,'All practice data'!A:CA,C29+4,FALSE))</f>
        <v>18</v>
      </c>
      <c r="H29" s="122">
        <f>IF(VLOOKUP('Hide - Control'!A$3,'All practice data'!A:CA,C29+30,FALSE)=" "," ",VLOOKUP('Hide - Control'!A$3,'All practice data'!A:CA,C29+30,FALSE))</f>
        <v>184.91884117526197</v>
      </c>
      <c r="I29" s="123">
        <f>IF(LEFT(G29,1)=" "," n/a",IF(G29&lt;5,100000*VLOOKUP(G29,'Hide - Calculation'!AQ:AR,2,FALSE)/$E$8,100000*(G29*(1-1/(9*G29)-1.96/(3*SQRT(G29)))^3)/$E$8))</f>
        <v>109.53756921800591</v>
      </c>
      <c r="J29" s="123">
        <f>IF(LEFT(G29,1)=" "," n/a",IF(G29&lt;5,100000*VLOOKUP(G29,'Hide - Calculation'!AQ:AS,3,FALSE)/$E$8,100000*((G29+1)*(1-1/(9*(G29+1))+1.96/(3*SQRT(G29+1)))^3)/$E$8))</f>
        <v>292.2688039936258</v>
      </c>
      <c r="K29" s="122">
        <f>IF('Hide - Calculation'!N23="","",'Hide - Calculation'!N23)</f>
        <v>138.02696340680504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184.91883850097656</v>
      </c>
      <c r="AB29" s="234" t="s">
        <v>26</v>
      </c>
      <c r="AC29" s="131" t="s">
        <v>477</v>
      </c>
    </row>
    <row r="30" spans="2:29" s="63" customFormat="1" ht="33.75" customHeight="1" thickBot="1">
      <c r="B30" s="309"/>
      <c r="C30" s="180">
        <v>18</v>
      </c>
      <c r="D30" s="181" t="s">
        <v>434</v>
      </c>
      <c r="E30" s="182"/>
      <c r="F30" s="182"/>
      <c r="G30" s="183">
        <f>IF(VLOOKUP('Hide - Control'!A$3,'All practice data'!A:CA,C30+4,FALSE)=" "," ",VLOOKUP('Hide - Control'!A$3,'All practice data'!A:CA,C30+4,FALSE))</f>
        <v>50</v>
      </c>
      <c r="H30" s="184">
        <f>IF(VLOOKUP('Hide - Control'!A$3,'All practice data'!A:CA,C30+30,FALSE)=" "," ",VLOOKUP('Hide - Control'!A$3,'All practice data'!A:CA,C30+30,FALSE))</f>
        <v>513.6634477090611</v>
      </c>
      <c r="I30" s="185">
        <f>IF(LEFT(G30,1)=" "," n/a",IF(G30&lt;5,100000*VLOOKUP(G30,'Hide - Calculation'!AQ:AR,2,FALSE)/$E$8,100000*(G30*(1-1/(9*G30)-1.96/(3*SQRT(G30)))^3)/$E$8))</f>
        <v>381.2193512742414</v>
      </c>
      <c r="J30" s="185">
        <f>IF(LEFT(G30,1)=" "," n/a",IF(G30&lt;5,100000*VLOOKUP(G30,'Hide - Calculation'!AQ:AS,3,FALSE)/$E$8,100000*((G30+1)*(1-1/(9*(G30+1))+1.96/(3*SQRT(G30+1)))^3)/$E$8))</f>
        <v>677.2186345403296</v>
      </c>
      <c r="K30" s="184">
        <f>IF('Hide - Calculation'!N24="","",'Hide - Calculation'!N24)</f>
        <v>317.78300877380696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634.920654296875</v>
      </c>
      <c r="AB30" s="235" t="s">
        <v>26</v>
      </c>
      <c r="AC30" s="189" t="s">
        <v>477</v>
      </c>
    </row>
    <row r="31" spans="2:29" s="63" customFormat="1" ht="33.75" customHeight="1">
      <c r="B31" s="304" t="s">
        <v>304</v>
      </c>
      <c r="C31" s="163">
        <v>19</v>
      </c>
      <c r="D31" s="164" t="s">
        <v>308</v>
      </c>
      <c r="E31" s="165"/>
      <c r="F31" s="165"/>
      <c r="G31" s="166">
        <f>IF(VLOOKUP('Hide - Control'!A$3,'All practice data'!A:CA,C31+4,FALSE)=" "," ",VLOOKUP('Hide - Control'!A$3,'All practice data'!A:CA,C31+4,FALSE))</f>
        <v>104</v>
      </c>
      <c r="H31" s="167">
        <f>IF(VLOOKUP('Hide - Control'!A$3,'All practice data'!A:CA,C31+30,FALSE)=" "," ",VLOOKUP('Hide - Control'!A$3,'All practice data'!A:CA,C31+30,FALSE))</f>
        <v>1068.419971234847</v>
      </c>
      <c r="I31" s="168">
        <f>IF(LEFT(G31,1)=" "," n/a",IF(G31&lt;5,100000*VLOOKUP(G31,'Hide - Calculation'!AQ:AR,2,FALSE)/$E$8,100000*(G31*(1-1/(9*G31)-1.96/(3*SQRT(G31)))^3)/$E$8))</f>
        <v>872.9543118428287</v>
      </c>
      <c r="J31" s="168">
        <f>IF(LEFT(G31,1)=" "," n/a",IF(G31&lt;5,100000*VLOOKUP(G31,'Hide - Calculation'!AQ:AS,3,FALSE)/$E$8,100000*((G31+1)*(1-1/(9*(G31+1))+1.96/(3*SQRT(G31+1)))^3)/$E$8))</f>
        <v>1294.5855019565488</v>
      </c>
      <c r="K31" s="167">
        <f>IF('Hide - Calculation'!N25="","",'Hide - Calculation'!N25)</f>
        <v>1036.8071902418146</v>
      </c>
      <c r="L31" s="169">
        <f>'Hide - Calculation'!O25</f>
        <v>562.6134400960308</v>
      </c>
      <c r="M31" s="170">
        <f>IF(ISBLANK('Hide - Calculation'!K25),"",'Hide - Calculation'!U25)</f>
        <v>711.5670776367188</v>
      </c>
      <c r="N31" s="171"/>
      <c r="O31" s="172"/>
      <c r="P31" s="172"/>
      <c r="Q31" s="172"/>
      <c r="R31" s="173"/>
      <c r="S31" s="173"/>
      <c r="T31" s="173"/>
      <c r="U31" s="173"/>
      <c r="V31" s="173"/>
      <c r="W31" s="173"/>
      <c r="X31" s="173"/>
      <c r="Y31" s="173"/>
      <c r="Z31" s="174"/>
      <c r="AA31" s="170">
        <f>IF(ISBLANK('Hide - Calculation'!K25),"",'Hide - Calculation'!T25)</f>
        <v>1353.9466552734375</v>
      </c>
      <c r="AB31" s="233" t="s">
        <v>47</v>
      </c>
      <c r="AC31" s="175" t="s">
        <v>477</v>
      </c>
    </row>
    <row r="32" spans="2:29" s="63" customFormat="1" ht="33.75" customHeight="1">
      <c r="B32" s="305"/>
      <c r="C32" s="137">
        <v>20</v>
      </c>
      <c r="D32" s="132" t="s">
        <v>309</v>
      </c>
      <c r="E32" s="85"/>
      <c r="F32" s="85"/>
      <c r="G32" s="121">
        <f>IF(VLOOKUP('Hide - Control'!A$3,'All practice data'!A:CA,C32+4,FALSE)=" "," ",VLOOKUP('Hide - Control'!A$3,'All practice data'!A:CA,C32+4,FALSE))</f>
        <v>63</v>
      </c>
      <c r="H32" s="122">
        <f>IF(VLOOKUP('Hide - Control'!A$3,'All practice data'!A:CA,C32+30,FALSE)=" "," ",VLOOKUP('Hide - Control'!A$3,'All practice data'!A:CA,C32+30,FALSE))</f>
        <v>647.2159441134169</v>
      </c>
      <c r="I32" s="123">
        <f>IF(LEFT(G32,1)=" "," n/a",IF(G32&lt;5,100000*VLOOKUP(G32,'Hide - Calculation'!AQ:AR,2,FALSE)/$E$8,100000*(G32*(1-1/(9*G32)-1.96/(3*SQRT(G32)))^3)/$E$8))</f>
        <v>497.31049227354794</v>
      </c>
      <c r="J32" s="123">
        <f>IF(LEFT(G32,1)=" "," n/a",IF(G32&lt;5,100000*VLOOKUP(G32,'Hide - Calculation'!AQ:AS,3,FALSE)/$E$8,100000*((G32+1)*(1-1/(9*(G32+1))+1.96/(3*SQRT(G32+1)))^3)/$E$8))</f>
        <v>828.0872919660832</v>
      </c>
      <c r="K32" s="122">
        <f>IF('Hide - Calculation'!N26="","",'Hide - Calculation'!N26)</f>
        <v>567.0875240744704</v>
      </c>
      <c r="L32" s="156">
        <f>'Hide - Calculation'!O26</f>
        <v>405.57105879375996</v>
      </c>
      <c r="M32" s="148">
        <f>IF(ISBLANK('Hide - Calculation'!K26),"",'Hide - Calculation'!U26)</f>
        <v>342.6613464355469</v>
      </c>
      <c r="N32" s="86"/>
      <c r="O32" s="87"/>
      <c r="P32" s="87"/>
      <c r="Q32" s="87"/>
      <c r="R32" s="84"/>
      <c r="S32" s="84"/>
      <c r="T32" s="84"/>
      <c r="U32" s="84"/>
      <c r="V32" s="84"/>
      <c r="W32" s="84"/>
      <c r="X32" s="84"/>
      <c r="Y32" s="84"/>
      <c r="Z32" s="88"/>
      <c r="AA32" s="148">
        <f>IF(ISBLANK('Hide - Calculation'!K26),"",'Hide - Calculation'!T26)</f>
        <v>835.7557983398438</v>
      </c>
      <c r="AB32" s="234" t="s">
        <v>47</v>
      </c>
      <c r="AC32" s="131" t="s">
        <v>477</v>
      </c>
    </row>
    <row r="33" spans="2:29" s="63" customFormat="1" ht="33.75" customHeight="1">
      <c r="B33" s="305"/>
      <c r="C33" s="137">
        <v>21</v>
      </c>
      <c r="D33" s="132" t="s">
        <v>311</v>
      </c>
      <c r="E33" s="85"/>
      <c r="F33" s="85"/>
      <c r="G33" s="121">
        <f>IF(VLOOKUP('Hide - Control'!A$3,'All practice data'!A:CA,C33+4,FALSE)=" "," ",VLOOKUP('Hide - Control'!A$3,'All practice data'!A:CA,C33+4,FALSE))</f>
        <v>180</v>
      </c>
      <c r="H33" s="122">
        <f>IF(VLOOKUP('Hide - Control'!A$3,'All practice data'!A:CA,C33+30,FALSE)=" "," ",VLOOKUP('Hide - Control'!A$3,'All practice data'!A:CA,C33+30,FALSE))</f>
        <v>1849.1884117526197</v>
      </c>
      <c r="I33" s="123">
        <f>IF(LEFT(G33,1)=" "," n/a",IF(G33&lt;5,100000*VLOOKUP(G33,'Hide - Calculation'!AQ:AR,2,FALSE)/$E$8,100000*(G33*(1-1/(9*G33)-1.96/(3*SQRT(G33)))^3)/$E$8))</f>
        <v>1588.8856005323864</v>
      </c>
      <c r="J33" s="123">
        <f>IF(LEFT(G33,1)=" "," n/a",IF(G33&lt;5,100000*VLOOKUP(G33,'Hide - Calculation'!AQ:AS,3,FALSE)/$E$8,100000*((G33+1)*(1-1/(9*(G33+1))+1.96/(3*SQRT(G33+1)))^3)/$E$8))</f>
        <v>2139.963893027912</v>
      </c>
      <c r="K33" s="122">
        <f>IF('Hide - Calculation'!N27="","",'Hide - Calculation'!N27)</f>
        <v>1818.9599828803766</v>
      </c>
      <c r="L33" s="156">
        <f>'Hide - Calculation'!O27</f>
        <v>1059.3522061277838</v>
      </c>
      <c r="M33" s="148">
        <f>IF(ISBLANK('Hide - Calculation'!K27),"",'Hide - Calculation'!U27)</f>
        <v>1199.1279296875</v>
      </c>
      <c r="N33" s="86"/>
      <c r="O33" s="87"/>
      <c r="P33" s="87"/>
      <c r="Q33" s="87"/>
      <c r="R33" s="84"/>
      <c r="S33" s="84"/>
      <c r="T33" s="84"/>
      <c r="U33" s="84"/>
      <c r="V33" s="84"/>
      <c r="W33" s="84"/>
      <c r="X33" s="84"/>
      <c r="Y33" s="84"/>
      <c r="Z33" s="88"/>
      <c r="AA33" s="148">
        <f>IF(ISBLANK('Hide - Calculation'!K27),"",'Hide - Calculation'!T27)</f>
        <v>2209.8515625</v>
      </c>
      <c r="AB33" s="234" t="s">
        <v>47</v>
      </c>
      <c r="AC33" s="131" t="s">
        <v>477</v>
      </c>
    </row>
    <row r="34" spans="2:29" s="63" customFormat="1" ht="33.75" customHeight="1">
      <c r="B34" s="305"/>
      <c r="C34" s="137">
        <v>22</v>
      </c>
      <c r="D34" s="132" t="s">
        <v>310</v>
      </c>
      <c r="E34" s="85"/>
      <c r="F34" s="85"/>
      <c r="G34" s="118">
        <f>IF(VLOOKUP('Hide - Control'!A$3,'All practice data'!A:CA,C34+4,FALSE)=" "," ",VLOOKUP('Hide - Control'!A$3,'All practice data'!A:CA,C34+4,FALSE))</f>
        <v>64</v>
      </c>
      <c r="H34" s="122">
        <f>IF(VLOOKUP('Hide - Control'!A$3,'All practice data'!A:CA,C34+30,FALSE)=" "," ",VLOOKUP('Hide - Control'!A$3,'All practice data'!A:CA,C34+30,FALSE))</f>
        <v>657.4892130675981</v>
      </c>
      <c r="I34" s="123">
        <f>IF(LEFT(G34,1)=" "," n/a",IF(G34&lt;5,100000*VLOOKUP(G34,'Hide - Calculation'!AQ:AR,2,FALSE)/$E$8,100000*(G34*(1-1/(9*G34)-1.96/(3*SQRT(G34)))^3)/$E$8))</f>
        <v>506.3190203548036</v>
      </c>
      <c r="J34" s="123">
        <f>IF(LEFT(G34,1)=" "," n/a",IF(G34&lt;5,100000*VLOOKUP(G34,'Hide - Calculation'!AQ:AS,3,FALSE)/$E$8,100000*((G34+1)*(1-1/(9*(G34+1))+1.96/(3*SQRT(G34+1)))^3)/$E$8))</f>
        <v>839.6159610754938</v>
      </c>
      <c r="K34" s="122">
        <f>IF('Hide - Calculation'!N28="","",'Hide - Calculation'!N28)</f>
        <v>734.0038519152579</v>
      </c>
      <c r="L34" s="156">
        <f>'Hide - Calculation'!O28</f>
        <v>582.9390489900089</v>
      </c>
      <c r="M34" s="148">
        <f>IF(ISBLANK('Hide - Calculation'!K28),"",'Hide - Calculation'!U28)</f>
        <v>413.7018127441406</v>
      </c>
      <c r="N34" s="86"/>
      <c r="O34" s="87"/>
      <c r="P34" s="87"/>
      <c r="Q34" s="87"/>
      <c r="R34" s="84"/>
      <c r="S34" s="84"/>
      <c r="T34" s="84"/>
      <c r="U34" s="84"/>
      <c r="V34" s="84"/>
      <c r="W34" s="84"/>
      <c r="X34" s="84"/>
      <c r="Y34" s="84"/>
      <c r="Z34" s="88"/>
      <c r="AA34" s="148">
        <f>IF(ISBLANK('Hide - Calculation'!K28),"",'Hide - Calculation'!T28)</f>
        <v>1085.09423828125</v>
      </c>
      <c r="AB34" s="234" t="s">
        <v>47</v>
      </c>
      <c r="AC34" s="131" t="s">
        <v>477</v>
      </c>
    </row>
    <row r="35" spans="2:29" s="63" customFormat="1" ht="33.75" customHeight="1">
      <c r="B35" s="305"/>
      <c r="C35" s="137">
        <v>23</v>
      </c>
      <c r="D35" s="138" t="s">
        <v>435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296</v>
      </c>
      <c r="AC35" s="131">
        <v>2008</v>
      </c>
    </row>
    <row r="36" spans="2:29" ht="33.75" customHeight="1">
      <c r="B36" s="306"/>
      <c r="C36" s="137">
        <v>24</v>
      </c>
      <c r="D36" s="224" t="s">
        <v>436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296</v>
      </c>
      <c r="AC36" s="131">
        <v>2008</v>
      </c>
    </row>
    <row r="37" spans="2:29" ht="33.75" customHeight="1" thickBot="1">
      <c r="B37" s="307"/>
      <c r="C37" s="176">
        <v>25</v>
      </c>
      <c r="D37" s="177" t="s">
        <v>312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296</v>
      </c>
      <c r="AC37" s="149">
        <v>2008</v>
      </c>
    </row>
    <row r="38" spans="2:29" ht="16.5" customHeight="1">
      <c r="B38" s="69"/>
      <c r="C38" s="69"/>
      <c r="D38" s="65" t="s">
        <v>294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498</v>
      </c>
      <c r="C39" s="244"/>
      <c r="D39" s="244"/>
      <c r="E39" s="303" t="s">
        <v>502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460</v>
      </c>
      <c r="BE2" s="341"/>
      <c r="BF2" s="341"/>
      <c r="BG2" s="341"/>
      <c r="BH2" s="341"/>
      <c r="BI2" s="341"/>
      <c r="BJ2" s="342"/>
    </row>
    <row r="3" spans="1:82" s="72" customFormat="1" ht="76.5" customHeight="1">
      <c r="A3" s="266" t="s">
        <v>276</v>
      </c>
      <c r="B3" s="275" t="s">
        <v>277</v>
      </c>
      <c r="C3" s="276" t="s">
        <v>49</v>
      </c>
      <c r="D3" s="274" t="s">
        <v>445</v>
      </c>
      <c r="E3" s="267" t="s">
        <v>317</v>
      </c>
      <c r="F3" s="267" t="s">
        <v>428</v>
      </c>
      <c r="G3" s="267" t="s">
        <v>319</v>
      </c>
      <c r="H3" s="267" t="s">
        <v>320</v>
      </c>
      <c r="I3" s="267" t="s">
        <v>321</v>
      </c>
      <c r="J3" s="267" t="s">
        <v>469</v>
      </c>
      <c r="K3" s="267" t="s">
        <v>470</v>
      </c>
      <c r="L3" s="267" t="s">
        <v>471</v>
      </c>
      <c r="M3" s="267" t="s">
        <v>322</v>
      </c>
      <c r="N3" s="267" t="s">
        <v>323</v>
      </c>
      <c r="O3" s="267" t="s">
        <v>324</v>
      </c>
      <c r="P3" s="267" t="s">
        <v>459</v>
      </c>
      <c r="Q3" s="267" t="s">
        <v>325</v>
      </c>
      <c r="R3" s="267" t="s">
        <v>326</v>
      </c>
      <c r="S3" s="267" t="s">
        <v>327</v>
      </c>
      <c r="T3" s="267" t="s">
        <v>328</v>
      </c>
      <c r="U3" s="267" t="s">
        <v>329</v>
      </c>
      <c r="V3" s="267" t="s">
        <v>330</v>
      </c>
      <c r="W3" s="267" t="s">
        <v>331</v>
      </c>
      <c r="X3" s="267" t="s">
        <v>332</v>
      </c>
      <c r="Y3" s="267" t="s">
        <v>333</v>
      </c>
      <c r="Z3" s="267" t="s">
        <v>334</v>
      </c>
      <c r="AA3" s="267" t="s">
        <v>335</v>
      </c>
      <c r="AB3" s="267" t="s">
        <v>336</v>
      </c>
      <c r="AC3" s="267" t="s">
        <v>337</v>
      </c>
      <c r="AD3" s="268" t="s">
        <v>338</v>
      </c>
      <c r="AE3" s="268" t="s">
        <v>317</v>
      </c>
      <c r="AF3" s="269" t="s">
        <v>318</v>
      </c>
      <c r="AG3" s="268" t="s">
        <v>319</v>
      </c>
      <c r="AH3" s="268" t="s">
        <v>320</v>
      </c>
      <c r="AI3" s="268" t="s">
        <v>321</v>
      </c>
      <c r="AJ3" s="268" t="s">
        <v>469</v>
      </c>
      <c r="AK3" s="268" t="s">
        <v>470</v>
      </c>
      <c r="AL3" s="268" t="s">
        <v>471</v>
      </c>
      <c r="AM3" s="268" t="s">
        <v>322</v>
      </c>
      <c r="AN3" s="268" t="s">
        <v>323</v>
      </c>
      <c r="AO3" s="268" t="s">
        <v>324</v>
      </c>
      <c r="AP3" s="268" t="s">
        <v>459</v>
      </c>
      <c r="AQ3" s="268" t="s">
        <v>325</v>
      </c>
      <c r="AR3" s="268" t="s">
        <v>326</v>
      </c>
      <c r="AS3" s="268" t="s">
        <v>327</v>
      </c>
      <c r="AT3" s="268" t="s">
        <v>328</v>
      </c>
      <c r="AU3" s="268" t="s">
        <v>329</v>
      </c>
      <c r="AV3" s="268" t="s">
        <v>330</v>
      </c>
      <c r="AW3" s="268" t="s">
        <v>331</v>
      </c>
      <c r="AX3" s="268" t="s">
        <v>332</v>
      </c>
      <c r="AY3" s="270" t="s">
        <v>333</v>
      </c>
      <c r="AZ3" s="271" t="s">
        <v>334</v>
      </c>
      <c r="BA3" s="271" t="s">
        <v>335</v>
      </c>
      <c r="BB3" s="271" t="s">
        <v>336</v>
      </c>
      <c r="BC3" s="272" t="s">
        <v>337</v>
      </c>
      <c r="BD3" s="273" t="s">
        <v>457</v>
      </c>
      <c r="BE3" s="273" t="s">
        <v>458</v>
      </c>
      <c r="BF3" s="273" t="s">
        <v>465</v>
      </c>
      <c r="BG3" s="273" t="s">
        <v>466</v>
      </c>
      <c r="BH3" s="273" t="s">
        <v>464</v>
      </c>
      <c r="BI3" s="273" t="s">
        <v>467</v>
      </c>
      <c r="BJ3" s="273" t="s">
        <v>468</v>
      </c>
      <c r="BK3" s="73"/>
      <c r="BL3" s="73"/>
      <c r="BM3" s="73"/>
      <c r="BN3" s="73"/>
      <c r="BO3" s="73"/>
      <c r="BP3" s="73"/>
      <c r="BQ3" s="73"/>
      <c r="BR3" s="73"/>
      <c r="BS3" s="73"/>
      <c r="BT3" s="73"/>
      <c r="BU3" s="73"/>
      <c r="BV3" s="73"/>
      <c r="BW3" s="73"/>
      <c r="BX3" s="73"/>
      <c r="BY3" s="73"/>
      <c r="BZ3" s="73"/>
      <c r="CA3" s="73"/>
      <c r="CB3" s="73"/>
      <c r="CC3" s="73"/>
      <c r="CD3" s="73"/>
    </row>
    <row r="4" spans="1:66" ht="12.75">
      <c r="A4" s="79" t="s">
        <v>481</v>
      </c>
      <c r="B4" s="79" t="s">
        <v>283</v>
      </c>
      <c r="C4" s="79" t="s">
        <v>83</v>
      </c>
      <c r="D4" s="99">
        <v>9734</v>
      </c>
      <c r="E4" s="99">
        <v>1630</v>
      </c>
      <c r="F4" s="99" t="s">
        <v>314</v>
      </c>
      <c r="G4" s="99">
        <v>49</v>
      </c>
      <c r="H4" s="99">
        <v>22</v>
      </c>
      <c r="I4" s="99">
        <v>186</v>
      </c>
      <c r="J4" s="99">
        <v>751</v>
      </c>
      <c r="K4" s="99">
        <v>17</v>
      </c>
      <c r="L4" s="99">
        <v>1722</v>
      </c>
      <c r="M4" s="99">
        <v>510</v>
      </c>
      <c r="N4" s="99">
        <v>254</v>
      </c>
      <c r="O4" s="99">
        <v>369</v>
      </c>
      <c r="P4" s="159">
        <v>369</v>
      </c>
      <c r="Q4" s="99">
        <v>34</v>
      </c>
      <c r="R4" s="99">
        <v>48</v>
      </c>
      <c r="S4" s="99">
        <v>70</v>
      </c>
      <c r="T4" s="99">
        <v>67</v>
      </c>
      <c r="U4" s="99">
        <v>18</v>
      </c>
      <c r="V4" s="99">
        <v>50</v>
      </c>
      <c r="W4" s="99">
        <v>104</v>
      </c>
      <c r="X4" s="99">
        <v>63</v>
      </c>
      <c r="Y4" s="99">
        <v>180</v>
      </c>
      <c r="Z4" s="99">
        <v>64</v>
      </c>
      <c r="AA4" s="99" t="s">
        <v>501</v>
      </c>
      <c r="AB4" s="99" t="s">
        <v>501</v>
      </c>
      <c r="AC4" s="99" t="s">
        <v>501</v>
      </c>
      <c r="AD4" s="98" t="s">
        <v>294</v>
      </c>
      <c r="AE4" s="100">
        <v>0.1674542839531539</v>
      </c>
      <c r="AF4" s="100">
        <v>0.23</v>
      </c>
      <c r="AG4" s="98">
        <v>503.3901787548798</v>
      </c>
      <c r="AH4" s="98">
        <v>226.01191699198685</v>
      </c>
      <c r="AI4" s="100">
        <v>0.019</v>
      </c>
      <c r="AJ4" s="100">
        <v>0.658195</v>
      </c>
      <c r="AK4" s="100">
        <v>0.653846</v>
      </c>
      <c r="AL4" s="100">
        <v>0.758256</v>
      </c>
      <c r="AM4" s="100">
        <v>0.525773</v>
      </c>
      <c r="AN4" s="100">
        <v>0.520492</v>
      </c>
      <c r="AO4" s="98">
        <v>3790.8362440928704</v>
      </c>
      <c r="AP4" s="158">
        <v>2.04395874</v>
      </c>
      <c r="AQ4" s="100">
        <v>0.0921409214092141</v>
      </c>
      <c r="AR4" s="100">
        <v>0.7083333333333334</v>
      </c>
      <c r="AS4" s="98">
        <v>719.1288267926855</v>
      </c>
      <c r="AT4" s="98">
        <v>688.3090199301417</v>
      </c>
      <c r="AU4" s="98">
        <v>184.91884117526197</v>
      </c>
      <c r="AV4" s="98">
        <v>513.6634477090611</v>
      </c>
      <c r="AW4" s="98">
        <v>1068.419971234847</v>
      </c>
      <c r="AX4" s="98">
        <v>647.2159441134169</v>
      </c>
      <c r="AY4" s="98">
        <v>1849.1884117526197</v>
      </c>
      <c r="AZ4" s="98">
        <v>657.4892130675981</v>
      </c>
      <c r="BA4" s="101" t="s">
        <v>501</v>
      </c>
      <c r="BB4" s="101" t="s">
        <v>501</v>
      </c>
      <c r="BC4" s="101" t="s">
        <v>501</v>
      </c>
      <c r="BD4" s="158">
        <v>1.8407052609999999</v>
      </c>
      <c r="BE4" s="158">
        <v>2.26352478</v>
      </c>
      <c r="BF4" s="162">
        <v>1141</v>
      </c>
      <c r="BG4" s="162">
        <v>26</v>
      </c>
      <c r="BH4" s="162">
        <v>2271</v>
      </c>
      <c r="BI4" s="162">
        <v>970</v>
      </c>
      <c r="BJ4" s="162">
        <v>488</v>
      </c>
      <c r="BK4" s="97"/>
      <c r="BL4" s="97"/>
      <c r="BM4" s="97"/>
      <c r="BN4" s="97"/>
    </row>
    <row r="5" spans="1:66" ht="12.75">
      <c r="A5" s="79" t="s">
        <v>482</v>
      </c>
      <c r="B5" s="79" t="s">
        <v>284</v>
      </c>
      <c r="C5" s="79" t="s">
        <v>83</v>
      </c>
      <c r="D5" s="99">
        <v>10414</v>
      </c>
      <c r="E5" s="99">
        <v>1824</v>
      </c>
      <c r="F5" s="99" t="s">
        <v>315</v>
      </c>
      <c r="G5" s="99">
        <v>60</v>
      </c>
      <c r="H5" s="99">
        <v>37</v>
      </c>
      <c r="I5" s="99">
        <v>166</v>
      </c>
      <c r="J5" s="99">
        <v>1016</v>
      </c>
      <c r="K5" s="99">
        <v>6</v>
      </c>
      <c r="L5" s="99">
        <v>1745</v>
      </c>
      <c r="M5" s="99">
        <v>643</v>
      </c>
      <c r="N5" s="99">
        <v>342</v>
      </c>
      <c r="O5" s="99">
        <v>347</v>
      </c>
      <c r="P5" s="159">
        <v>347</v>
      </c>
      <c r="Q5" s="99">
        <v>27</v>
      </c>
      <c r="R5" s="99">
        <v>53</v>
      </c>
      <c r="S5" s="99">
        <v>69</v>
      </c>
      <c r="T5" s="99">
        <v>70</v>
      </c>
      <c r="U5" s="99">
        <v>12</v>
      </c>
      <c r="V5" s="99">
        <v>39</v>
      </c>
      <c r="W5" s="99">
        <v>141</v>
      </c>
      <c r="X5" s="99">
        <v>59</v>
      </c>
      <c r="Y5" s="99">
        <v>221</v>
      </c>
      <c r="Z5" s="99">
        <v>89</v>
      </c>
      <c r="AA5" s="99" t="s">
        <v>501</v>
      </c>
      <c r="AB5" s="99" t="s">
        <v>501</v>
      </c>
      <c r="AC5" s="99" t="s">
        <v>501</v>
      </c>
      <c r="AD5" s="98" t="s">
        <v>294</v>
      </c>
      <c r="AE5" s="100">
        <v>0.17514883810255424</v>
      </c>
      <c r="AF5" s="100">
        <v>0.24</v>
      </c>
      <c r="AG5" s="98">
        <v>576.1474937584021</v>
      </c>
      <c r="AH5" s="98">
        <v>355.290954484348</v>
      </c>
      <c r="AI5" s="100">
        <v>0.016</v>
      </c>
      <c r="AJ5" s="100">
        <v>0.703114</v>
      </c>
      <c r="AK5" s="100">
        <v>0.375</v>
      </c>
      <c r="AL5" s="100">
        <v>0.693561</v>
      </c>
      <c r="AM5" s="100">
        <v>0.526618</v>
      </c>
      <c r="AN5" s="100">
        <v>0.555195</v>
      </c>
      <c r="AO5" s="98">
        <v>3332.0530055694257</v>
      </c>
      <c r="AP5" s="158">
        <v>1.702384796</v>
      </c>
      <c r="AQ5" s="100">
        <v>0.07780979827089338</v>
      </c>
      <c r="AR5" s="100">
        <v>0.5094339622641509</v>
      </c>
      <c r="AS5" s="98">
        <v>662.5696178221625</v>
      </c>
      <c r="AT5" s="98">
        <v>672.1720760514692</v>
      </c>
      <c r="AU5" s="98">
        <v>115.22949875168042</v>
      </c>
      <c r="AV5" s="98">
        <v>374.4958709429614</v>
      </c>
      <c r="AW5" s="98">
        <v>1353.946610332245</v>
      </c>
      <c r="AX5" s="98">
        <v>566.5450355290955</v>
      </c>
      <c r="AY5" s="98">
        <v>2122.143268676781</v>
      </c>
      <c r="AZ5" s="98">
        <v>854.6187824082965</v>
      </c>
      <c r="BA5" s="100" t="s">
        <v>501</v>
      </c>
      <c r="BB5" s="100" t="s">
        <v>501</v>
      </c>
      <c r="BC5" s="100" t="s">
        <v>501</v>
      </c>
      <c r="BD5" s="158">
        <v>1.527957001</v>
      </c>
      <c r="BE5" s="158">
        <v>1.891268005</v>
      </c>
      <c r="BF5" s="162">
        <v>1445</v>
      </c>
      <c r="BG5" s="162">
        <v>16</v>
      </c>
      <c r="BH5" s="162">
        <v>2516</v>
      </c>
      <c r="BI5" s="162">
        <v>1221</v>
      </c>
      <c r="BJ5" s="162">
        <v>616</v>
      </c>
      <c r="BK5" s="97"/>
      <c r="BL5" s="97"/>
      <c r="BM5" s="97"/>
      <c r="BN5" s="97"/>
    </row>
    <row r="6" spans="1:66" ht="12.75">
      <c r="A6" s="79" t="s">
        <v>491</v>
      </c>
      <c r="B6" s="79" t="s">
        <v>292</v>
      </c>
      <c r="C6" s="79" t="s">
        <v>83</v>
      </c>
      <c r="D6" s="99">
        <v>5283</v>
      </c>
      <c r="E6" s="99">
        <v>801</v>
      </c>
      <c r="F6" s="99" t="s">
        <v>315</v>
      </c>
      <c r="G6" s="99">
        <v>23</v>
      </c>
      <c r="H6" s="99">
        <v>14</v>
      </c>
      <c r="I6" s="99">
        <v>52</v>
      </c>
      <c r="J6" s="99">
        <v>345</v>
      </c>
      <c r="K6" s="99" t="s">
        <v>501</v>
      </c>
      <c r="L6" s="99">
        <v>814</v>
      </c>
      <c r="M6" s="99">
        <v>232</v>
      </c>
      <c r="N6" s="99">
        <v>100</v>
      </c>
      <c r="O6" s="99">
        <v>110</v>
      </c>
      <c r="P6" s="159">
        <v>110</v>
      </c>
      <c r="Q6" s="99">
        <v>6</v>
      </c>
      <c r="R6" s="99">
        <v>23</v>
      </c>
      <c r="S6" s="99">
        <v>36</v>
      </c>
      <c r="T6" s="99">
        <v>17</v>
      </c>
      <c r="U6" s="99">
        <v>8</v>
      </c>
      <c r="V6" s="99">
        <v>6</v>
      </c>
      <c r="W6" s="99">
        <v>49</v>
      </c>
      <c r="X6" s="99">
        <v>23</v>
      </c>
      <c r="Y6" s="99">
        <v>109</v>
      </c>
      <c r="Z6" s="99">
        <v>34</v>
      </c>
      <c r="AA6" s="99" t="s">
        <v>501</v>
      </c>
      <c r="AB6" s="99" t="s">
        <v>501</v>
      </c>
      <c r="AC6" s="99" t="s">
        <v>501</v>
      </c>
      <c r="AD6" s="98" t="s">
        <v>294</v>
      </c>
      <c r="AE6" s="100">
        <v>0.151618398637138</v>
      </c>
      <c r="AF6" s="100">
        <v>0.27</v>
      </c>
      <c r="AG6" s="98">
        <v>435.35869770963467</v>
      </c>
      <c r="AH6" s="98">
        <v>265.00094643195155</v>
      </c>
      <c r="AI6" s="100">
        <v>0.01</v>
      </c>
      <c r="AJ6" s="100">
        <v>0.676471</v>
      </c>
      <c r="AK6" s="100" t="s">
        <v>501</v>
      </c>
      <c r="AL6" s="100">
        <v>0.654867</v>
      </c>
      <c r="AM6" s="100">
        <v>0.473469</v>
      </c>
      <c r="AN6" s="100">
        <v>0.444444</v>
      </c>
      <c r="AO6" s="98">
        <v>2082.150293393905</v>
      </c>
      <c r="AP6" s="158">
        <v>1.212638702</v>
      </c>
      <c r="AQ6" s="100">
        <v>0.05454545454545454</v>
      </c>
      <c r="AR6" s="100">
        <v>0.2608695652173913</v>
      </c>
      <c r="AS6" s="98">
        <v>681.4310051107325</v>
      </c>
      <c r="AT6" s="98">
        <v>321.78686352451257</v>
      </c>
      <c r="AU6" s="98">
        <v>151.42911224682945</v>
      </c>
      <c r="AV6" s="98">
        <v>113.57183418512209</v>
      </c>
      <c r="AW6" s="98">
        <v>927.5033125118304</v>
      </c>
      <c r="AX6" s="98">
        <v>435.35869770963467</v>
      </c>
      <c r="AY6" s="98">
        <v>2063.221654363051</v>
      </c>
      <c r="AZ6" s="98">
        <v>643.5737270490251</v>
      </c>
      <c r="BA6" s="101" t="s">
        <v>501</v>
      </c>
      <c r="BB6" s="101" t="s">
        <v>501</v>
      </c>
      <c r="BC6" s="101" t="s">
        <v>501</v>
      </c>
      <c r="BD6" s="158">
        <v>0.9966415405</v>
      </c>
      <c r="BE6" s="158">
        <v>1.461557617</v>
      </c>
      <c r="BF6" s="162">
        <v>510</v>
      </c>
      <c r="BG6" s="162" t="s">
        <v>501</v>
      </c>
      <c r="BH6" s="162">
        <v>1243</v>
      </c>
      <c r="BI6" s="162">
        <v>490</v>
      </c>
      <c r="BJ6" s="162">
        <v>225</v>
      </c>
      <c r="BK6" s="97"/>
      <c r="BL6" s="97"/>
      <c r="BM6" s="97"/>
      <c r="BN6" s="97"/>
    </row>
    <row r="7" spans="1:66" ht="12.75">
      <c r="A7" s="79" t="s">
        <v>484</v>
      </c>
      <c r="B7" s="79" t="s">
        <v>285</v>
      </c>
      <c r="C7" s="79" t="s">
        <v>83</v>
      </c>
      <c r="D7" s="99">
        <v>9683</v>
      </c>
      <c r="E7" s="99">
        <v>1620</v>
      </c>
      <c r="F7" s="99" t="s">
        <v>315</v>
      </c>
      <c r="G7" s="99">
        <v>23</v>
      </c>
      <c r="H7" s="99">
        <v>36</v>
      </c>
      <c r="I7" s="99">
        <v>167</v>
      </c>
      <c r="J7" s="99">
        <v>943</v>
      </c>
      <c r="K7" s="99">
        <v>901</v>
      </c>
      <c r="L7" s="99">
        <v>1497</v>
      </c>
      <c r="M7" s="99">
        <v>573</v>
      </c>
      <c r="N7" s="99">
        <v>287</v>
      </c>
      <c r="O7" s="99">
        <v>172</v>
      </c>
      <c r="P7" s="159">
        <v>172</v>
      </c>
      <c r="Q7" s="99">
        <v>17</v>
      </c>
      <c r="R7" s="99">
        <v>44</v>
      </c>
      <c r="S7" s="99">
        <v>29</v>
      </c>
      <c r="T7" s="99">
        <v>21</v>
      </c>
      <c r="U7" s="99">
        <v>11</v>
      </c>
      <c r="V7" s="99">
        <v>22</v>
      </c>
      <c r="W7" s="99">
        <v>107</v>
      </c>
      <c r="X7" s="99">
        <v>64</v>
      </c>
      <c r="Y7" s="99">
        <v>204</v>
      </c>
      <c r="Z7" s="99">
        <v>87</v>
      </c>
      <c r="AA7" s="99" t="s">
        <v>501</v>
      </c>
      <c r="AB7" s="99" t="s">
        <v>501</v>
      </c>
      <c r="AC7" s="99" t="s">
        <v>501</v>
      </c>
      <c r="AD7" s="98" t="s">
        <v>294</v>
      </c>
      <c r="AE7" s="100">
        <v>0.16730352163585666</v>
      </c>
      <c r="AF7" s="100">
        <v>0.24</v>
      </c>
      <c r="AG7" s="98">
        <v>237.52969121140143</v>
      </c>
      <c r="AH7" s="98">
        <v>371.785603635237</v>
      </c>
      <c r="AI7" s="100">
        <v>0.017</v>
      </c>
      <c r="AJ7" s="100">
        <v>0.733852</v>
      </c>
      <c r="AK7" s="100">
        <v>0.73913</v>
      </c>
      <c r="AL7" s="100">
        <v>0.662389</v>
      </c>
      <c r="AM7" s="100">
        <v>0.52281</v>
      </c>
      <c r="AN7" s="100">
        <v>0.554054</v>
      </c>
      <c r="AO7" s="98">
        <v>1776.3089951461325</v>
      </c>
      <c r="AP7" s="158">
        <v>0.919220047</v>
      </c>
      <c r="AQ7" s="100">
        <v>0.09883720930232558</v>
      </c>
      <c r="AR7" s="100">
        <v>0.38636363636363635</v>
      </c>
      <c r="AS7" s="98">
        <v>299.4939584839409</v>
      </c>
      <c r="AT7" s="98">
        <v>216.87493545388827</v>
      </c>
      <c r="AU7" s="98">
        <v>113.60115666632242</v>
      </c>
      <c r="AV7" s="98">
        <v>227.20231333264485</v>
      </c>
      <c r="AW7" s="98">
        <v>1105.0294330269544</v>
      </c>
      <c r="AX7" s="98">
        <v>660.9521842404214</v>
      </c>
      <c r="AY7" s="98">
        <v>2106.785087266343</v>
      </c>
      <c r="AZ7" s="98">
        <v>898.4818754518228</v>
      </c>
      <c r="BA7" s="100" t="s">
        <v>501</v>
      </c>
      <c r="BB7" s="100" t="s">
        <v>501</v>
      </c>
      <c r="BC7" s="100" t="s">
        <v>501</v>
      </c>
      <c r="BD7" s="158">
        <v>0.7869761658000001</v>
      </c>
      <c r="BE7" s="158">
        <v>1.06732666</v>
      </c>
      <c r="BF7" s="162">
        <v>1285</v>
      </c>
      <c r="BG7" s="162">
        <v>1219</v>
      </c>
      <c r="BH7" s="162">
        <v>2260</v>
      </c>
      <c r="BI7" s="162">
        <v>1096</v>
      </c>
      <c r="BJ7" s="162">
        <v>518</v>
      </c>
      <c r="BK7" s="97"/>
      <c r="BL7" s="97"/>
      <c r="BM7" s="97"/>
      <c r="BN7" s="97"/>
    </row>
    <row r="8" spans="1:66" ht="12.75">
      <c r="A8" s="79" t="s">
        <v>483</v>
      </c>
      <c r="B8" s="79" t="s">
        <v>474</v>
      </c>
      <c r="C8" s="79" t="s">
        <v>83</v>
      </c>
      <c r="D8" s="99">
        <v>12770</v>
      </c>
      <c r="E8" s="99">
        <v>2232</v>
      </c>
      <c r="F8" s="99" t="s">
        <v>314</v>
      </c>
      <c r="G8" s="99">
        <v>71</v>
      </c>
      <c r="H8" s="99">
        <v>42</v>
      </c>
      <c r="I8" s="99">
        <v>221</v>
      </c>
      <c r="J8" s="99">
        <v>1067</v>
      </c>
      <c r="K8" s="99">
        <v>8</v>
      </c>
      <c r="L8" s="99">
        <v>2154</v>
      </c>
      <c r="M8" s="99">
        <v>673</v>
      </c>
      <c r="N8" s="99">
        <v>350</v>
      </c>
      <c r="O8" s="99">
        <v>335</v>
      </c>
      <c r="P8" s="159">
        <v>335</v>
      </c>
      <c r="Q8" s="99">
        <v>34</v>
      </c>
      <c r="R8" s="99">
        <v>62</v>
      </c>
      <c r="S8" s="99">
        <v>97</v>
      </c>
      <c r="T8" s="99">
        <v>51</v>
      </c>
      <c r="U8" s="99">
        <v>16</v>
      </c>
      <c r="V8" s="99">
        <v>62</v>
      </c>
      <c r="W8" s="99">
        <v>121</v>
      </c>
      <c r="X8" s="99">
        <v>60</v>
      </c>
      <c r="Y8" s="99">
        <v>225</v>
      </c>
      <c r="Z8" s="99">
        <v>89</v>
      </c>
      <c r="AA8" s="99" t="s">
        <v>501</v>
      </c>
      <c r="AB8" s="99" t="s">
        <v>501</v>
      </c>
      <c r="AC8" s="99" t="s">
        <v>501</v>
      </c>
      <c r="AD8" s="98" t="s">
        <v>294</v>
      </c>
      <c r="AE8" s="100">
        <v>0.17478465152701644</v>
      </c>
      <c r="AF8" s="100">
        <v>0.24</v>
      </c>
      <c r="AG8" s="98">
        <v>555.9906029757243</v>
      </c>
      <c r="AH8" s="98">
        <v>328.8958496476116</v>
      </c>
      <c r="AI8" s="100">
        <v>0.017</v>
      </c>
      <c r="AJ8" s="100">
        <v>0.679185</v>
      </c>
      <c r="AK8" s="100">
        <v>0.571429</v>
      </c>
      <c r="AL8" s="100">
        <v>0.712773</v>
      </c>
      <c r="AM8" s="100">
        <v>0.523735</v>
      </c>
      <c r="AN8" s="100">
        <v>0.541796</v>
      </c>
      <c r="AO8" s="98">
        <v>2623.3359436178544</v>
      </c>
      <c r="AP8" s="158">
        <v>1.3782418820000002</v>
      </c>
      <c r="AQ8" s="100">
        <v>0.10149253731343283</v>
      </c>
      <c r="AR8" s="100">
        <v>0.5483870967741935</v>
      </c>
      <c r="AS8" s="98">
        <v>759.592795614722</v>
      </c>
      <c r="AT8" s="98">
        <v>399.3735317149569</v>
      </c>
      <c r="AU8" s="98">
        <v>125.29365700861393</v>
      </c>
      <c r="AV8" s="98">
        <v>485.512920908379</v>
      </c>
      <c r="AW8" s="98">
        <v>947.5332811276429</v>
      </c>
      <c r="AX8" s="98">
        <v>469.8512137823023</v>
      </c>
      <c r="AY8" s="98">
        <v>1761.9420516836335</v>
      </c>
      <c r="AZ8" s="98">
        <v>696.945967110415</v>
      </c>
      <c r="BA8" s="100" t="s">
        <v>501</v>
      </c>
      <c r="BB8" s="100" t="s">
        <v>501</v>
      </c>
      <c r="BC8" s="100" t="s">
        <v>501</v>
      </c>
      <c r="BD8" s="158">
        <v>1.234588394</v>
      </c>
      <c r="BE8" s="158">
        <v>1.534021606</v>
      </c>
      <c r="BF8" s="162">
        <v>1571</v>
      </c>
      <c r="BG8" s="162">
        <v>14</v>
      </c>
      <c r="BH8" s="162">
        <v>3022</v>
      </c>
      <c r="BI8" s="162">
        <v>1285</v>
      </c>
      <c r="BJ8" s="162">
        <v>646</v>
      </c>
      <c r="BK8" s="97"/>
      <c r="BL8" s="97"/>
      <c r="BM8" s="97"/>
      <c r="BN8" s="97"/>
    </row>
    <row r="9" spans="1:66" ht="12.75">
      <c r="A9" s="79" t="s">
        <v>485</v>
      </c>
      <c r="B9" s="79" t="s">
        <v>286</v>
      </c>
      <c r="C9" s="79" t="s">
        <v>83</v>
      </c>
      <c r="D9" s="99">
        <v>15223</v>
      </c>
      <c r="E9" s="99">
        <v>2487</v>
      </c>
      <c r="F9" s="99" t="s">
        <v>314</v>
      </c>
      <c r="G9" s="99">
        <v>70</v>
      </c>
      <c r="H9" s="99">
        <v>52</v>
      </c>
      <c r="I9" s="99">
        <v>123</v>
      </c>
      <c r="J9" s="99">
        <v>1526</v>
      </c>
      <c r="K9" s="99">
        <v>1455</v>
      </c>
      <c r="L9" s="99">
        <v>2642</v>
      </c>
      <c r="M9" s="99">
        <v>945</v>
      </c>
      <c r="N9" s="99">
        <v>481</v>
      </c>
      <c r="O9" s="99">
        <v>302</v>
      </c>
      <c r="P9" s="159">
        <v>302</v>
      </c>
      <c r="Q9" s="99">
        <v>46</v>
      </c>
      <c r="R9" s="99">
        <v>84</v>
      </c>
      <c r="S9" s="99">
        <v>81</v>
      </c>
      <c r="T9" s="99">
        <v>36</v>
      </c>
      <c r="U9" s="99">
        <v>28</v>
      </c>
      <c r="V9" s="99">
        <v>55</v>
      </c>
      <c r="W9" s="99">
        <v>159</v>
      </c>
      <c r="X9" s="99">
        <v>87</v>
      </c>
      <c r="Y9" s="99">
        <v>273</v>
      </c>
      <c r="Z9" s="99">
        <v>115</v>
      </c>
      <c r="AA9" s="99" t="s">
        <v>501</v>
      </c>
      <c r="AB9" s="99" t="s">
        <v>501</v>
      </c>
      <c r="AC9" s="99" t="s">
        <v>501</v>
      </c>
      <c r="AD9" s="98" t="s">
        <v>294</v>
      </c>
      <c r="AE9" s="100">
        <v>0.16337121460947251</v>
      </c>
      <c r="AF9" s="100">
        <v>0.22</v>
      </c>
      <c r="AG9" s="98">
        <v>459.8305196084872</v>
      </c>
      <c r="AH9" s="98">
        <v>341.58838599487615</v>
      </c>
      <c r="AI9" s="100">
        <v>0.008</v>
      </c>
      <c r="AJ9" s="100">
        <v>0.761097</v>
      </c>
      <c r="AK9" s="100">
        <v>0.74159</v>
      </c>
      <c r="AL9" s="100">
        <v>0.719695</v>
      </c>
      <c r="AM9" s="100">
        <v>0.558511</v>
      </c>
      <c r="AN9" s="100">
        <v>0.562573</v>
      </c>
      <c r="AO9" s="98">
        <v>1983.8402417394732</v>
      </c>
      <c r="AP9" s="158">
        <v>1.0433222960000001</v>
      </c>
      <c r="AQ9" s="100">
        <v>0.152317880794702</v>
      </c>
      <c r="AR9" s="100">
        <v>0.5476190476190477</v>
      </c>
      <c r="AS9" s="98">
        <v>532.0896012612494</v>
      </c>
      <c r="AT9" s="98">
        <v>236.48426722722198</v>
      </c>
      <c r="AU9" s="98">
        <v>183.93220784339485</v>
      </c>
      <c r="AV9" s="98">
        <v>361.29540826381134</v>
      </c>
      <c r="AW9" s="98">
        <v>1044.4721802535637</v>
      </c>
      <c r="AX9" s="98">
        <v>571.5036457991198</v>
      </c>
      <c r="AY9" s="98">
        <v>1793.3390264731</v>
      </c>
      <c r="AZ9" s="98">
        <v>755.4358536425146</v>
      </c>
      <c r="BA9" s="100" t="s">
        <v>501</v>
      </c>
      <c r="BB9" s="100" t="s">
        <v>501</v>
      </c>
      <c r="BC9" s="100" t="s">
        <v>501</v>
      </c>
      <c r="BD9" s="158">
        <v>0.9289585875999999</v>
      </c>
      <c r="BE9" s="158">
        <v>1.167878189</v>
      </c>
      <c r="BF9" s="162">
        <v>2005</v>
      </c>
      <c r="BG9" s="162">
        <v>1962</v>
      </c>
      <c r="BH9" s="162">
        <v>3671</v>
      </c>
      <c r="BI9" s="162">
        <v>1692</v>
      </c>
      <c r="BJ9" s="162">
        <v>855</v>
      </c>
      <c r="BK9" s="97"/>
      <c r="BL9" s="97"/>
      <c r="BM9" s="97"/>
      <c r="BN9" s="97"/>
    </row>
    <row r="10" spans="1:66" ht="12.75">
      <c r="A10" s="79" t="s">
        <v>493</v>
      </c>
      <c r="B10" s="79" t="s">
        <v>476</v>
      </c>
      <c r="C10" s="79" t="s">
        <v>83</v>
      </c>
      <c r="D10" s="99">
        <v>1267</v>
      </c>
      <c r="E10" s="99">
        <v>234</v>
      </c>
      <c r="F10" s="99" t="s">
        <v>314</v>
      </c>
      <c r="G10" s="99" t="s">
        <v>501</v>
      </c>
      <c r="H10" s="99" t="s">
        <v>501</v>
      </c>
      <c r="I10" s="99">
        <v>19</v>
      </c>
      <c r="J10" s="99">
        <v>145</v>
      </c>
      <c r="K10" s="99">
        <v>100</v>
      </c>
      <c r="L10" s="99">
        <v>307</v>
      </c>
      <c r="M10" s="99">
        <v>105</v>
      </c>
      <c r="N10" s="99">
        <v>61</v>
      </c>
      <c r="O10" s="99">
        <v>36</v>
      </c>
      <c r="P10" s="159">
        <v>36</v>
      </c>
      <c r="Q10" s="99" t="s">
        <v>501</v>
      </c>
      <c r="R10" s="99">
        <v>10</v>
      </c>
      <c r="S10" s="99" t="s">
        <v>501</v>
      </c>
      <c r="T10" s="99">
        <v>12</v>
      </c>
      <c r="U10" s="99" t="s">
        <v>501</v>
      </c>
      <c r="V10" s="99" t="s">
        <v>501</v>
      </c>
      <c r="W10" s="99">
        <v>14</v>
      </c>
      <c r="X10" s="99">
        <v>6</v>
      </c>
      <c r="Y10" s="99">
        <v>23</v>
      </c>
      <c r="Z10" s="99">
        <v>10</v>
      </c>
      <c r="AA10" s="99" t="s">
        <v>501</v>
      </c>
      <c r="AB10" s="99" t="s">
        <v>501</v>
      </c>
      <c r="AC10" s="99" t="s">
        <v>501</v>
      </c>
      <c r="AD10" s="98" t="s">
        <v>294</v>
      </c>
      <c r="AE10" s="100">
        <v>0.18468823993685873</v>
      </c>
      <c r="AF10" s="100">
        <v>0.19</v>
      </c>
      <c r="AG10" s="98" t="s">
        <v>501</v>
      </c>
      <c r="AH10" s="98" t="s">
        <v>501</v>
      </c>
      <c r="AI10" s="100">
        <v>0.015</v>
      </c>
      <c r="AJ10" s="100">
        <v>0.833333</v>
      </c>
      <c r="AK10" s="100">
        <v>0.793651</v>
      </c>
      <c r="AL10" s="100">
        <v>0.864789</v>
      </c>
      <c r="AM10" s="100">
        <v>0.677419</v>
      </c>
      <c r="AN10" s="100">
        <v>0.7625</v>
      </c>
      <c r="AO10" s="98">
        <v>2841.3575374901343</v>
      </c>
      <c r="AP10" s="158">
        <v>1.3936143490000001</v>
      </c>
      <c r="AQ10" s="100" t="s">
        <v>501</v>
      </c>
      <c r="AR10" s="100" t="s">
        <v>501</v>
      </c>
      <c r="AS10" s="98" t="s">
        <v>501</v>
      </c>
      <c r="AT10" s="98">
        <v>947.119179163378</v>
      </c>
      <c r="AU10" s="98" t="s">
        <v>501</v>
      </c>
      <c r="AV10" s="98" t="s">
        <v>501</v>
      </c>
      <c r="AW10" s="98">
        <v>1104.9723756906078</v>
      </c>
      <c r="AX10" s="98">
        <v>473.559589581689</v>
      </c>
      <c r="AY10" s="98">
        <v>1815.3117600631413</v>
      </c>
      <c r="AZ10" s="98">
        <v>789.2659826361484</v>
      </c>
      <c r="BA10" s="101" t="s">
        <v>501</v>
      </c>
      <c r="BB10" s="101" t="s">
        <v>501</v>
      </c>
      <c r="BC10" s="101" t="s">
        <v>501</v>
      </c>
      <c r="BD10" s="158">
        <v>0.9760703278</v>
      </c>
      <c r="BE10" s="158">
        <v>1.92934967</v>
      </c>
      <c r="BF10" s="162">
        <v>174</v>
      </c>
      <c r="BG10" s="162">
        <v>126</v>
      </c>
      <c r="BH10" s="162">
        <v>355</v>
      </c>
      <c r="BI10" s="162">
        <v>155</v>
      </c>
      <c r="BJ10" s="162">
        <v>80</v>
      </c>
      <c r="BK10" s="97"/>
      <c r="BL10" s="97"/>
      <c r="BM10" s="97"/>
      <c r="BN10" s="97"/>
    </row>
    <row r="11" spans="1:66" ht="12.75">
      <c r="A11" s="79" t="s">
        <v>480</v>
      </c>
      <c r="B11" s="79" t="s">
        <v>282</v>
      </c>
      <c r="C11" s="79" t="s">
        <v>83</v>
      </c>
      <c r="D11" s="99">
        <v>3700</v>
      </c>
      <c r="E11" s="99">
        <v>496</v>
      </c>
      <c r="F11" s="99" t="s">
        <v>315</v>
      </c>
      <c r="G11" s="99">
        <v>29</v>
      </c>
      <c r="H11" s="99">
        <v>9</v>
      </c>
      <c r="I11" s="99">
        <v>28</v>
      </c>
      <c r="J11" s="99">
        <v>203</v>
      </c>
      <c r="K11" s="99" t="s">
        <v>501</v>
      </c>
      <c r="L11" s="99">
        <v>606</v>
      </c>
      <c r="M11" s="99">
        <v>159</v>
      </c>
      <c r="N11" s="99">
        <v>71</v>
      </c>
      <c r="O11" s="99">
        <v>36</v>
      </c>
      <c r="P11" s="159">
        <v>36</v>
      </c>
      <c r="Q11" s="99" t="s">
        <v>501</v>
      </c>
      <c r="R11" s="99">
        <v>18</v>
      </c>
      <c r="S11" s="99">
        <v>15</v>
      </c>
      <c r="T11" s="99" t="s">
        <v>501</v>
      </c>
      <c r="U11" s="99" t="s">
        <v>501</v>
      </c>
      <c r="V11" s="99" t="s">
        <v>501</v>
      </c>
      <c r="W11" s="99">
        <v>29</v>
      </c>
      <c r="X11" s="99">
        <v>25</v>
      </c>
      <c r="Y11" s="99">
        <v>55</v>
      </c>
      <c r="Z11" s="99">
        <v>24</v>
      </c>
      <c r="AA11" s="99" t="s">
        <v>501</v>
      </c>
      <c r="AB11" s="99" t="s">
        <v>501</v>
      </c>
      <c r="AC11" s="99" t="s">
        <v>501</v>
      </c>
      <c r="AD11" s="98" t="s">
        <v>294</v>
      </c>
      <c r="AE11" s="100">
        <v>0.13405405405405404</v>
      </c>
      <c r="AF11" s="100">
        <v>0.29</v>
      </c>
      <c r="AG11" s="98">
        <v>783.7837837837837</v>
      </c>
      <c r="AH11" s="98">
        <v>243.24324324324326</v>
      </c>
      <c r="AI11" s="100">
        <v>0.008</v>
      </c>
      <c r="AJ11" s="100">
        <v>0.501235</v>
      </c>
      <c r="AK11" s="100" t="s">
        <v>501</v>
      </c>
      <c r="AL11" s="100">
        <v>0.73012</v>
      </c>
      <c r="AM11" s="100">
        <v>0.40458</v>
      </c>
      <c r="AN11" s="100">
        <v>0.362245</v>
      </c>
      <c r="AO11" s="98">
        <v>972.972972972973</v>
      </c>
      <c r="AP11" s="158">
        <v>0.5769823456000001</v>
      </c>
      <c r="AQ11" s="100" t="s">
        <v>501</v>
      </c>
      <c r="AR11" s="100" t="s">
        <v>501</v>
      </c>
      <c r="AS11" s="98">
        <v>405.4054054054054</v>
      </c>
      <c r="AT11" s="98" t="s">
        <v>501</v>
      </c>
      <c r="AU11" s="98" t="s">
        <v>501</v>
      </c>
      <c r="AV11" s="98" t="s">
        <v>501</v>
      </c>
      <c r="AW11" s="98">
        <v>783.7837837837837</v>
      </c>
      <c r="AX11" s="98">
        <v>675.6756756756756</v>
      </c>
      <c r="AY11" s="98">
        <v>1486.4864864864865</v>
      </c>
      <c r="AZ11" s="98">
        <v>648.6486486486486</v>
      </c>
      <c r="BA11" s="100" t="s">
        <v>501</v>
      </c>
      <c r="BB11" s="100" t="s">
        <v>501</v>
      </c>
      <c r="BC11" s="100" t="s">
        <v>501</v>
      </c>
      <c r="BD11" s="158">
        <v>0.4041113663</v>
      </c>
      <c r="BE11" s="158">
        <v>0.7987867737000001</v>
      </c>
      <c r="BF11" s="162">
        <v>405</v>
      </c>
      <c r="BG11" s="162" t="s">
        <v>501</v>
      </c>
      <c r="BH11" s="162">
        <v>830</v>
      </c>
      <c r="BI11" s="162">
        <v>393</v>
      </c>
      <c r="BJ11" s="162">
        <v>196</v>
      </c>
      <c r="BK11" s="97"/>
      <c r="BL11" s="97"/>
      <c r="BM11" s="97"/>
      <c r="BN11" s="97"/>
    </row>
    <row r="12" spans="1:66" ht="12.75">
      <c r="A12" s="79" t="s">
        <v>490</v>
      </c>
      <c r="B12" s="79" t="s">
        <v>291</v>
      </c>
      <c r="C12" s="79" t="s">
        <v>83</v>
      </c>
      <c r="D12" s="99">
        <v>3557</v>
      </c>
      <c r="E12" s="99">
        <v>514</v>
      </c>
      <c r="F12" s="99" t="s">
        <v>315</v>
      </c>
      <c r="G12" s="99">
        <v>22</v>
      </c>
      <c r="H12" s="99">
        <v>8</v>
      </c>
      <c r="I12" s="99">
        <v>57</v>
      </c>
      <c r="J12" s="99">
        <v>259</v>
      </c>
      <c r="K12" s="99" t="s">
        <v>501</v>
      </c>
      <c r="L12" s="99">
        <v>575</v>
      </c>
      <c r="M12" s="99">
        <v>163</v>
      </c>
      <c r="N12" s="99">
        <v>77</v>
      </c>
      <c r="O12" s="99">
        <v>57</v>
      </c>
      <c r="P12" s="159">
        <v>57</v>
      </c>
      <c r="Q12" s="99" t="s">
        <v>501</v>
      </c>
      <c r="R12" s="99">
        <v>14</v>
      </c>
      <c r="S12" s="99">
        <v>9</v>
      </c>
      <c r="T12" s="99">
        <v>16</v>
      </c>
      <c r="U12" s="99" t="s">
        <v>501</v>
      </c>
      <c r="V12" s="99" t="s">
        <v>501</v>
      </c>
      <c r="W12" s="99">
        <v>37</v>
      </c>
      <c r="X12" s="99">
        <v>25</v>
      </c>
      <c r="Y12" s="99">
        <v>49</v>
      </c>
      <c r="Z12" s="99">
        <v>31</v>
      </c>
      <c r="AA12" s="99" t="s">
        <v>501</v>
      </c>
      <c r="AB12" s="99" t="s">
        <v>501</v>
      </c>
      <c r="AC12" s="99" t="s">
        <v>501</v>
      </c>
      <c r="AD12" s="98" t="s">
        <v>294</v>
      </c>
      <c r="AE12" s="100">
        <v>0.14450379533314592</v>
      </c>
      <c r="AF12" s="100">
        <v>0.26</v>
      </c>
      <c r="AG12" s="98">
        <v>618.4987348889514</v>
      </c>
      <c r="AH12" s="98">
        <v>224.9086308687096</v>
      </c>
      <c r="AI12" s="100">
        <v>0.016</v>
      </c>
      <c r="AJ12" s="100">
        <v>0.616667</v>
      </c>
      <c r="AK12" s="100" t="s">
        <v>501</v>
      </c>
      <c r="AL12" s="100">
        <v>0.675676</v>
      </c>
      <c r="AM12" s="100">
        <v>0.463068</v>
      </c>
      <c r="AN12" s="100">
        <v>0.458333</v>
      </c>
      <c r="AO12" s="98">
        <v>1602.4739949395557</v>
      </c>
      <c r="AP12" s="158">
        <v>0.8972980499000001</v>
      </c>
      <c r="AQ12" s="100" t="s">
        <v>501</v>
      </c>
      <c r="AR12" s="100" t="s">
        <v>501</v>
      </c>
      <c r="AS12" s="98">
        <v>253.02220972729828</v>
      </c>
      <c r="AT12" s="98">
        <v>449.8172617374192</v>
      </c>
      <c r="AU12" s="98" t="s">
        <v>501</v>
      </c>
      <c r="AV12" s="98" t="s">
        <v>501</v>
      </c>
      <c r="AW12" s="98">
        <v>1040.2024177677818</v>
      </c>
      <c r="AX12" s="98">
        <v>702.8394714647175</v>
      </c>
      <c r="AY12" s="98">
        <v>1377.5653640708463</v>
      </c>
      <c r="AZ12" s="98">
        <v>871.5209446162496</v>
      </c>
      <c r="BA12" s="100" t="s">
        <v>501</v>
      </c>
      <c r="BB12" s="100" t="s">
        <v>501</v>
      </c>
      <c r="BC12" s="100" t="s">
        <v>501</v>
      </c>
      <c r="BD12" s="158">
        <v>0.6796047974</v>
      </c>
      <c r="BE12" s="158">
        <v>1.162553635</v>
      </c>
      <c r="BF12" s="162">
        <v>420</v>
      </c>
      <c r="BG12" s="162" t="s">
        <v>501</v>
      </c>
      <c r="BH12" s="162">
        <v>851</v>
      </c>
      <c r="BI12" s="162">
        <v>352</v>
      </c>
      <c r="BJ12" s="162">
        <v>168</v>
      </c>
      <c r="BK12" s="97"/>
      <c r="BL12" s="97"/>
      <c r="BM12" s="97"/>
      <c r="BN12" s="97"/>
    </row>
    <row r="13" spans="1:66" ht="12.75">
      <c r="A13" s="79" t="s">
        <v>487</v>
      </c>
      <c r="B13" s="79" t="s">
        <v>288</v>
      </c>
      <c r="C13" s="79" t="s">
        <v>83</v>
      </c>
      <c r="D13" s="99">
        <v>5928</v>
      </c>
      <c r="E13" s="99">
        <v>961</v>
      </c>
      <c r="F13" s="99" t="s">
        <v>315</v>
      </c>
      <c r="G13" s="99">
        <v>40</v>
      </c>
      <c r="H13" s="99">
        <v>22</v>
      </c>
      <c r="I13" s="99">
        <v>60</v>
      </c>
      <c r="J13" s="99">
        <v>468</v>
      </c>
      <c r="K13" s="99" t="s">
        <v>501</v>
      </c>
      <c r="L13" s="99">
        <v>938</v>
      </c>
      <c r="M13" s="99">
        <v>325</v>
      </c>
      <c r="N13" s="99">
        <v>146</v>
      </c>
      <c r="O13" s="99">
        <v>26</v>
      </c>
      <c r="P13" s="159">
        <v>26</v>
      </c>
      <c r="Q13" s="99">
        <v>7</v>
      </c>
      <c r="R13" s="99">
        <v>38</v>
      </c>
      <c r="S13" s="99">
        <v>11</v>
      </c>
      <c r="T13" s="99" t="s">
        <v>501</v>
      </c>
      <c r="U13" s="99">
        <v>7</v>
      </c>
      <c r="V13" s="99" t="s">
        <v>501</v>
      </c>
      <c r="W13" s="99">
        <v>73</v>
      </c>
      <c r="X13" s="99">
        <v>33</v>
      </c>
      <c r="Y13" s="99">
        <v>131</v>
      </c>
      <c r="Z13" s="99">
        <v>43</v>
      </c>
      <c r="AA13" s="99" t="s">
        <v>501</v>
      </c>
      <c r="AB13" s="99" t="s">
        <v>501</v>
      </c>
      <c r="AC13" s="99" t="s">
        <v>501</v>
      </c>
      <c r="AD13" s="98" t="s">
        <v>294</v>
      </c>
      <c r="AE13" s="100">
        <v>0.1621120107962213</v>
      </c>
      <c r="AF13" s="100">
        <v>0.27</v>
      </c>
      <c r="AG13" s="98">
        <v>674.7638326585695</v>
      </c>
      <c r="AH13" s="98">
        <v>371.12010796221324</v>
      </c>
      <c r="AI13" s="100">
        <v>0.01</v>
      </c>
      <c r="AJ13" s="100">
        <v>0.690265</v>
      </c>
      <c r="AK13" s="100" t="s">
        <v>501</v>
      </c>
      <c r="AL13" s="100">
        <v>0.652295</v>
      </c>
      <c r="AM13" s="100">
        <v>0.477941</v>
      </c>
      <c r="AN13" s="100">
        <v>0.445122</v>
      </c>
      <c r="AO13" s="98">
        <v>438.5964912280702</v>
      </c>
      <c r="AP13" s="158">
        <v>0.2424312019</v>
      </c>
      <c r="AQ13" s="100">
        <v>0.2692307692307692</v>
      </c>
      <c r="AR13" s="100">
        <v>0.18421052631578946</v>
      </c>
      <c r="AS13" s="98">
        <v>185.56005398110662</v>
      </c>
      <c r="AT13" s="98" t="s">
        <v>501</v>
      </c>
      <c r="AU13" s="98">
        <v>118.08367071524967</v>
      </c>
      <c r="AV13" s="98" t="s">
        <v>501</v>
      </c>
      <c r="AW13" s="98">
        <v>1231.4439946018892</v>
      </c>
      <c r="AX13" s="98">
        <v>556.6801619433198</v>
      </c>
      <c r="AY13" s="98">
        <v>2209.851551956815</v>
      </c>
      <c r="AZ13" s="98">
        <v>725.3711201079623</v>
      </c>
      <c r="BA13" s="100" t="s">
        <v>501</v>
      </c>
      <c r="BB13" s="100" t="s">
        <v>501</v>
      </c>
      <c r="BC13" s="100" t="s">
        <v>501</v>
      </c>
      <c r="BD13" s="158">
        <v>0.1583641148</v>
      </c>
      <c r="BE13" s="158">
        <v>0.3552178955</v>
      </c>
      <c r="BF13" s="162">
        <v>678</v>
      </c>
      <c r="BG13" s="162" t="s">
        <v>501</v>
      </c>
      <c r="BH13" s="162">
        <v>1438</v>
      </c>
      <c r="BI13" s="162">
        <v>680</v>
      </c>
      <c r="BJ13" s="162">
        <v>328</v>
      </c>
      <c r="BK13" s="97"/>
      <c r="BL13" s="97"/>
      <c r="BM13" s="97"/>
      <c r="BN13" s="97"/>
    </row>
    <row r="14" spans="1:66" ht="12.75">
      <c r="A14" s="79" t="s">
        <v>486</v>
      </c>
      <c r="B14" s="79" t="s">
        <v>287</v>
      </c>
      <c r="C14" s="79" t="s">
        <v>83</v>
      </c>
      <c r="D14" s="99">
        <v>5355</v>
      </c>
      <c r="E14" s="99">
        <v>939</v>
      </c>
      <c r="F14" s="99" t="s">
        <v>314</v>
      </c>
      <c r="G14" s="99">
        <v>24</v>
      </c>
      <c r="H14" s="99">
        <v>25</v>
      </c>
      <c r="I14" s="99">
        <v>91</v>
      </c>
      <c r="J14" s="99">
        <v>495</v>
      </c>
      <c r="K14" s="99">
        <v>7</v>
      </c>
      <c r="L14" s="99">
        <v>900</v>
      </c>
      <c r="M14" s="99">
        <v>369</v>
      </c>
      <c r="N14" s="99">
        <v>184</v>
      </c>
      <c r="O14" s="99">
        <v>136</v>
      </c>
      <c r="P14" s="159">
        <v>136</v>
      </c>
      <c r="Q14" s="99">
        <v>6</v>
      </c>
      <c r="R14" s="99">
        <v>21</v>
      </c>
      <c r="S14" s="99">
        <v>31</v>
      </c>
      <c r="T14" s="99">
        <v>14</v>
      </c>
      <c r="U14" s="99">
        <v>8</v>
      </c>
      <c r="V14" s="99">
        <v>34</v>
      </c>
      <c r="W14" s="99">
        <v>46</v>
      </c>
      <c r="X14" s="99">
        <v>35</v>
      </c>
      <c r="Y14" s="99">
        <v>82</v>
      </c>
      <c r="Z14" s="99">
        <v>30</v>
      </c>
      <c r="AA14" s="99" t="s">
        <v>501</v>
      </c>
      <c r="AB14" s="99" t="s">
        <v>501</v>
      </c>
      <c r="AC14" s="99" t="s">
        <v>501</v>
      </c>
      <c r="AD14" s="98" t="s">
        <v>294</v>
      </c>
      <c r="AE14" s="100">
        <v>0.1753501400560224</v>
      </c>
      <c r="AF14" s="100">
        <v>0.22</v>
      </c>
      <c r="AG14" s="98">
        <v>448.1792717086835</v>
      </c>
      <c r="AH14" s="98">
        <v>466.8534080298786</v>
      </c>
      <c r="AI14" s="100">
        <v>0.017</v>
      </c>
      <c r="AJ14" s="100">
        <v>0.714286</v>
      </c>
      <c r="AK14" s="100">
        <v>0.7</v>
      </c>
      <c r="AL14" s="100">
        <v>0.705329</v>
      </c>
      <c r="AM14" s="100">
        <v>0.609917</v>
      </c>
      <c r="AN14" s="100">
        <v>0.601307</v>
      </c>
      <c r="AO14" s="98">
        <v>2539.6825396825398</v>
      </c>
      <c r="AP14" s="158">
        <v>1.311162872</v>
      </c>
      <c r="AQ14" s="100">
        <v>0.04411764705882353</v>
      </c>
      <c r="AR14" s="100">
        <v>0.2857142857142857</v>
      </c>
      <c r="AS14" s="98">
        <v>578.8982259570495</v>
      </c>
      <c r="AT14" s="98">
        <v>261.437908496732</v>
      </c>
      <c r="AU14" s="98">
        <v>149.39309056956117</v>
      </c>
      <c r="AV14" s="98">
        <v>634.9206349206349</v>
      </c>
      <c r="AW14" s="98">
        <v>859.0102707749767</v>
      </c>
      <c r="AX14" s="98">
        <v>653.59477124183</v>
      </c>
      <c r="AY14" s="98">
        <v>1531.2791783380019</v>
      </c>
      <c r="AZ14" s="98">
        <v>560.2240896358544</v>
      </c>
      <c r="BA14" s="100" t="s">
        <v>501</v>
      </c>
      <c r="BB14" s="100" t="s">
        <v>501</v>
      </c>
      <c r="BC14" s="100" t="s">
        <v>501</v>
      </c>
      <c r="BD14" s="158">
        <v>1.10007019</v>
      </c>
      <c r="BE14" s="158">
        <v>1.5509590149999999</v>
      </c>
      <c r="BF14" s="162">
        <v>693</v>
      </c>
      <c r="BG14" s="162">
        <v>10</v>
      </c>
      <c r="BH14" s="162">
        <v>1276</v>
      </c>
      <c r="BI14" s="162">
        <v>605</v>
      </c>
      <c r="BJ14" s="162">
        <v>306</v>
      </c>
      <c r="BK14" s="97"/>
      <c r="BL14" s="97"/>
      <c r="BM14" s="97"/>
      <c r="BN14" s="97"/>
    </row>
    <row r="15" spans="1:66" ht="12.75">
      <c r="A15" s="79" t="s">
        <v>489</v>
      </c>
      <c r="B15" s="79" t="s">
        <v>290</v>
      </c>
      <c r="C15" s="79" t="s">
        <v>83</v>
      </c>
      <c r="D15" s="99">
        <v>2752</v>
      </c>
      <c r="E15" s="99">
        <v>461</v>
      </c>
      <c r="F15" s="99" t="s">
        <v>316</v>
      </c>
      <c r="G15" s="99">
        <v>11</v>
      </c>
      <c r="H15" s="99">
        <v>9</v>
      </c>
      <c r="I15" s="99">
        <v>45</v>
      </c>
      <c r="J15" s="99">
        <v>285</v>
      </c>
      <c r="K15" s="99">
        <v>269</v>
      </c>
      <c r="L15" s="99">
        <v>553</v>
      </c>
      <c r="M15" s="99">
        <v>178</v>
      </c>
      <c r="N15" s="99">
        <v>92</v>
      </c>
      <c r="O15" s="99">
        <v>66</v>
      </c>
      <c r="P15" s="159">
        <v>66</v>
      </c>
      <c r="Q15" s="99" t="s">
        <v>501</v>
      </c>
      <c r="R15" s="99">
        <v>16</v>
      </c>
      <c r="S15" s="99">
        <v>24</v>
      </c>
      <c r="T15" s="99">
        <v>13</v>
      </c>
      <c r="U15" s="99" t="s">
        <v>501</v>
      </c>
      <c r="V15" s="99">
        <v>10</v>
      </c>
      <c r="W15" s="99">
        <v>30</v>
      </c>
      <c r="X15" s="99">
        <v>23</v>
      </c>
      <c r="Y15" s="99">
        <v>33</v>
      </c>
      <c r="Z15" s="99">
        <v>26</v>
      </c>
      <c r="AA15" s="99" t="s">
        <v>501</v>
      </c>
      <c r="AB15" s="99" t="s">
        <v>501</v>
      </c>
      <c r="AC15" s="99" t="s">
        <v>501</v>
      </c>
      <c r="AD15" s="98" t="s">
        <v>294</v>
      </c>
      <c r="AE15" s="100">
        <v>0.16751453488372092</v>
      </c>
      <c r="AF15" s="100">
        <v>0.17</v>
      </c>
      <c r="AG15" s="98">
        <v>399.7093023255814</v>
      </c>
      <c r="AH15" s="98">
        <v>327.0348837209302</v>
      </c>
      <c r="AI15" s="100">
        <v>0.016</v>
      </c>
      <c r="AJ15" s="100">
        <v>0.796089</v>
      </c>
      <c r="AK15" s="100">
        <v>0.784257</v>
      </c>
      <c r="AL15" s="100">
        <v>0.860031</v>
      </c>
      <c r="AM15" s="100">
        <v>0.549383</v>
      </c>
      <c r="AN15" s="100">
        <v>0.571429</v>
      </c>
      <c r="AO15" s="98">
        <v>2398.2558139534885</v>
      </c>
      <c r="AP15" s="158">
        <v>1.2530129239999999</v>
      </c>
      <c r="AQ15" s="100" t="s">
        <v>501</v>
      </c>
      <c r="AR15" s="100" t="s">
        <v>501</v>
      </c>
      <c r="AS15" s="98">
        <v>872.0930232558139</v>
      </c>
      <c r="AT15" s="98">
        <v>472.3837209302326</v>
      </c>
      <c r="AU15" s="98" t="s">
        <v>501</v>
      </c>
      <c r="AV15" s="98">
        <v>363.3720930232558</v>
      </c>
      <c r="AW15" s="98">
        <v>1090.1162790697674</v>
      </c>
      <c r="AX15" s="98">
        <v>835.7558139534884</v>
      </c>
      <c r="AY15" s="98">
        <v>1199.1279069767443</v>
      </c>
      <c r="AZ15" s="98">
        <v>944.7674418604652</v>
      </c>
      <c r="BA15" s="100" t="s">
        <v>501</v>
      </c>
      <c r="BB15" s="100" t="s">
        <v>501</v>
      </c>
      <c r="BC15" s="100" t="s">
        <v>501</v>
      </c>
      <c r="BD15" s="158">
        <v>0.9690800476</v>
      </c>
      <c r="BE15" s="158">
        <v>1.594139557</v>
      </c>
      <c r="BF15" s="162">
        <v>358</v>
      </c>
      <c r="BG15" s="162">
        <v>343</v>
      </c>
      <c r="BH15" s="162">
        <v>643</v>
      </c>
      <c r="BI15" s="162">
        <v>324</v>
      </c>
      <c r="BJ15" s="162">
        <v>161</v>
      </c>
      <c r="BK15" s="97"/>
      <c r="BL15" s="97"/>
      <c r="BM15" s="97"/>
      <c r="BN15" s="97"/>
    </row>
    <row r="16" spans="1:66" ht="12.75">
      <c r="A16" s="79" t="s">
        <v>492</v>
      </c>
      <c r="B16" s="79" t="s">
        <v>475</v>
      </c>
      <c r="C16" s="79" t="s">
        <v>83</v>
      </c>
      <c r="D16" s="99">
        <v>6043</v>
      </c>
      <c r="E16" s="99">
        <v>886</v>
      </c>
      <c r="F16" s="99" t="s">
        <v>314</v>
      </c>
      <c r="G16" s="99">
        <v>18</v>
      </c>
      <c r="H16" s="99">
        <v>10</v>
      </c>
      <c r="I16" s="99">
        <v>84</v>
      </c>
      <c r="J16" s="99">
        <v>554</v>
      </c>
      <c r="K16" s="99">
        <v>487</v>
      </c>
      <c r="L16" s="99">
        <v>1191</v>
      </c>
      <c r="M16" s="99">
        <v>329</v>
      </c>
      <c r="N16" s="99">
        <v>160</v>
      </c>
      <c r="O16" s="99">
        <v>66</v>
      </c>
      <c r="P16" s="159">
        <v>66</v>
      </c>
      <c r="Q16" s="99">
        <v>8</v>
      </c>
      <c r="R16" s="99">
        <v>30</v>
      </c>
      <c r="S16" s="99">
        <v>11</v>
      </c>
      <c r="T16" s="99">
        <v>10</v>
      </c>
      <c r="U16" s="99" t="s">
        <v>501</v>
      </c>
      <c r="V16" s="99">
        <v>9</v>
      </c>
      <c r="W16" s="99">
        <v>43</v>
      </c>
      <c r="X16" s="99">
        <v>21</v>
      </c>
      <c r="Y16" s="99">
        <v>87</v>
      </c>
      <c r="Z16" s="99">
        <v>25</v>
      </c>
      <c r="AA16" s="99" t="s">
        <v>501</v>
      </c>
      <c r="AB16" s="99" t="s">
        <v>501</v>
      </c>
      <c r="AC16" s="99" t="s">
        <v>501</v>
      </c>
      <c r="AD16" s="98" t="s">
        <v>294</v>
      </c>
      <c r="AE16" s="100">
        <v>0.1466159192454079</v>
      </c>
      <c r="AF16" s="100">
        <v>0.24</v>
      </c>
      <c r="AG16" s="98">
        <v>297.8652986927023</v>
      </c>
      <c r="AH16" s="98">
        <v>165.48072149594572</v>
      </c>
      <c r="AI16" s="100">
        <v>0.013999999999999999</v>
      </c>
      <c r="AJ16" s="100">
        <v>0.81351</v>
      </c>
      <c r="AK16" s="100">
        <v>0.740122</v>
      </c>
      <c r="AL16" s="100">
        <v>0.831704</v>
      </c>
      <c r="AM16" s="100">
        <v>0.551089</v>
      </c>
      <c r="AN16" s="100">
        <v>0.569395</v>
      </c>
      <c r="AO16" s="98">
        <v>1092.1727618732418</v>
      </c>
      <c r="AP16" s="158">
        <v>0.626992569</v>
      </c>
      <c r="AQ16" s="100">
        <v>0.12121212121212122</v>
      </c>
      <c r="AR16" s="100">
        <v>0.26666666666666666</v>
      </c>
      <c r="AS16" s="98">
        <v>182.0287936455403</v>
      </c>
      <c r="AT16" s="98">
        <v>165.48072149594572</v>
      </c>
      <c r="AU16" s="98" t="s">
        <v>501</v>
      </c>
      <c r="AV16" s="98">
        <v>148.93264934635116</v>
      </c>
      <c r="AW16" s="98">
        <v>711.5671024325666</v>
      </c>
      <c r="AX16" s="98">
        <v>347.509515141486</v>
      </c>
      <c r="AY16" s="98">
        <v>1439.6822770147278</v>
      </c>
      <c r="AZ16" s="98">
        <v>413.7018037398643</v>
      </c>
      <c r="BA16" s="100" t="s">
        <v>501</v>
      </c>
      <c r="BB16" s="100" t="s">
        <v>501</v>
      </c>
      <c r="BC16" s="100" t="s">
        <v>501</v>
      </c>
      <c r="BD16" s="158">
        <v>0.4849160004</v>
      </c>
      <c r="BE16" s="158">
        <v>0.7976882935</v>
      </c>
      <c r="BF16" s="162">
        <v>681</v>
      </c>
      <c r="BG16" s="162">
        <v>658</v>
      </c>
      <c r="BH16" s="162">
        <v>1432</v>
      </c>
      <c r="BI16" s="162">
        <v>597</v>
      </c>
      <c r="BJ16" s="162">
        <v>281</v>
      </c>
      <c r="BK16" s="97"/>
      <c r="BL16" s="97"/>
      <c r="BM16" s="97"/>
      <c r="BN16" s="97"/>
    </row>
    <row r="17" spans="1:66" ht="12.75">
      <c r="A17" s="79" t="s">
        <v>488</v>
      </c>
      <c r="B17" s="79" t="s">
        <v>289</v>
      </c>
      <c r="C17" s="79" t="s">
        <v>83</v>
      </c>
      <c r="D17" s="99">
        <v>1751</v>
      </c>
      <c r="E17" s="99">
        <v>161</v>
      </c>
      <c r="F17" s="99" t="s">
        <v>315</v>
      </c>
      <c r="G17" s="99" t="s">
        <v>501</v>
      </c>
      <c r="H17" s="99" t="s">
        <v>501</v>
      </c>
      <c r="I17" s="99">
        <v>15</v>
      </c>
      <c r="J17" s="99">
        <v>85</v>
      </c>
      <c r="K17" s="99">
        <v>77</v>
      </c>
      <c r="L17" s="99">
        <v>274</v>
      </c>
      <c r="M17" s="99">
        <v>52</v>
      </c>
      <c r="N17" s="99">
        <v>27</v>
      </c>
      <c r="O17" s="99">
        <v>18</v>
      </c>
      <c r="P17" s="159">
        <v>18</v>
      </c>
      <c r="Q17" s="99" t="s">
        <v>501</v>
      </c>
      <c r="R17" s="99">
        <v>7</v>
      </c>
      <c r="S17" s="99" t="s">
        <v>501</v>
      </c>
      <c r="T17" s="99" t="s">
        <v>501</v>
      </c>
      <c r="U17" s="99" t="s">
        <v>501</v>
      </c>
      <c r="V17" s="99" t="s">
        <v>501</v>
      </c>
      <c r="W17" s="99">
        <v>16</v>
      </c>
      <c r="X17" s="99">
        <v>6</v>
      </c>
      <c r="Y17" s="99">
        <v>28</v>
      </c>
      <c r="Z17" s="99">
        <v>19</v>
      </c>
      <c r="AA17" s="99" t="s">
        <v>501</v>
      </c>
      <c r="AB17" s="99" t="s">
        <v>501</v>
      </c>
      <c r="AC17" s="99" t="s">
        <v>501</v>
      </c>
      <c r="AD17" s="98" t="s">
        <v>294</v>
      </c>
      <c r="AE17" s="100">
        <v>0.09194745859508852</v>
      </c>
      <c r="AF17" s="100">
        <v>0.3</v>
      </c>
      <c r="AG17" s="98" t="s">
        <v>501</v>
      </c>
      <c r="AH17" s="98" t="s">
        <v>501</v>
      </c>
      <c r="AI17" s="100">
        <v>0.009000000000000001</v>
      </c>
      <c r="AJ17" s="100">
        <v>0.653846</v>
      </c>
      <c r="AK17" s="100">
        <v>0.647059</v>
      </c>
      <c r="AL17" s="100">
        <v>0.722955</v>
      </c>
      <c r="AM17" s="100">
        <v>0.490566</v>
      </c>
      <c r="AN17" s="100">
        <v>0.519231</v>
      </c>
      <c r="AO17" s="98">
        <v>1027.9840091376357</v>
      </c>
      <c r="AP17" s="158">
        <v>0.7663912963999999</v>
      </c>
      <c r="AQ17" s="100" t="s">
        <v>501</v>
      </c>
      <c r="AR17" s="100" t="s">
        <v>501</v>
      </c>
      <c r="AS17" s="98" t="s">
        <v>501</v>
      </c>
      <c r="AT17" s="98" t="s">
        <v>501</v>
      </c>
      <c r="AU17" s="98" t="s">
        <v>501</v>
      </c>
      <c r="AV17" s="98" t="s">
        <v>501</v>
      </c>
      <c r="AW17" s="98">
        <v>913.7635636778983</v>
      </c>
      <c r="AX17" s="98">
        <v>342.6613363792119</v>
      </c>
      <c r="AY17" s="98">
        <v>1599.086236436322</v>
      </c>
      <c r="AZ17" s="98">
        <v>1085.0942318675043</v>
      </c>
      <c r="BA17" s="100" t="s">
        <v>501</v>
      </c>
      <c r="BB17" s="100" t="s">
        <v>501</v>
      </c>
      <c r="BC17" s="100" t="s">
        <v>501</v>
      </c>
      <c r="BD17" s="158">
        <v>0.4542120361</v>
      </c>
      <c r="BE17" s="158">
        <v>1.2112286380000001</v>
      </c>
      <c r="BF17" s="162">
        <v>130</v>
      </c>
      <c r="BG17" s="162">
        <v>119</v>
      </c>
      <c r="BH17" s="162">
        <v>379</v>
      </c>
      <c r="BI17" s="162">
        <v>106</v>
      </c>
      <c r="BJ17" s="162">
        <v>52</v>
      </c>
      <c r="BK17" s="97"/>
      <c r="BL17" s="97"/>
      <c r="BM17" s="97"/>
      <c r="BN17" s="97"/>
    </row>
    <row r="18" spans="1:66" ht="12.75">
      <c r="A18" s="79" t="s">
        <v>84</v>
      </c>
      <c r="B18" s="94" t="s">
        <v>83</v>
      </c>
      <c r="C18" s="94" t="s">
        <v>7</v>
      </c>
      <c r="D18" s="99">
        <v>93460</v>
      </c>
      <c r="E18" s="99">
        <v>15246</v>
      </c>
      <c r="F18" s="99">
        <v>22363.039999999997</v>
      </c>
      <c r="G18" s="99">
        <v>446</v>
      </c>
      <c r="H18" s="99">
        <v>296</v>
      </c>
      <c r="I18" s="99">
        <v>1314</v>
      </c>
      <c r="J18" s="99">
        <v>8142</v>
      </c>
      <c r="K18" s="99">
        <v>3334</v>
      </c>
      <c r="L18" s="99">
        <v>15918</v>
      </c>
      <c r="M18" s="99">
        <v>5256</v>
      </c>
      <c r="N18" s="99">
        <v>2632</v>
      </c>
      <c r="O18" s="99">
        <v>2076</v>
      </c>
      <c r="P18" s="99">
        <v>2076</v>
      </c>
      <c r="Q18" s="99">
        <v>204</v>
      </c>
      <c r="R18" s="99">
        <v>468</v>
      </c>
      <c r="S18" s="99">
        <v>492</v>
      </c>
      <c r="T18" s="99">
        <v>338</v>
      </c>
      <c r="U18" s="99">
        <v>129</v>
      </c>
      <c r="V18" s="99">
        <v>297</v>
      </c>
      <c r="W18" s="99">
        <v>969</v>
      </c>
      <c r="X18" s="99">
        <v>530</v>
      </c>
      <c r="Y18" s="99">
        <v>1700</v>
      </c>
      <c r="Z18" s="99">
        <v>686</v>
      </c>
      <c r="AA18" s="99">
        <v>0</v>
      </c>
      <c r="AB18" s="99">
        <v>0</v>
      </c>
      <c r="AC18" s="99">
        <v>0</v>
      </c>
      <c r="AD18" s="98">
        <v>0</v>
      </c>
      <c r="AE18" s="101">
        <v>0.16312861117055424</v>
      </c>
      <c r="AF18" s="101">
        <v>0.23927926385619513</v>
      </c>
      <c r="AG18" s="98">
        <v>477.2095013909694</v>
      </c>
      <c r="AH18" s="98">
        <v>316.7130323132891</v>
      </c>
      <c r="AI18" s="101">
        <v>0.014059490691204794</v>
      </c>
      <c r="AJ18" s="101">
        <v>0.7082463465553236</v>
      </c>
      <c r="AK18" s="101">
        <v>0.7395740905057675</v>
      </c>
      <c r="AL18" s="101">
        <v>0.7174471537386758</v>
      </c>
      <c r="AM18" s="101">
        <v>0.5273931366646598</v>
      </c>
      <c r="AN18" s="101">
        <v>0.5349593495934959</v>
      </c>
      <c r="AO18" s="98">
        <v>2221.2711320350954</v>
      </c>
      <c r="AP18" s="98">
        <v>0</v>
      </c>
      <c r="AQ18" s="101">
        <v>0.09826589595375723</v>
      </c>
      <c r="AR18" s="101">
        <v>0.4358974358974359</v>
      </c>
      <c r="AS18" s="98">
        <v>526.4284185747914</v>
      </c>
      <c r="AT18" s="98">
        <v>361.65204365503956</v>
      </c>
      <c r="AU18" s="98">
        <v>138.02696340680504</v>
      </c>
      <c r="AV18" s="98">
        <v>317.78300877380696</v>
      </c>
      <c r="AW18" s="98">
        <v>1036.8071902418146</v>
      </c>
      <c r="AX18" s="98">
        <v>567.0875240744704</v>
      </c>
      <c r="AY18" s="98">
        <v>1818.9599828803766</v>
      </c>
      <c r="AZ18" s="98">
        <v>734.0038519152579</v>
      </c>
      <c r="BA18" s="101">
        <v>0</v>
      </c>
      <c r="BB18" s="101">
        <v>0</v>
      </c>
      <c r="BC18" s="101">
        <v>0</v>
      </c>
      <c r="BD18" s="98">
        <v>0</v>
      </c>
      <c r="BE18" s="98">
        <v>0</v>
      </c>
      <c r="BF18" s="99">
        <v>11496</v>
      </c>
      <c r="BG18" s="99">
        <v>4508</v>
      </c>
      <c r="BH18" s="99">
        <v>22187</v>
      </c>
      <c r="BI18" s="99">
        <v>9966</v>
      </c>
      <c r="BJ18" s="99">
        <v>4920</v>
      </c>
      <c r="BK18" s="97"/>
      <c r="BL18" s="97"/>
      <c r="BM18" s="97"/>
      <c r="BN18" s="97"/>
    </row>
    <row r="19" spans="1:66" ht="12.75">
      <c r="A19" s="79" t="s">
        <v>24</v>
      </c>
      <c r="B19" s="94" t="s">
        <v>7</v>
      </c>
      <c r="C19" s="94" t="s">
        <v>7</v>
      </c>
      <c r="D19" s="99">
        <v>54615830</v>
      </c>
      <c r="E19" s="99">
        <v>8737890</v>
      </c>
      <c r="F19" s="99">
        <v>8198344.169999988</v>
      </c>
      <c r="G19" s="99">
        <v>243379</v>
      </c>
      <c r="H19" s="99">
        <v>127868</v>
      </c>
      <c r="I19" s="99">
        <v>870616</v>
      </c>
      <c r="J19" s="99">
        <v>4592627</v>
      </c>
      <c r="K19" s="99">
        <v>1679592</v>
      </c>
      <c r="L19" s="99">
        <v>10150944</v>
      </c>
      <c r="M19" s="99">
        <v>2959539</v>
      </c>
      <c r="N19" s="99">
        <v>1629320</v>
      </c>
      <c r="O19" s="99">
        <v>989730</v>
      </c>
      <c r="P19" s="99">
        <v>989730</v>
      </c>
      <c r="Q19" s="99">
        <v>108072</v>
      </c>
      <c r="R19" s="99">
        <v>238330</v>
      </c>
      <c r="S19" s="99">
        <v>206300</v>
      </c>
      <c r="T19" s="99">
        <v>154264</v>
      </c>
      <c r="U19" s="99">
        <v>38486</v>
      </c>
      <c r="V19" s="99">
        <v>176535</v>
      </c>
      <c r="W19" s="99">
        <v>307276</v>
      </c>
      <c r="X19" s="99">
        <v>221506</v>
      </c>
      <c r="Y19" s="99">
        <v>578574</v>
      </c>
      <c r="Z19" s="99">
        <v>318377</v>
      </c>
      <c r="AA19" s="99">
        <v>0</v>
      </c>
      <c r="AB19" s="99">
        <v>0</v>
      </c>
      <c r="AC19" s="99">
        <v>0</v>
      </c>
      <c r="AD19" s="98">
        <v>0</v>
      </c>
      <c r="AE19" s="101">
        <v>0.1599882305185145</v>
      </c>
      <c r="AF19" s="101">
        <v>0.15010930292554353</v>
      </c>
      <c r="AG19" s="98">
        <v>445.6198871279627</v>
      </c>
      <c r="AH19" s="98">
        <v>234.12259778895606</v>
      </c>
      <c r="AI19" s="101">
        <v>0.015940726342527432</v>
      </c>
      <c r="AJ19" s="101">
        <v>0.7248631360507991</v>
      </c>
      <c r="AK19" s="101">
        <v>0.7467412166569077</v>
      </c>
      <c r="AL19" s="101">
        <v>0.7559681673907895</v>
      </c>
      <c r="AM19" s="101">
        <v>0.5147293797466616</v>
      </c>
      <c r="AN19" s="101">
        <v>0.5752927626212945</v>
      </c>
      <c r="AO19" s="98">
        <v>1812.1669120472948</v>
      </c>
      <c r="AP19" s="98">
        <v>1</v>
      </c>
      <c r="AQ19" s="101">
        <v>0.10919341638628717</v>
      </c>
      <c r="AR19" s="101">
        <v>0.4534552930810221</v>
      </c>
      <c r="AS19" s="98">
        <v>377.7293140102421</v>
      </c>
      <c r="AT19" s="98">
        <v>282.45290788403287</v>
      </c>
      <c r="AU19" s="98">
        <v>70.46674929228394</v>
      </c>
      <c r="AV19" s="98">
        <v>323.23046266988894</v>
      </c>
      <c r="AW19" s="98">
        <v>562.6134400960308</v>
      </c>
      <c r="AX19" s="98">
        <v>405.57105879375996</v>
      </c>
      <c r="AY19" s="98">
        <v>1059.3522061277838</v>
      </c>
      <c r="AZ19" s="98">
        <v>582.9390489900089</v>
      </c>
      <c r="BA19" s="101">
        <v>0</v>
      </c>
      <c r="BB19" s="101">
        <v>0</v>
      </c>
      <c r="BC19" s="101">
        <v>0</v>
      </c>
      <c r="BD19" s="98">
        <v>0</v>
      </c>
      <c r="BE19" s="98">
        <v>0</v>
      </c>
      <c r="BF19" s="99">
        <v>6335854</v>
      </c>
      <c r="BG19" s="99">
        <v>2249229</v>
      </c>
      <c r="BH19" s="99">
        <v>13427740</v>
      </c>
      <c r="BI19" s="99">
        <v>5749699</v>
      </c>
      <c r="BJ19" s="99">
        <v>2832158</v>
      </c>
      <c r="BK19" s="97"/>
      <c r="BL19" s="97"/>
      <c r="BM19" s="97"/>
      <c r="BN19" s="97"/>
    </row>
    <row r="20" spans="1:66" ht="12.75">
      <c r="A20" s="8"/>
      <c r="B20" s="8"/>
      <c r="C20" s="8"/>
      <c r="D20" s="299"/>
      <c r="E20" s="299"/>
      <c r="F20" s="299"/>
      <c r="G20" s="299"/>
      <c r="H20" s="299"/>
      <c r="I20" s="299"/>
      <c r="J20" s="299"/>
      <c r="K20" s="299"/>
      <c r="L20" s="299"/>
      <c r="M20" s="299"/>
      <c r="N20" s="299"/>
      <c r="O20" s="299"/>
      <c r="P20" s="300"/>
      <c r="Q20" s="299"/>
      <c r="R20" s="299"/>
      <c r="S20" s="299"/>
      <c r="T20" s="299"/>
      <c r="U20" s="299"/>
      <c r="V20" s="299"/>
      <c r="W20" s="299"/>
      <c r="X20" s="299"/>
      <c r="Y20" s="299"/>
      <c r="Z20" s="299"/>
      <c r="AA20" s="299"/>
      <c r="AB20" s="299"/>
      <c r="AC20" s="299"/>
      <c r="AD20" s="295"/>
      <c r="AE20" s="301"/>
      <c r="AF20" s="301"/>
      <c r="AG20" s="295"/>
      <c r="AH20" s="295"/>
      <c r="AI20" s="301"/>
      <c r="AJ20" s="301"/>
      <c r="AK20" s="301"/>
      <c r="AL20" s="301"/>
      <c r="AM20" s="301"/>
      <c r="AN20" s="301"/>
      <c r="AO20" s="295"/>
      <c r="AP20" s="296"/>
      <c r="AQ20" s="301"/>
      <c r="AR20" s="301"/>
      <c r="AS20" s="295"/>
      <c r="AT20" s="295"/>
      <c r="AU20" s="295"/>
      <c r="AV20" s="295"/>
      <c r="AW20" s="295"/>
      <c r="AX20" s="295"/>
      <c r="AY20" s="295"/>
      <c r="AZ20" s="295"/>
      <c r="BA20" s="301"/>
      <c r="BB20" s="301"/>
      <c r="BC20" s="301"/>
      <c r="BD20" s="296"/>
      <c r="BE20" s="296"/>
      <c r="BF20" s="297"/>
      <c r="BG20" s="297"/>
      <c r="BH20" s="297"/>
      <c r="BI20" s="297"/>
      <c r="BJ20" s="297"/>
      <c r="BK20" s="97"/>
      <c r="BL20" s="97"/>
      <c r="BM20" s="97"/>
      <c r="BN20" s="97"/>
    </row>
    <row r="21" spans="1:66" ht="12.75">
      <c r="A21" s="8"/>
      <c r="B21" s="8"/>
      <c r="C21" s="8"/>
      <c r="D21" s="299"/>
      <c r="E21" s="299"/>
      <c r="F21" s="299"/>
      <c r="G21" s="299"/>
      <c r="H21" s="299"/>
      <c r="I21" s="299"/>
      <c r="J21" s="299"/>
      <c r="K21" s="299"/>
      <c r="L21" s="299"/>
      <c r="M21" s="299"/>
      <c r="N21" s="299"/>
      <c r="O21" s="299"/>
      <c r="P21" s="300"/>
      <c r="Q21" s="299"/>
      <c r="R21" s="299"/>
      <c r="S21" s="299"/>
      <c r="T21" s="299"/>
      <c r="U21" s="299"/>
      <c r="V21" s="299"/>
      <c r="W21" s="299"/>
      <c r="X21" s="299"/>
      <c r="Y21" s="299"/>
      <c r="Z21" s="299"/>
      <c r="AA21" s="299"/>
      <c r="AB21" s="299"/>
      <c r="AC21" s="299"/>
      <c r="AD21" s="295"/>
      <c r="AE21" s="301"/>
      <c r="AF21" s="301"/>
      <c r="AG21" s="295"/>
      <c r="AH21" s="295"/>
      <c r="AI21" s="301"/>
      <c r="AJ21" s="301"/>
      <c r="AK21" s="301"/>
      <c r="AL21" s="301"/>
      <c r="AM21" s="301"/>
      <c r="AN21" s="301"/>
      <c r="AO21" s="295"/>
      <c r="AP21" s="296"/>
      <c r="AQ21" s="301"/>
      <c r="AR21" s="301"/>
      <c r="AS21" s="295"/>
      <c r="AT21" s="295"/>
      <c r="AU21" s="295"/>
      <c r="AV21" s="295"/>
      <c r="AW21" s="295"/>
      <c r="AX21" s="295"/>
      <c r="AY21" s="295"/>
      <c r="AZ21" s="295"/>
      <c r="BA21" s="301"/>
      <c r="BB21" s="301"/>
      <c r="BC21" s="301"/>
      <c r="BD21" s="296"/>
      <c r="BE21" s="296"/>
      <c r="BF21" s="297"/>
      <c r="BG21" s="297"/>
      <c r="BH21" s="297"/>
      <c r="BI21" s="297"/>
      <c r="BJ21" s="297"/>
      <c r="BK21" s="97"/>
      <c r="BL21" s="97"/>
      <c r="BM21" s="97"/>
      <c r="BN21" s="97"/>
    </row>
    <row r="22" spans="1:66" ht="12.75">
      <c r="A22" s="8"/>
      <c r="B22" s="8"/>
      <c r="C22" s="8"/>
      <c r="D22" s="299"/>
      <c r="E22" s="299"/>
      <c r="F22" s="299"/>
      <c r="G22" s="299"/>
      <c r="H22" s="299"/>
      <c r="I22" s="299"/>
      <c r="J22" s="299"/>
      <c r="K22" s="299"/>
      <c r="L22" s="299"/>
      <c r="M22" s="299"/>
      <c r="N22" s="299"/>
      <c r="O22" s="299"/>
      <c r="P22" s="300"/>
      <c r="Q22" s="299"/>
      <c r="R22" s="299"/>
      <c r="S22" s="299"/>
      <c r="T22" s="299"/>
      <c r="U22" s="299"/>
      <c r="V22" s="299"/>
      <c r="W22" s="299"/>
      <c r="X22" s="299"/>
      <c r="Y22" s="299"/>
      <c r="Z22" s="299"/>
      <c r="AA22" s="299"/>
      <c r="AB22" s="299"/>
      <c r="AC22" s="299"/>
      <c r="AD22" s="295"/>
      <c r="AE22" s="301"/>
      <c r="AF22" s="301"/>
      <c r="AG22" s="295"/>
      <c r="AH22" s="295"/>
      <c r="AI22" s="301"/>
      <c r="AJ22" s="301"/>
      <c r="AK22" s="301"/>
      <c r="AL22" s="301"/>
      <c r="AM22" s="301"/>
      <c r="AN22" s="301"/>
      <c r="AO22" s="295"/>
      <c r="AP22" s="296"/>
      <c r="AQ22" s="301"/>
      <c r="AR22" s="301"/>
      <c r="AS22" s="295"/>
      <c r="AT22" s="295"/>
      <c r="AU22" s="295"/>
      <c r="AV22" s="295"/>
      <c r="AW22" s="295"/>
      <c r="AX22" s="295"/>
      <c r="AY22" s="295"/>
      <c r="AZ22" s="295"/>
      <c r="BA22" s="301"/>
      <c r="BB22" s="301"/>
      <c r="BC22" s="301"/>
      <c r="BD22" s="296"/>
      <c r="BE22" s="296"/>
      <c r="BF22" s="297"/>
      <c r="BG22" s="297"/>
      <c r="BH22" s="297"/>
      <c r="BI22" s="297"/>
      <c r="BJ22" s="297"/>
      <c r="BK22" s="97"/>
      <c r="BL22" s="97"/>
      <c r="BM22" s="97"/>
      <c r="BN22" s="97"/>
    </row>
    <row r="23" spans="1:66" ht="12.75">
      <c r="A23" s="8"/>
      <c r="B23" s="8"/>
      <c r="C23" s="8"/>
      <c r="D23" s="299"/>
      <c r="E23" s="299"/>
      <c r="F23" s="299"/>
      <c r="G23" s="299"/>
      <c r="H23" s="299"/>
      <c r="I23" s="299"/>
      <c r="J23" s="299"/>
      <c r="K23" s="299"/>
      <c r="L23" s="299"/>
      <c r="M23" s="299"/>
      <c r="N23" s="299"/>
      <c r="O23" s="299"/>
      <c r="P23" s="300"/>
      <c r="Q23" s="299"/>
      <c r="R23" s="299"/>
      <c r="S23" s="299"/>
      <c r="T23" s="299"/>
      <c r="U23" s="299"/>
      <c r="V23" s="299"/>
      <c r="W23" s="299"/>
      <c r="X23" s="299"/>
      <c r="Y23" s="299"/>
      <c r="Z23" s="299"/>
      <c r="AA23" s="299"/>
      <c r="AB23" s="299"/>
      <c r="AC23" s="299"/>
      <c r="AD23" s="295"/>
      <c r="AE23" s="301"/>
      <c r="AF23" s="301"/>
      <c r="AG23" s="295"/>
      <c r="AH23" s="295"/>
      <c r="AI23" s="301"/>
      <c r="AJ23" s="301"/>
      <c r="AK23" s="301"/>
      <c r="AL23" s="301"/>
      <c r="AM23" s="301"/>
      <c r="AN23" s="301"/>
      <c r="AO23" s="295"/>
      <c r="AP23" s="296"/>
      <c r="AQ23" s="301"/>
      <c r="AR23" s="301"/>
      <c r="AS23" s="295"/>
      <c r="AT23" s="295"/>
      <c r="AU23" s="295"/>
      <c r="AV23" s="295"/>
      <c r="AW23" s="295"/>
      <c r="AX23" s="295"/>
      <c r="AY23" s="295"/>
      <c r="AZ23" s="295"/>
      <c r="BA23" s="301"/>
      <c r="BB23" s="301"/>
      <c r="BC23" s="301"/>
      <c r="BD23" s="296"/>
      <c r="BE23" s="296"/>
      <c r="BF23" s="297"/>
      <c r="BG23" s="297"/>
      <c r="BH23" s="297"/>
      <c r="BI23" s="297"/>
      <c r="BJ23" s="297"/>
      <c r="BK23" s="97"/>
      <c r="BL23" s="97"/>
      <c r="BM23" s="97"/>
      <c r="BN23" s="97"/>
    </row>
    <row r="24" spans="1:66" ht="12.75">
      <c r="A24" s="8"/>
      <c r="B24" s="8"/>
      <c r="C24" s="8"/>
      <c r="D24" s="299"/>
      <c r="E24" s="299"/>
      <c r="F24" s="299"/>
      <c r="G24" s="299"/>
      <c r="H24" s="299"/>
      <c r="I24" s="299"/>
      <c r="J24" s="299"/>
      <c r="K24" s="299"/>
      <c r="L24" s="299"/>
      <c r="M24" s="299"/>
      <c r="N24" s="299"/>
      <c r="O24" s="299"/>
      <c r="P24" s="300"/>
      <c r="Q24" s="299"/>
      <c r="R24" s="299"/>
      <c r="S24" s="299"/>
      <c r="T24" s="299"/>
      <c r="U24" s="299"/>
      <c r="V24" s="299"/>
      <c r="W24" s="299"/>
      <c r="X24" s="299"/>
      <c r="Y24" s="299"/>
      <c r="Z24" s="299"/>
      <c r="AA24" s="299"/>
      <c r="AB24" s="299"/>
      <c r="AC24" s="299"/>
      <c r="AD24" s="295"/>
      <c r="AE24" s="301"/>
      <c r="AF24" s="301"/>
      <c r="AG24" s="295"/>
      <c r="AH24" s="295"/>
      <c r="AI24" s="301"/>
      <c r="AJ24" s="301"/>
      <c r="AK24" s="301"/>
      <c r="AL24" s="301"/>
      <c r="AM24" s="301"/>
      <c r="AN24" s="301"/>
      <c r="AO24" s="295"/>
      <c r="AP24" s="296"/>
      <c r="AQ24" s="301"/>
      <c r="AR24" s="301"/>
      <c r="AS24" s="295"/>
      <c r="AT24" s="295"/>
      <c r="AU24" s="295"/>
      <c r="AV24" s="295"/>
      <c r="AW24" s="295"/>
      <c r="AX24" s="295"/>
      <c r="AY24" s="295"/>
      <c r="AZ24" s="295"/>
      <c r="BA24" s="301"/>
      <c r="BB24" s="301"/>
      <c r="BC24" s="301"/>
      <c r="BD24" s="296"/>
      <c r="BE24" s="296"/>
      <c r="BF24" s="297"/>
      <c r="BG24" s="297"/>
      <c r="BH24" s="297"/>
      <c r="BI24" s="297"/>
      <c r="BJ24" s="297"/>
      <c r="BK24" s="97"/>
      <c r="BL24" s="97"/>
      <c r="BM24" s="97"/>
      <c r="BN24" s="97"/>
    </row>
    <row r="25" spans="1:66" ht="12.75">
      <c r="A25" s="8"/>
      <c r="B25" s="8"/>
      <c r="C25" s="8"/>
      <c r="D25" s="299"/>
      <c r="E25" s="299"/>
      <c r="F25" s="299"/>
      <c r="G25" s="299"/>
      <c r="H25" s="299"/>
      <c r="I25" s="299"/>
      <c r="J25" s="299"/>
      <c r="K25" s="299"/>
      <c r="L25" s="299"/>
      <c r="M25" s="299"/>
      <c r="N25" s="299"/>
      <c r="O25" s="299"/>
      <c r="P25" s="300"/>
      <c r="Q25" s="299"/>
      <c r="R25" s="299"/>
      <c r="S25" s="299"/>
      <c r="T25" s="299"/>
      <c r="U25" s="299"/>
      <c r="V25" s="299"/>
      <c r="W25" s="299"/>
      <c r="X25" s="299"/>
      <c r="Y25" s="299"/>
      <c r="Z25" s="299"/>
      <c r="AA25" s="299"/>
      <c r="AB25" s="299"/>
      <c r="AC25" s="299"/>
      <c r="AD25" s="295"/>
      <c r="AE25" s="301"/>
      <c r="AF25" s="301"/>
      <c r="AG25" s="295"/>
      <c r="AH25" s="295"/>
      <c r="AI25" s="301"/>
      <c r="AJ25" s="301"/>
      <c r="AK25" s="301"/>
      <c r="AL25" s="301"/>
      <c r="AM25" s="301"/>
      <c r="AN25" s="301"/>
      <c r="AO25" s="295"/>
      <c r="AP25" s="296"/>
      <c r="AQ25" s="301"/>
      <c r="AR25" s="301"/>
      <c r="AS25" s="295"/>
      <c r="AT25" s="295"/>
      <c r="AU25" s="295"/>
      <c r="AV25" s="295"/>
      <c r="AW25" s="295"/>
      <c r="AX25" s="295"/>
      <c r="AY25" s="295"/>
      <c r="AZ25" s="295"/>
      <c r="BA25" s="301"/>
      <c r="BB25" s="301"/>
      <c r="BC25" s="301"/>
      <c r="BD25" s="296"/>
      <c r="BE25" s="296"/>
      <c r="BF25" s="297"/>
      <c r="BG25" s="297"/>
      <c r="BH25" s="297"/>
      <c r="BI25" s="297"/>
      <c r="BJ25" s="297"/>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1"/>
      <c r="BB26" s="301"/>
      <c r="BC26" s="301"/>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298"/>
      <c r="C32" s="298"/>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5"/>
      <c r="AE32" s="302"/>
      <c r="AF32" s="302"/>
      <c r="AG32" s="295"/>
      <c r="AH32" s="295"/>
      <c r="AI32" s="302"/>
      <c r="AJ32" s="302"/>
      <c r="AK32" s="302"/>
      <c r="AL32" s="302"/>
      <c r="AM32" s="302"/>
      <c r="AN32" s="302"/>
      <c r="AO32" s="295"/>
      <c r="AP32" s="295"/>
      <c r="AQ32" s="302"/>
      <c r="AR32" s="302"/>
      <c r="AS32" s="295"/>
      <c r="AT32" s="295"/>
      <c r="AU32" s="295"/>
      <c r="AV32" s="295"/>
      <c r="AW32" s="295"/>
      <c r="AX32" s="295"/>
      <c r="AY32" s="295"/>
      <c r="AZ32" s="295"/>
      <c r="BA32" s="302"/>
      <c r="BB32" s="302"/>
      <c r="BC32" s="302"/>
      <c r="BD32" s="295"/>
      <c r="BE32" s="295"/>
      <c r="BF32" s="299"/>
      <c r="BG32" s="299"/>
      <c r="BH32" s="299"/>
      <c r="BI32" s="299"/>
      <c r="BJ32" s="299"/>
      <c r="BK32" s="97"/>
      <c r="BL32" s="97"/>
      <c r="BM32" s="97"/>
      <c r="BN32" s="97"/>
    </row>
    <row r="33" spans="1:66" ht="12.75">
      <c r="A33" s="8"/>
      <c r="B33" s="298"/>
      <c r="C33" s="298"/>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5"/>
      <c r="AE33" s="302"/>
      <c r="AF33" s="302"/>
      <c r="AG33" s="295"/>
      <c r="AH33" s="295"/>
      <c r="AI33" s="302"/>
      <c r="AJ33" s="302"/>
      <c r="AK33" s="302"/>
      <c r="AL33" s="302"/>
      <c r="AM33" s="302"/>
      <c r="AN33" s="302"/>
      <c r="AO33" s="295"/>
      <c r="AP33" s="295"/>
      <c r="AQ33" s="302"/>
      <c r="AR33" s="302"/>
      <c r="AS33" s="295"/>
      <c r="AT33" s="295"/>
      <c r="AU33" s="295"/>
      <c r="AV33" s="295"/>
      <c r="AW33" s="295"/>
      <c r="AX33" s="295"/>
      <c r="AY33" s="295"/>
      <c r="AZ33" s="295"/>
      <c r="BA33" s="302"/>
      <c r="BB33" s="302"/>
      <c r="BC33" s="302"/>
      <c r="BD33" s="295"/>
      <c r="BE33" s="295"/>
      <c r="BF33" s="299"/>
      <c r="BG33" s="299"/>
      <c r="BH33" s="299"/>
      <c r="BI33" s="299"/>
      <c r="BJ33" s="299"/>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298"/>
      <c r="C39" s="298"/>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5"/>
      <c r="AE39" s="302"/>
      <c r="AF39" s="302"/>
      <c r="AG39" s="295"/>
      <c r="AH39" s="295"/>
      <c r="AI39" s="302"/>
      <c r="AJ39" s="302"/>
      <c r="AK39" s="302"/>
      <c r="AL39" s="302"/>
      <c r="AM39" s="302"/>
      <c r="AN39" s="302"/>
      <c r="AO39" s="295"/>
      <c r="AP39" s="295"/>
      <c r="AQ39" s="302"/>
      <c r="AR39" s="302"/>
      <c r="AS39" s="295"/>
      <c r="AT39" s="295"/>
      <c r="AU39" s="295"/>
      <c r="AV39" s="295"/>
      <c r="AW39" s="295"/>
      <c r="AX39" s="295"/>
      <c r="AY39" s="295"/>
      <c r="AZ39" s="295"/>
      <c r="BA39" s="302"/>
      <c r="BB39" s="302"/>
      <c r="BC39" s="302"/>
      <c r="BD39" s="295"/>
      <c r="BE39" s="295"/>
      <c r="BF39" s="299"/>
      <c r="BG39" s="299"/>
      <c r="BH39" s="299"/>
      <c r="BI39" s="299"/>
      <c r="BJ39" s="299"/>
      <c r="BK39" s="97"/>
      <c r="BL39" s="97"/>
      <c r="BM39" s="97"/>
      <c r="BN39" s="97"/>
    </row>
    <row r="40" spans="1:66" ht="12.75">
      <c r="A40" s="8"/>
      <c r="B40" s="298"/>
      <c r="C40" s="298"/>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5"/>
      <c r="AE40" s="302"/>
      <c r="AF40" s="302"/>
      <c r="AG40" s="295"/>
      <c r="AH40" s="295"/>
      <c r="AI40" s="302"/>
      <c r="AJ40" s="302"/>
      <c r="AK40" s="302"/>
      <c r="AL40" s="302"/>
      <c r="AM40" s="302"/>
      <c r="AN40" s="302"/>
      <c r="AO40" s="295"/>
      <c r="AP40" s="295"/>
      <c r="AQ40" s="302"/>
      <c r="AR40" s="302"/>
      <c r="AS40" s="295"/>
      <c r="AT40" s="295"/>
      <c r="AU40" s="295"/>
      <c r="AV40" s="295"/>
      <c r="AW40" s="295"/>
      <c r="AX40" s="295"/>
      <c r="AY40" s="295"/>
      <c r="AZ40" s="295"/>
      <c r="BA40" s="302"/>
      <c r="BB40" s="302"/>
      <c r="BC40" s="302"/>
      <c r="BD40" s="295"/>
      <c r="BE40" s="295"/>
      <c r="BF40" s="299"/>
      <c r="BG40" s="299"/>
      <c r="BH40" s="299"/>
      <c r="BI40" s="299"/>
      <c r="BJ40" s="299"/>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342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299</v>
      </c>
      <c r="O4" s="75" t="s">
        <v>298</v>
      </c>
      <c r="P4" s="75" t="s">
        <v>424</v>
      </c>
      <c r="Q4" s="75" t="s">
        <v>425</v>
      </c>
      <c r="R4" s="75" t="s">
        <v>426</v>
      </c>
      <c r="S4" s="75" t="s">
        <v>427</v>
      </c>
      <c r="T4" s="39" t="s">
        <v>278</v>
      </c>
      <c r="U4" s="40" t="s">
        <v>279</v>
      </c>
      <c r="V4" s="41" t="s">
        <v>7</v>
      </c>
      <c r="W4" s="24" t="s">
        <v>2</v>
      </c>
      <c r="X4" s="24" t="s">
        <v>3</v>
      </c>
      <c r="Y4" s="75" t="s">
        <v>505</v>
      </c>
      <c r="Z4" s="75" t="s">
        <v>504</v>
      </c>
      <c r="AA4" s="26" t="s">
        <v>280</v>
      </c>
      <c r="AB4" s="24" t="s">
        <v>5</v>
      </c>
      <c r="AC4" s="75" t="s">
        <v>35</v>
      </c>
      <c r="AD4" s="24" t="s">
        <v>6</v>
      </c>
      <c r="AE4" s="24" t="s">
        <v>281</v>
      </c>
      <c r="AF4" s="24" t="s">
        <v>16</v>
      </c>
      <c r="AG4" s="24" t="s">
        <v>15</v>
      </c>
      <c r="AH4" s="24" t="s">
        <v>14</v>
      </c>
      <c r="AI4" s="25" t="s">
        <v>30</v>
      </c>
      <c r="AJ4" s="47" t="s">
        <v>10</v>
      </c>
      <c r="AK4" s="26" t="s">
        <v>21</v>
      </c>
      <c r="AL4" s="25" t="s">
        <v>22</v>
      </c>
      <c r="AQ4" s="102" t="s">
        <v>339</v>
      </c>
      <c r="AR4" s="102" t="s">
        <v>341</v>
      </c>
      <c r="AS4" s="102" t="s">
        <v>340</v>
      </c>
      <c r="AY4" s="102" t="s">
        <v>421</v>
      </c>
      <c r="AZ4" s="102" t="s">
        <v>422</v>
      </c>
      <c r="BA4" s="102" t="s">
        <v>423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362</v>
      </c>
      <c r="BA5" s="103" t="s">
        <v>294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347</v>
      </c>
      <c r="BA6" s="103" t="s">
        <v>294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1630</v>
      </c>
      <c r="E7" s="38">
        <f>IF(LEFT(VLOOKUP($B7,'Indicator chart'!$D$1:$J$36,5,FALSE),1)=" "," ",VLOOKUP($B7,'Indicator chart'!$D$1:$J$36,5,FALSE))</f>
        <v>0.1674542839531539</v>
      </c>
      <c r="F7" s="38">
        <f>IF(LEFT(VLOOKUP($B7,'Indicator chart'!$D$1:$J$36,6,FALSE),1)=" "," ",VLOOKUP($B7,'Indicator chart'!$D$1:$J$36,6,FALSE))</f>
        <v>0.1601681911974442</v>
      </c>
      <c r="G7" s="38">
        <f>IF(LEFT(VLOOKUP($B7,'Indicator chart'!$D$1:$J$36,7,FALSE),1)=" "," ",VLOOKUP($B7,'Indicator chart'!$D$1:$J$36,7,FALSE))</f>
        <v>0.17500275674650267</v>
      </c>
      <c r="H7" s="50">
        <f aca="true" t="shared" si="0" ref="H7:H31">IF(LEFT(F7,1)=" ",4,IF(AND(ABS(N7-E7)&gt;SQRT((E7-G7)^2+(N7-R7)^2),E7&lt;N7),1,IF(AND(ABS(N7-E7)&gt;SQRT((E7-F7)^2+(N7-S7)^2),E7&gt;N7),3,2)))</f>
        <v>2</v>
      </c>
      <c r="I7" s="38">
        <v>0.09194745868444443</v>
      </c>
      <c r="J7" s="38">
        <v>0.14786653220653534</v>
      </c>
      <c r="K7" s="38">
        <v>0.16533736884593964</v>
      </c>
      <c r="L7" s="38">
        <v>0.1729671210050583</v>
      </c>
      <c r="M7" s="38">
        <v>0.1846882402896881</v>
      </c>
      <c r="N7" s="80">
        <f>VLOOKUP('Hide - Control'!B$3,'All practice data'!A:CA,A7+29,FALSE)</f>
        <v>0.16312861117055424</v>
      </c>
      <c r="O7" s="80">
        <f>VLOOKUP('Hide - Control'!C$3,'All practice data'!A:CA,A7+29,FALSE)</f>
        <v>0.1599882305185145</v>
      </c>
      <c r="P7" s="38">
        <f>VLOOKUP('Hide - Control'!$B$4,'All practice data'!B:BC,A7+2,FALSE)</f>
        <v>15246</v>
      </c>
      <c r="Q7" s="38">
        <f>VLOOKUP('Hide - Control'!$B$4,'All practice data'!B:BC,3,FALSE)</f>
        <v>93460</v>
      </c>
      <c r="R7" s="38">
        <f>+((2*P7+1.96^2-1.96*SQRT(1.96^2+4*P7*(1-P7/Q7)))/(2*(Q7+1.96^2)))</f>
        <v>0.16077361537202314</v>
      </c>
      <c r="S7" s="38">
        <f>+((2*P7+1.96^2+1.96*SQRT(1.96^2+4*P7*(1-P7/Q7)))/(2*(Q7+1.96^2)))</f>
        <v>0.1655112994992697</v>
      </c>
      <c r="T7" s="53">
        <f>IF($C7=1,M7,I7)</f>
        <v>0.1846882402896881</v>
      </c>
      <c r="U7" s="51">
        <f aca="true" t="shared" si="1" ref="U7:U15">IF($C7=1,I7,M7)</f>
        <v>0.09194745868444443</v>
      </c>
      <c r="V7" s="7">
        <v>1</v>
      </c>
      <c r="W7" s="27">
        <f aca="true" t="shared" si="2" ref="W7:W31">IF((K7-I7)&gt;(M7-K7),I7,(K7-(M7-K7)))</f>
        <v>0.09194745868444443</v>
      </c>
      <c r="X7" s="27">
        <f aca="true" t="shared" si="3" ref="X7:X31">IF(W7=I7,K7+(K7-I7),M7)</f>
        <v>0.23872727900743484</v>
      </c>
      <c r="Y7" s="27">
        <f aca="true" t="shared" si="4" ref="Y7:Y31">IF(C7=1,W7,X7)</f>
        <v>0.09194745868444443</v>
      </c>
      <c r="Z7" s="27">
        <f aca="true" t="shared" si="5" ref="Z7:Z31">IF(C7=1,X7,W7)</f>
        <v>0.23872727900743484</v>
      </c>
      <c r="AA7" s="32">
        <f aca="true" t="shared" si="6" ref="AA7:AA31">IF(ISERROR(IF(C7=1,(I7-$Y7)/($Z7-$Y7),(U7-$Y7)/($Z7-$Y7))),"",IF(C7=1,(I7-$Y7)/($Z7-$Y7),(U7-$Y7)/($Z7-$Y7)))</f>
        <v>0</v>
      </c>
      <c r="AB7" s="33">
        <f aca="true" t="shared" si="7" ref="AB7:AB31">IF(ISERROR(IF(C7=1,(J7-$Y7)/($Z7-$Y7),(L7-$Y7)/($Z7-$Y7))),"",IF(C7=1,(J7-$Y7)/($Z7-$Y7),(L7-$Y7)/($Z7-$Y7)))</f>
        <v>0.3809724892634454</v>
      </c>
      <c r="AC7" s="33">
        <v>0.5</v>
      </c>
      <c r="AD7" s="33">
        <f aca="true" t="shared" si="8" ref="AD7:AD31">IF(ISERROR(IF(C7=1,(L7-$Y7)/($Z7-$Y7),(J7-$Y7)/($Z7-$Y7))),"",IF(C7=1,(L7-$Y7)/($Z7-$Y7),(J7-$Y7)/($Z7-$Y7)))</f>
        <v>0.551980934043449</v>
      </c>
      <c r="AE7" s="33">
        <f aca="true" t="shared" si="9" ref="AE7:AE31">IF(ISERROR(IF(C7=1,(M7-$Y7)/($Z7-$Y7),(I7-$Y7)/($Z7-$Y7))),"",IF(C7=1,(M7-$Y7)/($Z7-$Y7),(I7-$Y7)/($Z7-$Y7)))</f>
        <v>0.6318360480423446</v>
      </c>
      <c r="AF7" s="33">
        <f aca="true" t="shared" si="10" ref="AF7:AF30">IF(E7=" ",-999,IF(H7=4,(E7-$Y7)/($Z7-$Y7),-999))</f>
        <v>-999</v>
      </c>
      <c r="AG7" s="33">
        <f aca="true" t="shared" si="11" ref="AG7:AG31">IF(E7=" ",-999,IF(H7=2,(E7-$Y7)/($Z7-$Y7),-999))</f>
        <v>0.5144223851927054</v>
      </c>
      <c r="AH7" s="33">
        <f aca="true" t="shared" si="12" ref="AH7:AH31">IF(E7=" ",-999,IF(MAX(AK7:AL7)&gt;-999,MAX(AK7:AL7),-999))</f>
        <v>-999</v>
      </c>
      <c r="AI7" s="34">
        <f aca="true" t="shared" si="13" ref="AI7:AI31">IF(ISERROR((O7-$Y7)/($Z7-$Y7)),-999,(O7-$Y7)/($Z7-$Y7))</f>
        <v>0.463556718385032</v>
      </c>
      <c r="AJ7" s="4">
        <v>2.7020512924389086</v>
      </c>
      <c r="AK7" s="32">
        <f aca="true" t="shared" si="14" ref="AK7:AK31">IF(H7=1,(E7-$Y7)/($Z7-$Y7),-999)</f>
        <v>-999</v>
      </c>
      <c r="AL7" s="34">
        <f aca="true" t="shared" si="15" ref="AL7:AL31">IF(H7=3,(E7-$Y7)/($Z7-$Y7),-999)</f>
        <v>-999</v>
      </c>
      <c r="AQ7" s="103">
        <v>2</v>
      </c>
      <c r="AR7" s="103">
        <v>0.2422</v>
      </c>
      <c r="AS7" s="103">
        <v>7.2247</v>
      </c>
      <c r="AY7" s="103" t="s">
        <v>68</v>
      </c>
      <c r="AZ7" s="103" t="s">
        <v>346</v>
      </c>
      <c r="BA7" s="103" t="s">
        <v>294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0.22174722816301148</v>
      </c>
      <c r="G8" s="38">
        <f>IF(LEFT(VLOOKUP($B8,'Indicator chart'!$D$1:$J$36,7,FALSE),1)=" "," ",VLOOKUP($B8,'Indicator chart'!$D$1:$J$36,7,FALSE))</f>
        <v>0.23846580302862344</v>
      </c>
      <c r="H8" s="50">
        <f t="shared" si="0"/>
        <v>1</v>
      </c>
      <c r="I8" s="38">
        <v>0.17000000178813934</v>
      </c>
      <c r="J8" s="38">
        <v>0.2224999964237213</v>
      </c>
      <c r="K8" s="38">
        <v>0.23999999463558197</v>
      </c>
      <c r="L8" s="38">
        <v>0.26750001311302185</v>
      </c>
      <c r="M8" s="38">
        <v>0.30000001192092896</v>
      </c>
      <c r="N8" s="80">
        <f>VLOOKUP('Hide - Control'!B$3,'All practice data'!A:CA,A8+29,FALSE)</f>
        <v>0.23927926385619513</v>
      </c>
      <c r="O8" s="80">
        <f>VLOOKUP('Hide - Control'!C$3,'All practice data'!A:CA,A8+29,FALSE)</f>
        <v>0.15010930292554353</v>
      </c>
      <c r="P8" s="38">
        <f>VLOOKUP('Hide - Control'!$B$4,'All practice data'!B:BC,A8+2,FALSE)</f>
        <v>22363.039999999997</v>
      </c>
      <c r="Q8" s="38">
        <f>VLOOKUP('Hide - Control'!$B$4,'All practice data'!B:BC,3,FALSE)</f>
        <v>93460</v>
      </c>
      <c r="R8" s="38">
        <f>+((2*P8+1.96^2-1.96*SQRT(1.96^2+4*P8*(1-P8/Q8)))/(2*(Q8+1.96^2)))</f>
        <v>0.23655469409163743</v>
      </c>
      <c r="S8" s="38">
        <f>+((2*P8+1.96^2+1.96*SQRT(1.96^2+4*P8*(1-P8/Q8)))/(2*(Q8+1.96^2)))</f>
        <v>0.2420252661825398</v>
      </c>
      <c r="T8" s="53">
        <f aca="true" t="shared" si="16" ref="T8:T15">IF($C8=1,M8,I8)</f>
        <v>0.30000001192092896</v>
      </c>
      <c r="U8" s="51">
        <f t="shared" si="1"/>
        <v>0.17000000178813934</v>
      </c>
      <c r="V8" s="7"/>
      <c r="W8" s="27">
        <f t="shared" si="2"/>
        <v>0.17000000178813934</v>
      </c>
      <c r="X8" s="27">
        <f t="shared" si="3"/>
        <v>0.3099999874830246</v>
      </c>
      <c r="Y8" s="27">
        <f t="shared" si="4"/>
        <v>0.17000000178813934</v>
      </c>
      <c r="Z8" s="27">
        <f t="shared" si="5"/>
        <v>0.3099999874830246</v>
      </c>
      <c r="AA8" s="32">
        <f t="shared" si="6"/>
        <v>0</v>
      </c>
      <c r="AB8" s="33">
        <f t="shared" si="7"/>
        <v>0.375</v>
      </c>
      <c r="AC8" s="33">
        <v>0.5</v>
      </c>
      <c r="AD8" s="33">
        <f t="shared" si="8"/>
        <v>0.6964287234812522</v>
      </c>
      <c r="AE8" s="33">
        <f t="shared" si="9"/>
        <v>0.9285715958293774</v>
      </c>
      <c r="AF8" s="33">
        <f t="shared" si="10"/>
        <v>-999</v>
      </c>
      <c r="AG8" s="33">
        <f t="shared" si="11"/>
        <v>-999</v>
      </c>
      <c r="AH8" s="33">
        <f t="shared" si="12"/>
        <v>0.4285714595901755</v>
      </c>
      <c r="AI8" s="34">
        <f t="shared" si="13"/>
        <v>-0.14207643496439656</v>
      </c>
      <c r="AJ8" s="4">
        <v>3.778046717820832</v>
      </c>
      <c r="AK8" s="32">
        <f t="shared" si="14"/>
        <v>0.4285714595901755</v>
      </c>
      <c r="AL8" s="34">
        <f t="shared" si="15"/>
        <v>-999</v>
      </c>
      <c r="AQ8" s="103">
        <v>3</v>
      </c>
      <c r="AR8" s="103">
        <v>0.6187</v>
      </c>
      <c r="AS8" s="103">
        <v>8.7673</v>
      </c>
      <c r="AY8" s="103" t="s">
        <v>118</v>
      </c>
      <c r="AZ8" s="103" t="s">
        <v>119</v>
      </c>
      <c r="BA8" s="103" t="s">
        <v>294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49</v>
      </c>
      <c r="E9" s="38">
        <f>IF(LEFT(VLOOKUP($B9,'Indicator chart'!$D$1:$J$36,5,FALSE),1)=" "," ",VLOOKUP($B9,'Indicator chart'!$D$1:$J$36,5,FALSE))</f>
        <v>503.3901787548798</v>
      </c>
      <c r="F9" s="38">
        <f>IF(LEFT(VLOOKUP($B9,'Indicator chart'!$D$1:$J$36,6,FALSE),1)=" "," ",VLOOKUP($B9,'Indicator chart'!$D$1:$J$36,6,FALSE))</f>
        <v>372.37892380875314</v>
      </c>
      <c r="G9" s="38">
        <f>IF(LEFT(VLOOKUP($B9,'Indicator chart'!$D$1:$J$36,7,FALSE),1)=" "," ",VLOOKUP($B9,'Indicator chart'!$D$1:$J$36,7,FALSE))</f>
        <v>665.5259653975126</v>
      </c>
      <c r="H9" s="50">
        <f t="shared" si="0"/>
        <v>2</v>
      </c>
      <c r="I9" s="38">
        <v>92.60600280761719</v>
      </c>
      <c r="J9" s="38">
        <v>323.3262939453125</v>
      </c>
      <c r="K9" s="38">
        <v>454.0048828125</v>
      </c>
      <c r="L9" s="38">
        <v>571.1082763671875</v>
      </c>
      <c r="M9" s="38">
        <v>783.7838134765625</v>
      </c>
      <c r="N9" s="80">
        <f>VLOOKUP('Hide - Control'!B$3,'All practice data'!A:CA,A9+29,FALSE)</f>
        <v>477.2095013909694</v>
      </c>
      <c r="O9" s="80">
        <f>VLOOKUP('Hide - Control'!C$3,'All practice data'!A:CA,A9+29,FALSE)</f>
        <v>445.6198871279627</v>
      </c>
      <c r="P9" s="38">
        <f>VLOOKUP('Hide - Control'!$B$4,'All practice data'!B:BC,A9+2,FALSE)</f>
        <v>446</v>
      </c>
      <c r="Q9" s="38">
        <f>VLOOKUP('Hide - Control'!$B$4,'All practice data'!B:BC,3,FALSE)</f>
        <v>93460</v>
      </c>
      <c r="R9" s="38">
        <f>100000*(P9*(1-1/(9*P9)-1.96/(3*SQRT(P9)))^3)/Q9</f>
        <v>433.94147759982104</v>
      </c>
      <c r="S9" s="38">
        <f>100000*((P9+1)*(1-1/(9*(P9+1))+1.96/(3*SQRT(P9+1)))^3)/Q9</f>
        <v>523.6235932577862</v>
      </c>
      <c r="T9" s="53">
        <f t="shared" si="16"/>
        <v>783.7838134765625</v>
      </c>
      <c r="U9" s="51">
        <f t="shared" si="1"/>
        <v>92.60600280761719</v>
      </c>
      <c r="V9" s="7"/>
      <c r="W9" s="27">
        <f t="shared" si="2"/>
        <v>92.60600280761719</v>
      </c>
      <c r="X9" s="27">
        <f t="shared" si="3"/>
        <v>815.4037628173828</v>
      </c>
      <c r="Y9" s="27">
        <f t="shared" si="4"/>
        <v>92.60600280761719</v>
      </c>
      <c r="Z9" s="27">
        <f t="shared" si="5"/>
        <v>815.4037628173828</v>
      </c>
      <c r="AA9" s="32">
        <f t="shared" si="6"/>
        <v>0</v>
      </c>
      <c r="AB9" s="33">
        <f t="shared" si="7"/>
        <v>0.3192044910800195</v>
      </c>
      <c r="AC9" s="33">
        <v>0.5</v>
      </c>
      <c r="AD9" s="33">
        <f t="shared" si="8"/>
        <v>0.6620140515558672</v>
      </c>
      <c r="AE9" s="33">
        <f t="shared" si="9"/>
        <v>0.9562533932861205</v>
      </c>
      <c r="AF9" s="33">
        <f t="shared" si="10"/>
        <v>-999</v>
      </c>
      <c r="AG9" s="33">
        <f t="shared" si="11"/>
        <v>0.5683251922940554</v>
      </c>
      <c r="AH9" s="33">
        <f t="shared" si="12"/>
        <v>-999</v>
      </c>
      <c r="AI9" s="34">
        <f t="shared" si="13"/>
        <v>0.4883992505947667</v>
      </c>
      <c r="AJ9" s="4">
        <v>4.854042143202755</v>
      </c>
      <c r="AK9" s="32">
        <f t="shared" si="14"/>
        <v>-999</v>
      </c>
      <c r="AL9" s="34">
        <f t="shared" si="15"/>
        <v>-999</v>
      </c>
      <c r="AQ9" s="103">
        <v>4</v>
      </c>
      <c r="AR9" s="103">
        <v>1.0899</v>
      </c>
      <c r="AS9" s="103">
        <v>10.2416</v>
      </c>
      <c r="AY9" s="103" t="s">
        <v>90</v>
      </c>
      <c r="AZ9" s="103" t="s">
        <v>356</v>
      </c>
      <c r="BA9" s="103" t="s">
        <v>294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226.01191699198685</v>
      </c>
      <c r="F10" s="38">
        <f>IF(LEFT(VLOOKUP($B10,'Indicator chart'!$D$1:$J$36,6,FALSE),1)=" "," ",VLOOKUP($B10,'Indicator chart'!$D$1:$J$36,6,FALSE))</f>
        <v>141.589984084454</v>
      </c>
      <c r="G10" s="38">
        <f>IF(LEFT(VLOOKUP($B10,'Indicator chart'!$D$1:$J$36,7,FALSE),1)=" "," ",VLOOKUP($B10,'Indicator chart'!$D$1:$J$36,7,FALSE))</f>
        <v>342.2025875968573</v>
      </c>
      <c r="H10" s="50">
        <f t="shared" si="0"/>
        <v>2</v>
      </c>
      <c r="I10" s="38">
        <v>44.173431396484375</v>
      </c>
      <c r="J10" s="38">
        <v>248.6826629638672</v>
      </c>
      <c r="K10" s="38">
        <v>327.9653625488281</v>
      </c>
      <c r="L10" s="38">
        <v>367.1628112792969</v>
      </c>
      <c r="M10" s="38">
        <v>466.8533935546875</v>
      </c>
      <c r="N10" s="80">
        <f>VLOOKUP('Hide - Control'!B$3,'All practice data'!A:CA,A10+29,FALSE)</f>
        <v>316.7130323132891</v>
      </c>
      <c r="O10" s="80">
        <f>VLOOKUP('Hide - Control'!C$3,'All practice data'!A:CA,A10+29,FALSE)</f>
        <v>234.12259778895606</v>
      </c>
      <c r="P10" s="38">
        <f>VLOOKUP('Hide - Control'!$B$4,'All practice data'!B:BC,A10+2,FALSE)</f>
        <v>296</v>
      </c>
      <c r="Q10" s="38">
        <f>VLOOKUP('Hide - Control'!$B$4,'All practice data'!B:BC,3,FALSE)</f>
        <v>93460</v>
      </c>
      <c r="R10" s="38">
        <f>100000*(P10*(1-1/(9*P10)-1.96/(3*SQRT(P10)))^3)/Q10</f>
        <v>281.6550735013423</v>
      </c>
      <c r="S10" s="38">
        <f>100000*((P10+1)*(1-1/(9*(P10+1))+1.96/(3*SQRT(P10+1)))^3)/Q10</f>
        <v>354.9280836679089</v>
      </c>
      <c r="T10" s="53">
        <f t="shared" si="16"/>
        <v>466.8533935546875</v>
      </c>
      <c r="U10" s="51">
        <f t="shared" si="1"/>
        <v>44.173431396484375</v>
      </c>
      <c r="V10" s="7"/>
      <c r="W10" s="27">
        <f t="shared" si="2"/>
        <v>44.173431396484375</v>
      </c>
      <c r="X10" s="27">
        <f t="shared" si="3"/>
        <v>611.7572937011719</v>
      </c>
      <c r="Y10" s="27">
        <f t="shared" si="4"/>
        <v>44.173431396484375</v>
      </c>
      <c r="Z10" s="27">
        <f t="shared" si="5"/>
        <v>611.7572937011719</v>
      </c>
      <c r="AA10" s="32">
        <f t="shared" si="6"/>
        <v>0</v>
      </c>
      <c r="AB10" s="33">
        <f t="shared" si="7"/>
        <v>0.3603154443767452</v>
      </c>
      <c r="AC10" s="33">
        <v>0.5</v>
      </c>
      <c r="AD10" s="33">
        <f t="shared" si="8"/>
        <v>0.5690601888702519</v>
      </c>
      <c r="AE10" s="33">
        <f t="shared" si="9"/>
        <v>0.7447004579057291</v>
      </c>
      <c r="AF10" s="33">
        <f t="shared" si="10"/>
        <v>-999</v>
      </c>
      <c r="AG10" s="33">
        <f t="shared" si="11"/>
        <v>0.3203728958345346</v>
      </c>
      <c r="AH10" s="33">
        <f t="shared" si="12"/>
        <v>-999</v>
      </c>
      <c r="AI10" s="34">
        <f t="shared" si="13"/>
        <v>0.3346627326950042</v>
      </c>
      <c r="AJ10" s="4">
        <v>5.930037568584676</v>
      </c>
      <c r="AK10" s="32">
        <f t="shared" si="14"/>
        <v>-999</v>
      </c>
      <c r="AL10" s="34">
        <f t="shared" si="15"/>
        <v>-999</v>
      </c>
      <c r="AY10" s="103" t="s">
        <v>96</v>
      </c>
      <c r="AZ10" s="103" t="s">
        <v>97</v>
      </c>
      <c r="BA10" s="103" t="s">
        <v>473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186</v>
      </c>
      <c r="E11" s="38">
        <f>IF(LEFT(VLOOKUP($B11,'Indicator chart'!$D$1:$J$36,5,FALSE),1)=" "," ",VLOOKUP($B11,'Indicator chart'!$D$1:$J$36,5,FALSE))</f>
        <v>0.019</v>
      </c>
      <c r="F11" s="38">
        <f>IF(LEFT(VLOOKUP($B11,'Indicator chart'!$D$1:$J$36,6,FALSE),1)=" "," ",VLOOKUP($B11,'Indicator chart'!$D$1:$J$36,6,FALSE))</f>
        <v>0.016572152581267714</v>
      </c>
      <c r="G11" s="38">
        <f>IF(LEFT(VLOOKUP($B11,'Indicator chart'!$D$1:$J$36,7,FALSE),1)=" "," ",VLOOKUP($B11,'Indicator chart'!$D$1:$J$36,7,FALSE))</f>
        <v>0.02202383361756304</v>
      </c>
      <c r="H11" s="50">
        <f t="shared" si="0"/>
        <v>3</v>
      </c>
      <c r="I11" s="38">
        <v>0.00800000037997961</v>
      </c>
      <c r="J11" s="38">
        <v>0.009999999776482582</v>
      </c>
      <c r="K11" s="38">
        <v>0.01549999974668026</v>
      </c>
      <c r="L11" s="38">
        <v>0.016750000417232513</v>
      </c>
      <c r="M11" s="38">
        <v>0.01899999938905239</v>
      </c>
      <c r="N11" s="80">
        <f>VLOOKUP('Hide - Control'!B$3,'All practice data'!A:CA,A11+29,FALSE)</f>
        <v>0.014059490691204794</v>
      </c>
      <c r="O11" s="80">
        <f>VLOOKUP('Hide - Control'!C$3,'All practice data'!A:CA,A11+29,FALSE)</f>
        <v>0.015940726342527432</v>
      </c>
      <c r="P11" s="38">
        <f>VLOOKUP('Hide - Control'!$B$4,'All practice data'!B:BC,A11+2,FALSE)</f>
        <v>1314</v>
      </c>
      <c r="Q11" s="38">
        <f>VLOOKUP('Hide - Control'!$B$4,'All practice data'!B:BC,3,FALSE)</f>
        <v>93460</v>
      </c>
      <c r="R11" s="80">
        <f aca="true" t="shared" si="17" ref="R11:R16">+((2*P11+1.96^2-1.96*SQRT(1.96^2+4*P11*(1-P11/Q11)))/(2*(Q11+1.96^2)))</f>
        <v>0.013324378109031764</v>
      </c>
      <c r="S11" s="80">
        <f aca="true" t="shared" si="18" ref="S11:S16">+((2*P11+1.96^2+1.96*SQRT(1.96^2+4*P11*(1-P11/Q11)))/(2*(Q11+1.96^2)))</f>
        <v>0.014834550038428422</v>
      </c>
      <c r="T11" s="53">
        <f t="shared" si="16"/>
        <v>0.01899999938905239</v>
      </c>
      <c r="U11" s="51">
        <f t="shared" si="1"/>
        <v>0.00800000037997961</v>
      </c>
      <c r="V11" s="7"/>
      <c r="W11" s="27">
        <f t="shared" si="2"/>
        <v>0.00800000037997961</v>
      </c>
      <c r="X11" s="27">
        <f t="shared" si="3"/>
        <v>0.02299999911338091</v>
      </c>
      <c r="Y11" s="27">
        <f t="shared" si="4"/>
        <v>0.00800000037997961</v>
      </c>
      <c r="Z11" s="27">
        <f t="shared" si="5"/>
        <v>0.02299999911338091</v>
      </c>
      <c r="AA11" s="32">
        <f t="shared" si="6"/>
        <v>0</v>
      </c>
      <c r="AB11" s="33">
        <f t="shared" si="7"/>
        <v>0.1333333043588508</v>
      </c>
      <c r="AC11" s="33">
        <v>0.5</v>
      </c>
      <c r="AD11" s="33">
        <f t="shared" si="8"/>
        <v>0.5833333850734808</v>
      </c>
      <c r="AE11" s="33">
        <f t="shared" si="9"/>
        <v>0.7333333291941215</v>
      </c>
      <c r="AF11" s="33">
        <f t="shared" si="10"/>
        <v>-999</v>
      </c>
      <c r="AG11" s="33">
        <f t="shared" si="11"/>
        <v>-999</v>
      </c>
      <c r="AH11" s="33">
        <f t="shared" si="12"/>
        <v>0.7333333699239656</v>
      </c>
      <c r="AI11" s="34">
        <f t="shared" si="13"/>
        <v>0.5293817755374728</v>
      </c>
      <c r="AJ11" s="4">
        <v>7.0060329939666</v>
      </c>
      <c r="AK11" s="32">
        <f t="shared" si="14"/>
        <v>-999</v>
      </c>
      <c r="AL11" s="34">
        <f t="shared" si="15"/>
        <v>0.7333333699239656</v>
      </c>
      <c r="AY11" s="103" t="s">
        <v>214</v>
      </c>
      <c r="AZ11" s="103" t="s">
        <v>215</v>
      </c>
      <c r="BA11" s="103" t="s">
        <v>473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751</v>
      </c>
      <c r="E12" s="38">
        <f>IF(LEFT(VLOOKUP($B12,'Indicator chart'!$D$1:$J$36,5,FALSE),1)=" "," ",VLOOKUP($B12,'Indicator chart'!$D$1:$J$36,5,FALSE))</f>
        <v>0.658195</v>
      </c>
      <c r="F12" s="38">
        <f>IF(LEFT(VLOOKUP($B12,'Indicator chart'!$D$1:$J$36,6,FALSE),1)=" "," ",VLOOKUP($B12,'Indicator chart'!$D$1:$J$36,6,FALSE))</f>
        <v>0.6301828273526255</v>
      </c>
      <c r="G12" s="38">
        <f>IF(LEFT(VLOOKUP($B12,'Indicator chart'!$D$1:$J$36,7,FALSE),1)=" "," ",VLOOKUP($B12,'Indicator chart'!$D$1:$J$36,7,FALSE))</f>
        <v>0.6851446380364729</v>
      </c>
      <c r="H12" s="50">
        <f t="shared" si="0"/>
        <v>1</v>
      </c>
      <c r="I12" s="38">
        <v>0.5012350082397461</v>
      </c>
      <c r="J12" s="38">
        <v>0.6627640128135681</v>
      </c>
      <c r="K12" s="38">
        <v>0.6966894865036011</v>
      </c>
      <c r="L12" s="38">
        <v>0.7542857527732849</v>
      </c>
      <c r="M12" s="38">
        <v>0.8333330154418945</v>
      </c>
      <c r="N12" s="80">
        <f>VLOOKUP('Hide - Control'!B$3,'All practice data'!A:CA,A12+29,FALSE)</f>
        <v>0.7082463465553236</v>
      </c>
      <c r="O12" s="80">
        <f>VLOOKUP('Hide - Control'!C$3,'All practice data'!A:CA,A12+29,FALSE)</f>
        <v>0.7248631360507991</v>
      </c>
      <c r="P12" s="38">
        <f>VLOOKUP('Hide - Control'!$B$4,'All practice data'!B:BC,A12+2,FALSE)</f>
        <v>8142</v>
      </c>
      <c r="Q12" s="38">
        <f>VLOOKUP('Hide - Control'!$B$4,'All practice data'!B:BJ,57,FALSE)</f>
        <v>11496</v>
      </c>
      <c r="R12" s="38">
        <f t="shared" si="17"/>
        <v>0.69986822182586</v>
      </c>
      <c r="S12" s="38">
        <f t="shared" si="18"/>
        <v>0.7164853390788399</v>
      </c>
      <c r="T12" s="53">
        <f t="shared" si="16"/>
        <v>0.8333330154418945</v>
      </c>
      <c r="U12" s="51">
        <f t="shared" si="1"/>
        <v>0.5012350082397461</v>
      </c>
      <c r="V12" s="7"/>
      <c r="W12" s="27">
        <f t="shared" si="2"/>
        <v>0.5012350082397461</v>
      </c>
      <c r="X12" s="27">
        <f t="shared" si="3"/>
        <v>0.892143964767456</v>
      </c>
      <c r="Y12" s="27">
        <f t="shared" si="4"/>
        <v>0.5012350082397461</v>
      </c>
      <c r="Z12" s="27">
        <f t="shared" si="5"/>
        <v>0.892143964767456</v>
      </c>
      <c r="AA12" s="32">
        <f t="shared" si="6"/>
        <v>0</v>
      </c>
      <c r="AB12" s="33">
        <f t="shared" si="7"/>
        <v>0.413213874679722</v>
      </c>
      <c r="AC12" s="33">
        <v>0.5</v>
      </c>
      <c r="AD12" s="33">
        <f t="shared" si="8"/>
        <v>0.6473393364564699</v>
      </c>
      <c r="AE12" s="33">
        <f t="shared" si="9"/>
        <v>0.8495533337277407</v>
      </c>
      <c r="AF12" s="33">
        <f t="shared" si="10"/>
        <v>-999</v>
      </c>
      <c r="AG12" s="33">
        <f t="shared" si="11"/>
        <v>-999</v>
      </c>
      <c r="AH12" s="33">
        <f t="shared" si="12"/>
        <v>0.4015256983479416</v>
      </c>
      <c r="AI12" s="34">
        <f t="shared" si="13"/>
        <v>0.5720721515246247</v>
      </c>
      <c r="AJ12" s="4">
        <v>8.082028419348523</v>
      </c>
      <c r="AK12" s="32">
        <f t="shared" si="14"/>
        <v>0.4015256983479416</v>
      </c>
      <c r="AL12" s="34">
        <f t="shared" si="15"/>
        <v>-999</v>
      </c>
      <c r="AY12" s="103" t="s">
        <v>261</v>
      </c>
      <c r="AZ12" s="103" t="s">
        <v>409</v>
      </c>
      <c r="BA12" s="103" t="s">
        <v>294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v>
      </c>
      <c r="E13" s="38">
        <f>IF(LEFT(VLOOKUP($B13,'Indicator chart'!$D$1:$J$36,5,FALSE),1)=" "," ",VLOOKUP($B13,'Indicator chart'!$D$1:$J$36,5,FALSE))</f>
        <v>0.653846</v>
      </c>
      <c r="F13" s="38">
        <f>IF(LEFT(VLOOKUP($B13,'Indicator chart'!$D$1:$J$36,6,FALSE),1)=" "," ",VLOOKUP($B13,'Indicator chart'!$D$1:$J$36,6,FALSE))</f>
        <v>0.46220229009632996</v>
      </c>
      <c r="G13" s="38">
        <f>IF(LEFT(VLOOKUP($B13,'Indicator chart'!$D$1:$J$36,7,FALSE),1)=" "," ",VLOOKUP($B13,'Indicator chart'!$D$1:$J$36,7,FALSE))</f>
        <v>0.8058798502714787</v>
      </c>
      <c r="H13" s="50">
        <f t="shared" si="0"/>
        <v>2</v>
      </c>
      <c r="I13" s="38">
        <v>0.20000000298023224</v>
      </c>
      <c r="J13" s="38">
        <v>0.5785717368125916</v>
      </c>
      <c r="K13" s="38">
        <v>0.6602565050125122</v>
      </c>
      <c r="L13" s="38">
        <v>0.739874005317688</v>
      </c>
      <c r="M13" s="38">
        <v>0.7936509847640991</v>
      </c>
      <c r="N13" s="80">
        <f>VLOOKUP('Hide - Control'!B$3,'All practice data'!A:CA,A13+29,FALSE)</f>
        <v>0.7395740905057675</v>
      </c>
      <c r="O13" s="80">
        <f>VLOOKUP('Hide - Control'!C$3,'All practice data'!A:CA,A13+29,FALSE)</f>
        <v>0.7467412166569077</v>
      </c>
      <c r="P13" s="38">
        <f>VLOOKUP('Hide - Control'!$B$4,'All practice data'!B:BC,A13+2,FALSE)</f>
        <v>3334</v>
      </c>
      <c r="Q13" s="38">
        <f>VLOOKUP('Hide - Control'!$B$4,'All practice data'!B:BJ,58,FALSE)</f>
        <v>4508</v>
      </c>
      <c r="R13" s="38">
        <f t="shared" si="17"/>
        <v>0.7265625225791503</v>
      </c>
      <c r="S13" s="38">
        <f t="shared" si="18"/>
        <v>0.7521776885133667</v>
      </c>
      <c r="T13" s="53">
        <f t="shared" si="16"/>
        <v>0.7936509847640991</v>
      </c>
      <c r="U13" s="51">
        <f t="shared" si="1"/>
        <v>0.20000000298023224</v>
      </c>
      <c r="V13" s="7"/>
      <c r="W13" s="27">
        <f t="shared" si="2"/>
        <v>0.20000000298023224</v>
      </c>
      <c r="X13" s="27">
        <f t="shared" si="3"/>
        <v>1.1205130070447922</v>
      </c>
      <c r="Y13" s="27">
        <f t="shared" si="4"/>
        <v>0.20000000298023224</v>
      </c>
      <c r="Z13" s="27">
        <f t="shared" si="5"/>
        <v>1.1205130070447922</v>
      </c>
      <c r="AA13" s="32">
        <f t="shared" si="6"/>
        <v>0</v>
      </c>
      <c r="AB13" s="33">
        <f t="shared" si="7"/>
        <v>0.4112616901236175</v>
      </c>
      <c r="AC13" s="33">
        <v>0.5</v>
      </c>
      <c r="AD13" s="33">
        <f t="shared" si="8"/>
        <v>0.5864925318312959</v>
      </c>
      <c r="AE13" s="33">
        <f t="shared" si="9"/>
        <v>0.6449131942325405</v>
      </c>
      <c r="AF13" s="33">
        <f t="shared" si="10"/>
        <v>-999</v>
      </c>
      <c r="AG13" s="33">
        <f t="shared" si="11"/>
        <v>0.4930359430185056</v>
      </c>
      <c r="AH13" s="33">
        <f t="shared" si="12"/>
        <v>-999</v>
      </c>
      <c r="AI13" s="34">
        <f t="shared" si="13"/>
        <v>0.5939527320771342</v>
      </c>
      <c r="AJ13" s="4">
        <v>9.158023844730446</v>
      </c>
      <c r="AK13" s="32">
        <f t="shared" si="14"/>
        <v>-999</v>
      </c>
      <c r="AL13" s="34">
        <f t="shared" si="15"/>
        <v>-999</v>
      </c>
      <c r="AY13" s="103" t="s">
        <v>260</v>
      </c>
      <c r="AZ13" s="103" t="s">
        <v>408</v>
      </c>
      <c r="BA13" s="103" t="s">
        <v>294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1722</v>
      </c>
      <c r="E14" s="38">
        <f>IF(LEFT(VLOOKUP($B14,'Indicator chart'!$D$1:$J$36,5,FALSE),1)=" "," ",VLOOKUP($B14,'Indicator chart'!$D$1:$J$36,5,FALSE))</f>
        <v>0.758256</v>
      </c>
      <c r="F14" s="38">
        <f>IF(LEFT(VLOOKUP($B14,'Indicator chart'!$D$1:$J$36,6,FALSE),1)=" "," ",VLOOKUP($B14,'Indicator chart'!$D$1:$J$36,6,FALSE))</f>
        <v>0.7402206829622293</v>
      </c>
      <c r="G14" s="38">
        <f>IF(LEFT(VLOOKUP($B14,'Indicator chart'!$D$1:$J$36,7,FALSE),1)=" "," ",VLOOKUP($B14,'Indicator chart'!$D$1:$J$36,7,FALSE))</f>
        <v>0.7754196148061955</v>
      </c>
      <c r="H14" s="50">
        <f t="shared" si="0"/>
        <v>3</v>
      </c>
      <c r="I14" s="38">
        <v>0.6522949934005737</v>
      </c>
      <c r="J14" s="38">
        <v>0.6801472306251526</v>
      </c>
      <c r="K14" s="38">
        <v>0.716234028339386</v>
      </c>
      <c r="L14" s="38">
        <v>0.7512220144271851</v>
      </c>
      <c r="M14" s="38">
        <v>0.8647890090942383</v>
      </c>
      <c r="N14" s="80">
        <f>VLOOKUP('Hide - Control'!B$3,'All practice data'!A:CA,A14+29,FALSE)</f>
        <v>0.7174471537386758</v>
      </c>
      <c r="O14" s="80">
        <f>VLOOKUP('Hide - Control'!C$3,'All practice data'!A:CA,A14+29,FALSE)</f>
        <v>0.7559681673907895</v>
      </c>
      <c r="P14" s="38">
        <f>VLOOKUP('Hide - Control'!$B$4,'All practice data'!B:BC,A14+2,FALSE)</f>
        <v>15918</v>
      </c>
      <c r="Q14" s="38">
        <f>VLOOKUP('Hide - Control'!$B$4,'All practice data'!B:BJ,59,FALSE)</f>
        <v>22187</v>
      </c>
      <c r="R14" s="38">
        <f t="shared" si="17"/>
        <v>0.7114854049615041</v>
      </c>
      <c r="S14" s="38">
        <f t="shared" si="18"/>
        <v>0.7233336151517303</v>
      </c>
      <c r="T14" s="53">
        <f t="shared" si="16"/>
        <v>0.8647890090942383</v>
      </c>
      <c r="U14" s="51">
        <f t="shared" si="1"/>
        <v>0.6522949934005737</v>
      </c>
      <c r="V14" s="7"/>
      <c r="W14" s="27">
        <f t="shared" si="2"/>
        <v>0.5676790475845337</v>
      </c>
      <c r="X14" s="27">
        <f t="shared" si="3"/>
        <v>0.8647890090942383</v>
      </c>
      <c r="Y14" s="27">
        <f t="shared" si="4"/>
        <v>0.5676790475845337</v>
      </c>
      <c r="Z14" s="27">
        <f t="shared" si="5"/>
        <v>0.8647890090942383</v>
      </c>
      <c r="AA14" s="32">
        <f t="shared" si="6"/>
        <v>0.2847967311027914</v>
      </c>
      <c r="AB14" s="33">
        <f t="shared" si="7"/>
        <v>0.37854059981407023</v>
      </c>
      <c r="AC14" s="33">
        <v>0.5</v>
      </c>
      <c r="AD14" s="33">
        <f t="shared" si="8"/>
        <v>0.617761067013757</v>
      </c>
      <c r="AE14" s="33">
        <f t="shared" si="9"/>
        <v>1</v>
      </c>
      <c r="AF14" s="33">
        <f t="shared" si="10"/>
        <v>-999</v>
      </c>
      <c r="AG14" s="33">
        <f t="shared" si="11"/>
        <v>-999</v>
      </c>
      <c r="AH14" s="33">
        <f t="shared" si="12"/>
        <v>0.6414357547861669</v>
      </c>
      <c r="AI14" s="34">
        <f t="shared" si="13"/>
        <v>0.6337354656488208</v>
      </c>
      <c r="AJ14" s="4">
        <v>10.234019270112368</v>
      </c>
      <c r="AK14" s="32">
        <f t="shared" si="14"/>
        <v>-999</v>
      </c>
      <c r="AL14" s="34">
        <f t="shared" si="15"/>
        <v>0.6414357547861669</v>
      </c>
      <c r="AY14" s="103" t="s">
        <v>53</v>
      </c>
      <c r="AZ14" s="103" t="s">
        <v>416</v>
      </c>
      <c r="BA14" s="103" t="s">
        <v>473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510</v>
      </c>
      <c r="E15" s="38">
        <f>IF(LEFT(VLOOKUP($B15,'Indicator chart'!$D$1:$J$36,5,FALSE),1)=" "," ",VLOOKUP($B15,'Indicator chart'!$D$1:$J$36,5,FALSE))</f>
        <v>0.525773</v>
      </c>
      <c r="F15" s="38">
        <f>IF(LEFT(VLOOKUP($B15,'Indicator chart'!$D$1:$J$36,6,FALSE),1)=" "," ",VLOOKUP($B15,'Indicator chart'!$D$1:$J$36,6,FALSE))</f>
        <v>0.4943093302541237</v>
      </c>
      <c r="G15" s="38">
        <f>IF(LEFT(VLOOKUP($B15,'Indicator chart'!$D$1:$J$36,7,FALSE),1)=" "," ",VLOOKUP($B15,'Indicator chart'!$D$1:$J$36,7,FALSE))</f>
        <v>0.5570337218397692</v>
      </c>
      <c r="H15" s="50">
        <f t="shared" si="0"/>
        <v>2</v>
      </c>
      <c r="I15" s="38">
        <v>0.4045799970626831</v>
      </c>
      <c r="J15" s="38">
        <v>0.4810972511768341</v>
      </c>
      <c r="K15" s="38">
        <v>0.524753987789154</v>
      </c>
      <c r="L15" s="38">
        <v>0.5506625175476074</v>
      </c>
      <c r="M15" s="38">
        <v>0.6774190068244934</v>
      </c>
      <c r="N15" s="80">
        <f>VLOOKUP('Hide - Control'!B$3,'All practice data'!A:CA,A15+29,FALSE)</f>
        <v>0.5273931366646598</v>
      </c>
      <c r="O15" s="80">
        <f>VLOOKUP('Hide - Control'!C$3,'All practice data'!A:CA,A15+29,FALSE)</f>
        <v>0.5147293797466616</v>
      </c>
      <c r="P15" s="38">
        <f>VLOOKUP('Hide - Control'!$B$4,'All practice data'!B:BC,A15+2,FALSE)</f>
        <v>5256</v>
      </c>
      <c r="Q15" s="38">
        <f>VLOOKUP('Hide - Control'!$B$4,'All practice data'!B:BJ,60,FALSE)</f>
        <v>9966</v>
      </c>
      <c r="R15" s="38">
        <f t="shared" si="17"/>
        <v>0.5175825054976919</v>
      </c>
      <c r="S15" s="38">
        <f t="shared" si="18"/>
        <v>0.5371826574713968</v>
      </c>
      <c r="T15" s="53">
        <f t="shared" si="16"/>
        <v>0.6774190068244934</v>
      </c>
      <c r="U15" s="51">
        <f t="shared" si="1"/>
        <v>0.4045799970626831</v>
      </c>
      <c r="V15" s="7"/>
      <c r="W15" s="27">
        <f t="shared" si="2"/>
        <v>0.3720889687538147</v>
      </c>
      <c r="X15" s="27">
        <f t="shared" si="3"/>
        <v>0.6774190068244934</v>
      </c>
      <c r="Y15" s="27">
        <f t="shared" si="4"/>
        <v>0.3720889687538147</v>
      </c>
      <c r="Z15" s="27">
        <f t="shared" si="5"/>
        <v>0.6774190068244934</v>
      </c>
      <c r="AA15" s="32">
        <f t="shared" si="6"/>
        <v>0.10641281321082234</v>
      </c>
      <c r="AB15" s="33">
        <f t="shared" si="7"/>
        <v>0.35701787846299565</v>
      </c>
      <c r="AC15" s="33">
        <v>0.5</v>
      </c>
      <c r="AD15" s="33">
        <f t="shared" si="8"/>
        <v>0.5848541791766193</v>
      </c>
      <c r="AE15" s="33">
        <f t="shared" si="9"/>
        <v>1</v>
      </c>
      <c r="AF15" s="33">
        <f t="shared" si="10"/>
        <v>-999</v>
      </c>
      <c r="AG15" s="33">
        <f t="shared" si="11"/>
        <v>0.5033374122548995</v>
      </c>
      <c r="AH15" s="33">
        <f t="shared" si="12"/>
        <v>-999</v>
      </c>
      <c r="AI15" s="34">
        <f t="shared" si="13"/>
        <v>0.46716795993661137</v>
      </c>
      <c r="AJ15" s="4">
        <v>11.310014695494289</v>
      </c>
      <c r="AK15" s="32">
        <f t="shared" si="14"/>
        <v>-999</v>
      </c>
      <c r="AL15" s="34">
        <f t="shared" si="15"/>
        <v>-999</v>
      </c>
      <c r="AY15" s="103" t="s">
        <v>229</v>
      </c>
      <c r="AZ15" s="103" t="s">
        <v>230</v>
      </c>
      <c r="BA15" s="103" t="s">
        <v>294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254</v>
      </c>
      <c r="E16" s="38">
        <f>IF(LEFT(VLOOKUP($B16,'Indicator chart'!$D$1:$J$36,5,FALSE),1)=" "," ",VLOOKUP($B16,'Indicator chart'!$D$1:$J$36,5,FALSE))</f>
        <v>0.520492</v>
      </c>
      <c r="F16" s="38">
        <f>IF(LEFT(VLOOKUP($B16,'Indicator chart'!$D$1:$J$36,6,FALSE),1)=" "," ",VLOOKUP($B16,'Indicator chart'!$D$1:$J$36,6,FALSE))</f>
        <v>0.47617965966248316</v>
      </c>
      <c r="G16" s="38">
        <f>IF(LEFT(VLOOKUP($B16,'Indicator chart'!$D$1:$J$36,7,FALSE),1)=" "," ",VLOOKUP($B16,'Indicator chart'!$D$1:$J$36,7,FALSE))</f>
        <v>0.5644838385044063</v>
      </c>
      <c r="H16" s="50">
        <f t="shared" si="0"/>
        <v>2</v>
      </c>
      <c r="I16" s="38">
        <v>0.36224499344825745</v>
      </c>
      <c r="J16" s="38">
        <v>0.4735575020313263</v>
      </c>
      <c r="K16" s="38">
        <v>0.5479249954223633</v>
      </c>
      <c r="L16" s="38">
        <v>0.5676894783973694</v>
      </c>
      <c r="M16" s="38">
        <v>0.762499988079071</v>
      </c>
      <c r="N16" s="80">
        <f>VLOOKUP('Hide - Control'!B$3,'All practice data'!A:CA,A16+29,FALSE)</f>
        <v>0.5349593495934959</v>
      </c>
      <c r="O16" s="80">
        <f>VLOOKUP('Hide - Control'!C$3,'All practice data'!A:CA,A16+29,FALSE)</f>
        <v>0.5752927626212945</v>
      </c>
      <c r="P16" s="38">
        <f>VLOOKUP('Hide - Control'!$B$4,'All practice data'!B:BC,A16+2,FALSE)</f>
        <v>2632</v>
      </c>
      <c r="Q16" s="38">
        <f>VLOOKUP('Hide - Control'!$B$4,'All practice data'!B:BJ,61,FALSE)</f>
        <v>4920</v>
      </c>
      <c r="R16" s="38">
        <f t="shared" si="17"/>
        <v>0.5210001623617334</v>
      </c>
      <c r="S16" s="38">
        <f t="shared" si="18"/>
        <v>0.5488639859894239</v>
      </c>
      <c r="T16" s="53">
        <f aca="true" t="shared" si="19" ref="T16:T31">IF($C16=1,M16,I16)</f>
        <v>0.762499988079071</v>
      </c>
      <c r="U16" s="51">
        <f aca="true" t="shared" si="20" ref="U16:U31">IF($C16=1,I16,M16)</f>
        <v>0.36224499344825745</v>
      </c>
      <c r="V16" s="7"/>
      <c r="W16" s="27">
        <f t="shared" si="2"/>
        <v>0.3333500027656555</v>
      </c>
      <c r="X16" s="27">
        <f t="shared" si="3"/>
        <v>0.762499988079071</v>
      </c>
      <c r="Y16" s="27">
        <f t="shared" si="4"/>
        <v>0.3333500027656555</v>
      </c>
      <c r="Z16" s="27">
        <f t="shared" si="5"/>
        <v>0.762499988079071</v>
      </c>
      <c r="AA16" s="32">
        <f t="shared" si="6"/>
        <v>0.06733075071993636</v>
      </c>
      <c r="AB16" s="33">
        <f t="shared" si="7"/>
        <v>0.3267097846065982</v>
      </c>
      <c r="AC16" s="33">
        <v>0.5</v>
      </c>
      <c r="AD16" s="33">
        <f t="shared" si="8"/>
        <v>0.5460549543315766</v>
      </c>
      <c r="AE16" s="33">
        <f t="shared" si="9"/>
        <v>1</v>
      </c>
      <c r="AF16" s="33">
        <f t="shared" si="10"/>
        <v>-999</v>
      </c>
      <c r="AG16" s="33">
        <f t="shared" si="11"/>
        <v>0.4360759725942236</v>
      </c>
      <c r="AH16" s="33">
        <f t="shared" si="12"/>
        <v>-999</v>
      </c>
      <c r="AI16" s="34">
        <f t="shared" si="13"/>
        <v>0.5637720334044612</v>
      </c>
      <c r="AJ16" s="4">
        <v>12.386010120876215</v>
      </c>
      <c r="AK16" s="32">
        <f t="shared" si="14"/>
        <v>-999</v>
      </c>
      <c r="AL16" s="34">
        <f t="shared" si="15"/>
        <v>-999</v>
      </c>
      <c r="AY16" s="103" t="s">
        <v>293</v>
      </c>
      <c r="AZ16" s="103" t="s">
        <v>313</v>
      </c>
      <c r="BA16" s="103" t="s">
        <v>473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369</v>
      </c>
      <c r="E17" s="38">
        <f>IF(LEFT(VLOOKUP($B17,'Indicator chart'!$D$1:$J$36,5,FALSE),1)=" "," ",VLOOKUP($B17,'Indicator chart'!$D$1:$J$36,5,FALSE))</f>
        <v>3790.8362440928704</v>
      </c>
      <c r="F17" s="38">
        <f>IF(LEFT(VLOOKUP($B17,'Indicator chart'!$D$1:$J$36,6,FALSE),1)=" "," ",VLOOKUP($B17,'Indicator chart'!$D$1:$J$36,6,FALSE))</f>
        <v>3413.8555319529396</v>
      </c>
      <c r="G17" s="38">
        <f>IF(LEFT(VLOOKUP($B17,'Indicator chart'!$D$1:$J$36,7,FALSE),1)=" "," ",VLOOKUP($B17,'Indicator chart'!$D$1:$J$36,7,FALSE))</f>
        <v>4198.069920903473</v>
      </c>
      <c r="H17" s="50">
        <f t="shared" si="0"/>
        <v>3</v>
      </c>
      <c r="I17" s="38">
        <v>438.59649658203125</v>
      </c>
      <c r="J17" s="38">
        <v>1219.748046875</v>
      </c>
      <c r="K17" s="38">
        <v>2032.9952392578125</v>
      </c>
      <c r="L17" s="38">
        <v>2602.422607421875</v>
      </c>
      <c r="M17" s="38">
        <v>3790.836181640625</v>
      </c>
      <c r="N17" s="80">
        <f>VLOOKUP('Hide - Control'!B$3,'All practice data'!A:CA,A17+29,FALSE)</f>
        <v>2221.2711320350954</v>
      </c>
      <c r="O17" s="80">
        <f>VLOOKUP('Hide - Control'!C$3,'All practice data'!A:CA,A17+29,FALSE)</f>
        <v>1812.1669120472948</v>
      </c>
      <c r="P17" s="38">
        <f>VLOOKUP('Hide - Control'!$B$4,'All practice data'!B:BC,A17+2,FALSE)</f>
        <v>2076</v>
      </c>
      <c r="Q17" s="38">
        <f>VLOOKUP('Hide - Control'!$B$4,'All practice data'!B:BC,3,FALSE)</f>
        <v>93460</v>
      </c>
      <c r="R17" s="38">
        <f>100000*(P17*(1-1/(9*P17)-1.96/(3*SQRT(P17)))^3)/Q17</f>
        <v>2126.735317352648</v>
      </c>
      <c r="S17" s="38">
        <f>100000*((P17+1)*(1-1/(9*(P17+1))+1.96/(3*SQRT(P17+1)))^3)/Q17</f>
        <v>2318.9267899480296</v>
      </c>
      <c r="T17" s="53">
        <f t="shared" si="19"/>
        <v>3790.836181640625</v>
      </c>
      <c r="U17" s="51">
        <f t="shared" si="20"/>
        <v>438.59649658203125</v>
      </c>
      <c r="V17" s="7"/>
      <c r="W17" s="27">
        <f t="shared" si="2"/>
        <v>275.154296875</v>
      </c>
      <c r="X17" s="27">
        <f t="shared" si="3"/>
        <v>3790.836181640625</v>
      </c>
      <c r="Y17" s="27">
        <f t="shared" si="4"/>
        <v>275.154296875</v>
      </c>
      <c r="Z17" s="27">
        <f t="shared" si="5"/>
        <v>3790.836181640625</v>
      </c>
      <c r="AA17" s="32">
        <f t="shared" si="6"/>
        <v>0.046489473468936234</v>
      </c>
      <c r="AB17" s="33">
        <f t="shared" si="7"/>
        <v>0.26868009705120743</v>
      </c>
      <c r="AC17" s="33">
        <v>0.5</v>
      </c>
      <c r="AD17" s="33">
        <f t="shared" si="8"/>
        <v>0.6619678306594067</v>
      </c>
      <c r="AE17" s="33">
        <f t="shared" si="9"/>
        <v>1</v>
      </c>
      <c r="AF17" s="33">
        <f t="shared" si="10"/>
        <v>-999</v>
      </c>
      <c r="AG17" s="33">
        <f t="shared" si="11"/>
        <v>-999</v>
      </c>
      <c r="AH17" s="33">
        <f t="shared" si="12"/>
        <v>1.0000000177639068</v>
      </c>
      <c r="AI17" s="34">
        <f t="shared" si="13"/>
        <v>0.4371876254881237</v>
      </c>
      <c r="AJ17" s="4">
        <v>13.462005546258133</v>
      </c>
      <c r="AK17" s="32">
        <f t="shared" si="14"/>
        <v>-999</v>
      </c>
      <c r="AL17" s="34">
        <f t="shared" si="15"/>
        <v>1.0000000177639068</v>
      </c>
      <c r="AY17" s="103" t="s">
        <v>103</v>
      </c>
      <c r="AZ17" s="103" t="s">
        <v>104</v>
      </c>
      <c r="BA17" s="103" t="s">
        <v>294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369</v>
      </c>
      <c r="E18" s="80">
        <f>IF(LEFT(VLOOKUP($B18,'Indicator chart'!$D$1:$J$36,5,FALSE),1)=" "," ",VLOOKUP($B18,'Indicator chart'!$D$1:$J$36,5,FALSE))</f>
        <v>2.04395874</v>
      </c>
      <c r="F18" s="81">
        <f>IF(LEFT(VLOOKUP($B18,'Indicator chart'!$D$1:$J$36,6,FALSE),1)=" "," ",VLOOKUP($B18,'Indicator chart'!$D$1:$J$36,6,FALSE))</f>
        <v>1.8407052609999999</v>
      </c>
      <c r="G18" s="38">
        <f>IF(LEFT(VLOOKUP($B18,'Indicator chart'!$D$1:$J$36,7,FALSE),1)=" "," ",VLOOKUP($B18,'Indicator chart'!$D$1:$J$36,7,FALSE))</f>
        <v>2.26352478</v>
      </c>
      <c r="H18" s="50">
        <f>IF(LEFT(F18,1)=" ",4,IF(AND(ABS(N18-E18)&gt;SQRT((E18-G18)^2+(N18-R18)^2),E18&lt;N18),1,IF(AND(ABS(N18-E18)&gt;SQRT((E18-F18)^2+(N18-S18)^2),E18&gt;N18),3,2)))</f>
        <v>3</v>
      </c>
      <c r="I18" s="38">
        <v>0.24243120849132538</v>
      </c>
      <c r="J18" s="38"/>
      <c r="K18" s="38">
        <v>1</v>
      </c>
      <c r="L18" s="38"/>
      <c r="M18" s="38">
        <v>2.0439586639404297</v>
      </c>
      <c r="N18" s="80">
        <v>1</v>
      </c>
      <c r="O18" s="80">
        <f>VLOOKUP('Hide - Control'!C$3,'All practice data'!A:CA,A18+29,FALSE)</f>
        <v>1</v>
      </c>
      <c r="P18" s="38">
        <f>VLOOKUP('Hide - Control'!$B$4,'All practice data'!B:BC,A18+2,FALSE)</f>
        <v>2076</v>
      </c>
      <c r="Q18" s="38">
        <f>VLOOKUP('Hide - Control'!$B$4,'All practice data'!B:BC,14,FALSE)</f>
        <v>2076</v>
      </c>
      <c r="R18" s="81">
        <v>1</v>
      </c>
      <c r="S18" s="38">
        <v>1</v>
      </c>
      <c r="T18" s="53">
        <f t="shared" si="19"/>
        <v>2.0439586639404297</v>
      </c>
      <c r="U18" s="51">
        <f t="shared" si="20"/>
        <v>0.24243120849132538</v>
      </c>
      <c r="V18" s="7"/>
      <c r="W18" s="27">
        <f>IF((K18-I18)&gt;(M18-K18),I18,(K18-(M18-K18)))</f>
        <v>-0.04395866394042969</v>
      </c>
      <c r="X18" s="27">
        <f t="shared" si="3"/>
        <v>2.0439586639404297</v>
      </c>
      <c r="Y18" s="27">
        <f t="shared" si="4"/>
        <v>-0.04395866394042969</v>
      </c>
      <c r="Z18" s="27">
        <f t="shared" si="5"/>
        <v>2.0439586639404297</v>
      </c>
      <c r="AA18" s="32" t="s">
        <v>294</v>
      </c>
      <c r="AB18" s="33" t="s">
        <v>294</v>
      </c>
      <c r="AC18" s="33">
        <v>0.5</v>
      </c>
      <c r="AD18" s="33" t="s">
        <v>294</v>
      </c>
      <c r="AE18" s="33" t="s">
        <v>294</v>
      </c>
      <c r="AF18" s="33">
        <f t="shared" si="10"/>
        <v>-999</v>
      </c>
      <c r="AG18" s="33">
        <f t="shared" si="11"/>
        <v>-999</v>
      </c>
      <c r="AH18" s="33">
        <f t="shared" si="12"/>
        <v>1.0000000364284396</v>
      </c>
      <c r="AI18" s="34">
        <v>0.5</v>
      </c>
      <c r="AJ18" s="4">
        <v>14.538000971640056</v>
      </c>
      <c r="AK18" s="32">
        <f t="shared" si="14"/>
        <v>-999</v>
      </c>
      <c r="AL18" s="34">
        <f t="shared" si="15"/>
        <v>1.0000000364284396</v>
      </c>
      <c r="AY18" s="103" t="s">
        <v>105</v>
      </c>
      <c r="AZ18" s="103" t="s">
        <v>106</v>
      </c>
      <c r="BA18" s="103" t="s">
        <v>294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34</v>
      </c>
      <c r="E19" s="38">
        <f>IF(LEFT(VLOOKUP($B19,'Indicator chart'!$D$1:$J$36,5,FALSE),1)=" "," ",VLOOKUP($B19,'Indicator chart'!$D$1:$J$36,5,FALSE))</f>
        <v>0.0921409214092141</v>
      </c>
      <c r="F19" s="38">
        <f>IF(LEFT(VLOOKUP($B19,'Indicator chart'!$D$1:$J$36,6,FALSE),1)=" "," ",VLOOKUP($B19,'Indicator chart'!$D$1:$J$36,6,FALSE))</f>
        <v>0.06668588289593883</v>
      </c>
      <c r="G19" s="38">
        <f>IF(LEFT(VLOOKUP($B19,'Indicator chart'!$D$1:$J$36,7,FALSE),1)=" "," ",VLOOKUP($B19,'Indicator chart'!$D$1:$J$36,7,FALSE))</f>
        <v>0.12600077009557287</v>
      </c>
      <c r="H19" s="50">
        <f t="shared" si="0"/>
        <v>2</v>
      </c>
      <c r="I19" s="38">
        <v>0.02070442959666252</v>
      </c>
      <c r="J19" s="38">
        <v>0.0715709701180458</v>
      </c>
      <c r="K19" s="38">
        <v>0.09548906236886978</v>
      </c>
      <c r="L19" s="38">
        <v>0.11868686974048615</v>
      </c>
      <c r="M19" s="38">
        <v>0.26923078298568726</v>
      </c>
      <c r="N19" s="80">
        <f>VLOOKUP('Hide - Control'!B$3,'All practice data'!A:CA,A19+29,FALSE)</f>
        <v>0.09826589595375723</v>
      </c>
      <c r="O19" s="80">
        <f>VLOOKUP('Hide - Control'!C$3,'All practice data'!A:CA,A19+29,FALSE)</f>
        <v>0.10919341638628717</v>
      </c>
      <c r="P19" s="38">
        <f>VLOOKUP('Hide - Control'!$B$4,'All practice data'!B:BC,A19+2,FALSE)</f>
        <v>204</v>
      </c>
      <c r="Q19" s="38">
        <f>VLOOKUP('Hide - Control'!$B$4,'All practice data'!B:BC,15,FALSE)</f>
        <v>2076</v>
      </c>
      <c r="R19" s="38">
        <f>+((2*P19+1.96^2-1.96*SQRT(1.96^2+4*P19*(1-P19/Q19)))/(2*(Q19+1.96^2)))</f>
        <v>0.08619315220020378</v>
      </c>
      <c r="S19" s="38">
        <f>+((2*P19+1.96^2+1.96*SQRT(1.96^2+4*P19*(1-P19/Q19)))/(2*(Q19+1.96^2)))</f>
        <v>0.11182269669905852</v>
      </c>
      <c r="T19" s="53">
        <f t="shared" si="19"/>
        <v>0.26923078298568726</v>
      </c>
      <c r="U19" s="51">
        <f t="shared" si="20"/>
        <v>0.02070442959666252</v>
      </c>
      <c r="V19" s="7"/>
      <c r="W19" s="27">
        <f t="shared" si="2"/>
        <v>-0.07825265824794769</v>
      </c>
      <c r="X19" s="27">
        <f t="shared" si="3"/>
        <v>0.26923078298568726</v>
      </c>
      <c r="Y19" s="27">
        <f t="shared" si="4"/>
        <v>-0.07825265824794769</v>
      </c>
      <c r="Z19" s="27">
        <f t="shared" si="5"/>
        <v>0.26923078298568726</v>
      </c>
      <c r="AA19" s="32">
        <f t="shared" si="6"/>
        <v>0.2847821683050363</v>
      </c>
      <c r="AB19" s="33">
        <f t="shared" si="7"/>
        <v>0.43116767761390296</v>
      </c>
      <c r="AC19" s="33">
        <v>0.5</v>
      </c>
      <c r="AD19" s="33">
        <f t="shared" si="8"/>
        <v>0.5667594613696111</v>
      </c>
      <c r="AE19" s="33">
        <f t="shared" si="9"/>
        <v>1</v>
      </c>
      <c r="AF19" s="33">
        <f t="shared" si="10"/>
        <v>-999</v>
      </c>
      <c r="AG19" s="33">
        <f t="shared" si="11"/>
        <v>0.4903646028490764</v>
      </c>
      <c r="AH19" s="33">
        <f t="shared" si="12"/>
        <v>-999</v>
      </c>
      <c r="AI19" s="34">
        <f t="shared" si="13"/>
        <v>0.5394388692847182</v>
      </c>
      <c r="AJ19" s="4">
        <v>15.61399639702198</v>
      </c>
      <c r="AK19" s="32">
        <f t="shared" si="14"/>
        <v>-999</v>
      </c>
      <c r="AL19" s="34">
        <f t="shared" si="15"/>
        <v>-999</v>
      </c>
      <c r="AY19" s="103" t="s">
        <v>270</v>
      </c>
      <c r="AZ19" s="103" t="s">
        <v>412</v>
      </c>
      <c r="BA19" s="103" t="s">
        <v>294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48</v>
      </c>
      <c r="E20" s="38">
        <f>IF(LEFT(VLOOKUP($B20,'Indicator chart'!$D$1:$J$36,5,FALSE),1)=" "," ",VLOOKUP($B20,'Indicator chart'!$D$1:$J$36,5,FALSE))</f>
        <v>0.7083333333333334</v>
      </c>
      <c r="F20" s="38">
        <f>IF(LEFT(VLOOKUP($B20,'Indicator chart'!$D$1:$J$36,6,FALSE),1)=" "," ",VLOOKUP($B20,'Indicator chart'!$D$1:$J$36,6,FALSE))</f>
        <v>0.5682047226383246</v>
      </c>
      <c r="G20" s="38">
        <f>IF(LEFT(VLOOKUP($B20,'Indicator chart'!$D$1:$J$36,7,FALSE),1)=" "," ",VLOOKUP($B20,'Indicator chart'!$D$1:$J$36,7,FALSE))</f>
        <v>0.8175858393813662</v>
      </c>
      <c r="H20" s="50">
        <f t="shared" si="0"/>
        <v>3</v>
      </c>
      <c r="I20" s="38">
        <v>0.09238772839307785</v>
      </c>
      <c r="J20" s="38">
        <v>0.26231884956359863</v>
      </c>
      <c r="K20" s="38">
        <v>0.2991071343421936</v>
      </c>
      <c r="L20" s="38">
        <v>0.5070754885673523</v>
      </c>
      <c r="M20" s="38">
        <v>0.7083333134651184</v>
      </c>
      <c r="N20" s="80">
        <f>VLOOKUP('Hide - Control'!B$3,'All practice data'!A:CA,A20+29,FALSE)</f>
        <v>0.4358974358974359</v>
      </c>
      <c r="O20" s="80">
        <f>VLOOKUP('Hide - Control'!C$3,'All practice data'!A:CA,A20+29,FALSE)</f>
        <v>0.4534552930810221</v>
      </c>
      <c r="P20" s="38">
        <f>VLOOKUP('Hide - Control'!$B$4,'All practice data'!B:BC,A20+1,FALSE)</f>
        <v>204</v>
      </c>
      <c r="Q20" s="38">
        <f>VLOOKUP('Hide - Control'!$B$4,'All practice data'!B:BC,A20+2,FALSE)</f>
        <v>468</v>
      </c>
      <c r="R20" s="38">
        <f>+((2*P20+1.96^2-1.96*SQRT(1.96^2+4*P20*(1-P20/Q20)))/(2*(Q20+1.96^2)))</f>
        <v>0.391672879575853</v>
      </c>
      <c r="S20" s="38">
        <f>+((2*P20+1.96^2+1.96*SQRT(1.96^2+4*P20*(1-P20/Q20)))/(2*(Q20+1.96^2)))</f>
        <v>0.48116580187995756</v>
      </c>
      <c r="T20" s="53">
        <f t="shared" si="19"/>
        <v>0.7083333134651184</v>
      </c>
      <c r="U20" s="51">
        <f t="shared" si="20"/>
        <v>0.09238772839307785</v>
      </c>
      <c r="V20" s="7"/>
      <c r="W20" s="27">
        <f t="shared" si="2"/>
        <v>-0.1101190447807312</v>
      </c>
      <c r="X20" s="27">
        <f t="shared" si="3"/>
        <v>0.7083333134651184</v>
      </c>
      <c r="Y20" s="27">
        <f t="shared" si="4"/>
        <v>-0.1101190447807312</v>
      </c>
      <c r="Z20" s="27">
        <f t="shared" si="5"/>
        <v>0.7083333134651184</v>
      </c>
      <c r="AA20" s="32">
        <f t="shared" si="6"/>
        <v>0.2474264642695053</v>
      </c>
      <c r="AB20" s="33">
        <f t="shared" si="7"/>
        <v>0.45505140353258733</v>
      </c>
      <c r="AC20" s="33">
        <v>0.5</v>
      </c>
      <c r="AD20" s="33">
        <f t="shared" si="8"/>
        <v>0.7540995234846503</v>
      </c>
      <c r="AE20" s="33">
        <f t="shared" si="9"/>
        <v>1</v>
      </c>
      <c r="AF20" s="33">
        <f t="shared" si="10"/>
        <v>-999</v>
      </c>
      <c r="AG20" s="33">
        <f t="shared" si="11"/>
        <v>-999</v>
      </c>
      <c r="AH20" s="33">
        <f t="shared" si="12"/>
        <v>1.0000000242753468</v>
      </c>
      <c r="AI20" s="34">
        <f t="shared" si="13"/>
        <v>0.6885853919092317</v>
      </c>
      <c r="AJ20" s="4">
        <v>16.689991822403904</v>
      </c>
      <c r="AK20" s="32">
        <f t="shared" si="14"/>
        <v>-999</v>
      </c>
      <c r="AL20" s="34">
        <f t="shared" si="15"/>
        <v>1.0000000242753468</v>
      </c>
      <c r="AY20" s="103" t="s">
        <v>211</v>
      </c>
      <c r="AZ20" s="103" t="s">
        <v>393</v>
      </c>
      <c r="BA20" s="103" t="s">
        <v>294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70</v>
      </c>
      <c r="E21" s="38">
        <f>IF(LEFT(VLOOKUP($B21,'Indicator chart'!$D$1:$J$36,5,FALSE),1)=" "," ",VLOOKUP($B21,'Indicator chart'!$D$1:$J$36,5,FALSE))</f>
        <v>719.1288267926855</v>
      </c>
      <c r="F21" s="38">
        <f>IF(LEFT(VLOOKUP($B21,'Indicator chart'!$D$1:$J$36,6,FALSE),1)=" "," ",VLOOKUP($B21,'Indicator chart'!$D$1:$J$36,6,FALSE))</f>
        <v>560.5696085228287</v>
      </c>
      <c r="G21" s="38">
        <f>IF(LEFT(VLOOKUP($B21,'Indicator chart'!$D$1:$J$36,7,FALSE),1)=" "," ",VLOOKUP($B21,'Indicator chart'!$D$1:$J$36,7,FALSE))</f>
        <v>908.5927312695594</v>
      </c>
      <c r="H21" s="50">
        <f t="shared" si="0"/>
        <v>3</v>
      </c>
      <c r="I21" s="38">
        <v>61.46357345581055</v>
      </c>
      <c r="J21" s="38">
        <v>264.64013671875</v>
      </c>
      <c r="K21" s="38">
        <v>468.74749755859375</v>
      </c>
      <c r="L21" s="38">
        <v>676.7156372070312</v>
      </c>
      <c r="M21" s="38">
        <v>872.093017578125</v>
      </c>
      <c r="N21" s="80">
        <f>VLOOKUP('Hide - Control'!B$3,'All practice data'!A:CA,A21+29,FALSE)</f>
        <v>526.4284185747914</v>
      </c>
      <c r="O21" s="80">
        <f>VLOOKUP('Hide - Control'!C$3,'All practice data'!A:CA,A21+29,FALSE)</f>
        <v>377.7293140102421</v>
      </c>
      <c r="P21" s="38">
        <f>VLOOKUP('Hide - Control'!$B$4,'All practice data'!B:BC,A21+2,FALSE)</f>
        <v>492</v>
      </c>
      <c r="Q21" s="38">
        <f>VLOOKUP('Hide - Control'!$B$4,'All practice data'!B:BC,3,FALSE)</f>
        <v>93460</v>
      </c>
      <c r="R21" s="38">
        <f aca="true" t="shared" si="21" ref="R21:R27">100000*(P21*(1-1/(9*P21)-1.96/(3*SQRT(P21)))^3)/Q21</f>
        <v>480.93210423070195</v>
      </c>
      <c r="S21" s="38">
        <f aca="true" t="shared" si="22" ref="S21:S27">100000*((P21+1)*(1-1/(9*(P21+1))+1.96/(3*SQRT(P21+1)))^3)/Q21</f>
        <v>575.0684726422538</v>
      </c>
      <c r="T21" s="53">
        <f t="shared" si="19"/>
        <v>872.093017578125</v>
      </c>
      <c r="U21" s="51">
        <f t="shared" si="20"/>
        <v>61.46357345581055</v>
      </c>
      <c r="V21" s="7"/>
      <c r="W21" s="27">
        <f t="shared" si="2"/>
        <v>61.46357345581055</v>
      </c>
      <c r="X21" s="27">
        <f t="shared" si="3"/>
        <v>876.031421661377</v>
      </c>
      <c r="Y21" s="27">
        <f t="shared" si="4"/>
        <v>61.46357345581055</v>
      </c>
      <c r="Z21" s="27">
        <f t="shared" si="5"/>
        <v>876.031421661377</v>
      </c>
      <c r="AA21" s="32">
        <f t="shared" si="6"/>
        <v>0</v>
      </c>
      <c r="AB21" s="33">
        <f t="shared" si="7"/>
        <v>0.24942865558777286</v>
      </c>
      <c r="AC21" s="33">
        <v>0.5</v>
      </c>
      <c r="AD21" s="33">
        <f t="shared" si="8"/>
        <v>0.7553110095206632</v>
      </c>
      <c r="AE21" s="33">
        <f t="shared" si="9"/>
        <v>0.9951650386251705</v>
      </c>
      <c r="AF21" s="33">
        <f t="shared" si="10"/>
        <v>-999</v>
      </c>
      <c r="AG21" s="33">
        <f t="shared" si="11"/>
        <v>-999</v>
      </c>
      <c r="AH21" s="33">
        <f t="shared" si="12"/>
        <v>0.8073793420470297</v>
      </c>
      <c r="AI21" s="34">
        <f t="shared" si="13"/>
        <v>0.3882619983726855</v>
      </c>
      <c r="AJ21" s="4">
        <v>17.765987247785823</v>
      </c>
      <c r="AK21" s="32">
        <f t="shared" si="14"/>
        <v>-999</v>
      </c>
      <c r="AL21" s="34">
        <f t="shared" si="15"/>
        <v>0.8073793420470297</v>
      </c>
      <c r="AY21" s="103" t="s">
        <v>123</v>
      </c>
      <c r="AZ21" s="103" t="s">
        <v>367</v>
      </c>
      <c r="BA21" s="103" t="s">
        <v>294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67</v>
      </c>
      <c r="E22" s="38">
        <f>IF(LEFT(VLOOKUP($B22,'Indicator chart'!$D$1:$J$36,5,FALSE),1)=" "," ",VLOOKUP($B22,'Indicator chart'!$D$1:$J$36,5,FALSE))</f>
        <v>688.3090199301417</v>
      </c>
      <c r="F22" s="38">
        <f>IF(LEFT(VLOOKUP($B22,'Indicator chart'!$D$1:$J$36,6,FALSE),1)=" "," ",VLOOKUP($B22,'Indicator chart'!$D$1:$J$36,6,FALSE))</f>
        <v>533.4028693825405</v>
      </c>
      <c r="G22" s="38">
        <f>IF(LEFT(VLOOKUP($B22,'Indicator chart'!$D$1:$J$36,7,FALSE),1)=" "," ",VLOOKUP($B22,'Indicator chart'!$D$1:$J$36,7,FALSE))</f>
        <v>874.1449402922335</v>
      </c>
      <c r="H22" s="50">
        <f t="shared" si="0"/>
        <v>3</v>
      </c>
      <c r="I22" s="38">
        <v>18.07059669494629</v>
      </c>
      <c r="J22" s="38">
        <v>219.76641845703125</v>
      </c>
      <c r="K22" s="38">
        <v>291.6123962402344</v>
      </c>
      <c r="L22" s="38">
        <v>466.7420959472656</v>
      </c>
      <c r="M22" s="38">
        <v>947.1192016601562</v>
      </c>
      <c r="N22" s="80">
        <f>VLOOKUP('Hide - Control'!B$3,'All practice data'!A:CA,A22+29,FALSE)</f>
        <v>361.65204365503956</v>
      </c>
      <c r="O22" s="80">
        <f>VLOOKUP('Hide - Control'!C$3,'All practice data'!A:CA,A22+29,FALSE)</f>
        <v>282.45290788403287</v>
      </c>
      <c r="P22" s="38">
        <f>VLOOKUP('Hide - Control'!$B$4,'All practice data'!B:BC,A22+2,FALSE)</f>
        <v>338</v>
      </c>
      <c r="Q22" s="38">
        <f>VLOOKUP('Hide - Control'!$B$4,'All practice data'!B:BC,3,FALSE)</f>
        <v>93460</v>
      </c>
      <c r="R22" s="38">
        <f t="shared" si="21"/>
        <v>324.1186022133974</v>
      </c>
      <c r="S22" s="38">
        <f t="shared" si="22"/>
        <v>402.33876597905027</v>
      </c>
      <c r="T22" s="53">
        <f t="shared" si="19"/>
        <v>947.1192016601562</v>
      </c>
      <c r="U22" s="51">
        <f t="shared" si="20"/>
        <v>18.07059669494629</v>
      </c>
      <c r="V22" s="7"/>
      <c r="W22" s="27">
        <f t="shared" si="2"/>
        <v>-363.8944091796875</v>
      </c>
      <c r="X22" s="27">
        <f t="shared" si="3"/>
        <v>947.1192016601562</v>
      </c>
      <c r="Y22" s="27">
        <f t="shared" si="4"/>
        <v>-363.8944091796875</v>
      </c>
      <c r="Z22" s="27">
        <f t="shared" si="5"/>
        <v>947.1192016601562</v>
      </c>
      <c r="AA22" s="32">
        <f t="shared" si="6"/>
        <v>0.2913509079665043</v>
      </c>
      <c r="AB22" s="33">
        <f t="shared" si="7"/>
        <v>0.44519814501607036</v>
      </c>
      <c r="AC22" s="33">
        <v>0.5</v>
      </c>
      <c r="AD22" s="33">
        <f t="shared" si="8"/>
        <v>0.633583433656987</v>
      </c>
      <c r="AE22" s="33">
        <f t="shared" si="9"/>
        <v>1</v>
      </c>
      <c r="AF22" s="33">
        <f t="shared" si="10"/>
        <v>-999</v>
      </c>
      <c r="AG22" s="33">
        <f t="shared" si="11"/>
        <v>-999</v>
      </c>
      <c r="AH22" s="33">
        <f t="shared" si="12"/>
        <v>0.8025877232775493</v>
      </c>
      <c r="AI22" s="34">
        <f t="shared" si="13"/>
        <v>0.4930134300052507</v>
      </c>
      <c r="AJ22" s="4">
        <v>18.841982673167745</v>
      </c>
      <c r="AK22" s="32">
        <f t="shared" si="14"/>
        <v>-999</v>
      </c>
      <c r="AL22" s="34">
        <f t="shared" si="15"/>
        <v>0.8025877232775493</v>
      </c>
      <c r="AY22" s="103" t="s">
        <v>149</v>
      </c>
      <c r="AZ22" s="103" t="s">
        <v>377</v>
      </c>
      <c r="BA22" s="103" t="s">
        <v>294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184.91884117526197</v>
      </c>
      <c r="F23" s="38">
        <f>IF(LEFT(VLOOKUP($B23,'Indicator chart'!$D$1:$J$36,6,FALSE),1)=" "," ",VLOOKUP($B23,'Indicator chart'!$D$1:$J$36,6,FALSE))</f>
        <v>109.53756921800591</v>
      </c>
      <c r="G23" s="38">
        <f>IF(LEFT(VLOOKUP($B23,'Indicator chart'!$D$1:$J$36,7,FALSE),1)=" "," ",VLOOKUP($B23,'Indicator chart'!$D$1:$J$36,7,FALSE))</f>
        <v>292.2688039936258</v>
      </c>
      <c r="H23" s="50">
        <f t="shared" si="0"/>
        <v>2</v>
      </c>
      <c r="I23" s="38">
        <v>3.248678207397461</v>
      </c>
      <c r="J23" s="38">
        <v>114.00823974609375</v>
      </c>
      <c r="K23" s="38">
        <v>130.2144012451172</v>
      </c>
      <c r="L23" s="38">
        <v>150.92010498046875</v>
      </c>
      <c r="M23" s="38">
        <v>184.91883850097656</v>
      </c>
      <c r="N23" s="80">
        <f>VLOOKUP('Hide - Control'!B$3,'All practice data'!A:CA,A23+29,FALSE)</f>
        <v>138.02696340680504</v>
      </c>
      <c r="O23" s="80">
        <f>VLOOKUP('Hide - Control'!C$3,'All practice data'!A:CA,A23+29,FALSE)</f>
        <v>70.46674929228394</v>
      </c>
      <c r="P23" s="38">
        <f>VLOOKUP('Hide - Control'!$B$4,'All practice data'!B:BC,A23+2,FALSE)</f>
        <v>129</v>
      </c>
      <c r="Q23" s="38">
        <f>VLOOKUP('Hide - Control'!$B$4,'All practice data'!B:BC,3,FALSE)</f>
        <v>93460</v>
      </c>
      <c r="R23" s="38">
        <f t="shared" si="21"/>
        <v>115.23522585305064</v>
      </c>
      <c r="S23" s="38">
        <f t="shared" si="22"/>
        <v>164.0061019905367</v>
      </c>
      <c r="T23" s="53">
        <f t="shared" si="19"/>
        <v>184.91883850097656</v>
      </c>
      <c r="U23" s="51">
        <f t="shared" si="20"/>
        <v>3.248678207397461</v>
      </c>
      <c r="V23" s="7"/>
      <c r="W23" s="27">
        <f t="shared" si="2"/>
        <v>3.248678207397461</v>
      </c>
      <c r="X23" s="27">
        <f t="shared" si="3"/>
        <v>257.1801242828369</v>
      </c>
      <c r="Y23" s="27">
        <f t="shared" si="4"/>
        <v>3.248678207397461</v>
      </c>
      <c r="Z23" s="27">
        <f t="shared" si="5"/>
        <v>257.1801242828369</v>
      </c>
      <c r="AA23" s="32">
        <f t="shared" si="6"/>
        <v>0</v>
      </c>
      <c r="AB23" s="33">
        <f t="shared" si="7"/>
        <v>0.4361789894497399</v>
      </c>
      <c r="AC23" s="33">
        <v>0.5</v>
      </c>
      <c r="AD23" s="33">
        <f t="shared" si="8"/>
        <v>0.5815405262143082</v>
      </c>
      <c r="AE23" s="33">
        <f t="shared" si="9"/>
        <v>0.7154299441889819</v>
      </c>
      <c r="AF23" s="33">
        <f t="shared" si="10"/>
        <v>-999</v>
      </c>
      <c r="AG23" s="33">
        <f t="shared" si="11"/>
        <v>0.715429954720507</v>
      </c>
      <c r="AH23" s="33">
        <f t="shared" si="12"/>
        <v>-999</v>
      </c>
      <c r="AI23" s="34">
        <f t="shared" si="13"/>
        <v>0.2647095195327519</v>
      </c>
      <c r="AJ23" s="4">
        <v>19.917978098549675</v>
      </c>
      <c r="AK23" s="32">
        <f t="shared" si="14"/>
        <v>-999</v>
      </c>
      <c r="AL23" s="34">
        <f t="shared" si="15"/>
        <v>-999</v>
      </c>
      <c r="AY23" s="103" t="s">
        <v>264</v>
      </c>
      <c r="AZ23" s="103" t="s">
        <v>265</v>
      </c>
      <c r="BA23" s="103" t="s">
        <v>294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50</v>
      </c>
      <c r="E24" s="38">
        <f>IF(LEFT(VLOOKUP($B24,'Indicator chart'!$D$1:$J$36,5,FALSE),1)=" "," ",VLOOKUP($B24,'Indicator chart'!$D$1:$J$36,5,FALSE))</f>
        <v>513.6634477090611</v>
      </c>
      <c r="F24" s="38">
        <f>IF(LEFT(VLOOKUP($B24,'Indicator chart'!$D$1:$J$36,6,FALSE),1)=" "," ",VLOOKUP($B24,'Indicator chart'!$D$1:$J$36,6,FALSE))</f>
        <v>381.2193512742414</v>
      </c>
      <c r="G24" s="38">
        <f>IF(LEFT(VLOOKUP($B24,'Indicator chart'!$D$1:$J$36,7,FALSE),1)=" "," ",VLOOKUP($B24,'Indicator chart'!$D$1:$J$36,7,FALSE))</f>
        <v>677.2186345403296</v>
      </c>
      <c r="H24" s="50">
        <f t="shared" si="0"/>
        <v>3</v>
      </c>
      <c r="I24" s="38">
        <v>27.3076171875</v>
      </c>
      <c r="J24" s="38">
        <v>113.7339859008789</v>
      </c>
      <c r="K24" s="38">
        <v>192.5277557373047</v>
      </c>
      <c r="L24" s="38">
        <v>371.7149353027344</v>
      </c>
      <c r="M24" s="38">
        <v>634.920654296875</v>
      </c>
      <c r="N24" s="80">
        <f>VLOOKUP('Hide - Control'!B$3,'All practice data'!A:CA,A24+29,FALSE)</f>
        <v>317.78300877380696</v>
      </c>
      <c r="O24" s="80">
        <f>VLOOKUP('Hide - Control'!C$3,'All practice data'!A:CA,A24+29,FALSE)</f>
        <v>323.23046266988894</v>
      </c>
      <c r="P24" s="38">
        <f>VLOOKUP('Hide - Control'!$B$4,'All practice data'!B:BC,A24+2,FALSE)</f>
        <v>297</v>
      </c>
      <c r="Q24" s="38">
        <f>VLOOKUP('Hide - Control'!$B$4,'All practice data'!B:BC,3,FALSE)</f>
        <v>93460</v>
      </c>
      <c r="R24" s="38">
        <f t="shared" si="21"/>
        <v>282.664138942941</v>
      </c>
      <c r="S24" s="38">
        <f t="shared" si="22"/>
        <v>356.05887118597707</v>
      </c>
      <c r="T24" s="53">
        <f t="shared" si="19"/>
        <v>634.920654296875</v>
      </c>
      <c r="U24" s="51">
        <f t="shared" si="20"/>
        <v>27.3076171875</v>
      </c>
      <c r="V24" s="7"/>
      <c r="W24" s="27">
        <f t="shared" si="2"/>
        <v>-249.86514282226562</v>
      </c>
      <c r="X24" s="27">
        <f t="shared" si="3"/>
        <v>634.920654296875</v>
      </c>
      <c r="Y24" s="27">
        <f t="shared" si="4"/>
        <v>-249.86514282226562</v>
      </c>
      <c r="Z24" s="27">
        <f t="shared" si="5"/>
        <v>634.920654296875</v>
      </c>
      <c r="AA24" s="32">
        <f t="shared" si="6"/>
        <v>0.31326538119422703</v>
      </c>
      <c r="AB24" s="33">
        <f t="shared" si="7"/>
        <v>0.4109459373184131</v>
      </c>
      <c r="AC24" s="33">
        <v>0.5</v>
      </c>
      <c r="AD24" s="33">
        <f t="shared" si="8"/>
        <v>0.7025204068022594</v>
      </c>
      <c r="AE24" s="33">
        <f t="shared" si="9"/>
        <v>1</v>
      </c>
      <c r="AF24" s="33">
        <f t="shared" si="10"/>
        <v>-999</v>
      </c>
      <c r="AG24" s="33">
        <f t="shared" si="11"/>
        <v>-999</v>
      </c>
      <c r="AH24" s="33">
        <f t="shared" si="12"/>
        <v>0.8629530367885346</v>
      </c>
      <c r="AI24" s="34">
        <f t="shared" si="13"/>
        <v>0.6477224288162761</v>
      </c>
      <c r="AJ24" s="4">
        <v>20.99397352393159</v>
      </c>
      <c r="AK24" s="32">
        <f t="shared" si="14"/>
        <v>-999</v>
      </c>
      <c r="AL24" s="34">
        <f t="shared" si="15"/>
        <v>0.8629530367885346</v>
      </c>
      <c r="AY24" s="103" t="s">
        <v>65</v>
      </c>
      <c r="AZ24" s="103" t="s">
        <v>66</v>
      </c>
      <c r="BA24" s="103" t="s">
        <v>473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104</v>
      </c>
      <c r="E25" s="38">
        <f>IF(LEFT(VLOOKUP($B25,'Indicator chart'!$D$1:$J$36,5,FALSE),1)=" "," ",VLOOKUP($B25,'Indicator chart'!$D$1:$J$36,5,FALSE))</f>
        <v>1068.419971234847</v>
      </c>
      <c r="F25" s="38">
        <f>IF(LEFT(VLOOKUP($B25,'Indicator chart'!$D$1:$J$36,6,FALSE),1)=" "," ",VLOOKUP($B25,'Indicator chart'!$D$1:$J$36,6,FALSE))</f>
        <v>872.9543118428287</v>
      </c>
      <c r="G25" s="38">
        <f>IF(LEFT(VLOOKUP($B25,'Indicator chart'!$D$1:$J$36,7,FALSE),1)=" "," ",VLOOKUP($B25,'Indicator chart'!$D$1:$J$36,7,FALSE))</f>
        <v>1294.5855019565488</v>
      </c>
      <c r="H25" s="50">
        <f t="shared" si="0"/>
        <v>2</v>
      </c>
      <c r="I25" s="38">
        <v>711.5670776367188</v>
      </c>
      <c r="J25" s="38">
        <v>917.198486328125</v>
      </c>
      <c r="K25" s="38">
        <v>1042.3372802734375</v>
      </c>
      <c r="L25" s="38">
        <v>1101.25830078125</v>
      </c>
      <c r="M25" s="38">
        <v>1353.9466552734375</v>
      </c>
      <c r="N25" s="80">
        <f>VLOOKUP('Hide - Control'!B$3,'All practice data'!A:CA,A25+29,FALSE)</f>
        <v>1036.8071902418146</v>
      </c>
      <c r="O25" s="80">
        <f>VLOOKUP('Hide - Control'!C$3,'All practice data'!A:CA,A25+29,FALSE)</f>
        <v>562.6134400960308</v>
      </c>
      <c r="P25" s="38">
        <f>VLOOKUP('Hide - Control'!$B$4,'All practice data'!B:BC,A25+2,FALSE)</f>
        <v>969</v>
      </c>
      <c r="Q25" s="38">
        <f>VLOOKUP('Hide - Control'!$B$4,'All practice data'!B:BC,3,FALSE)</f>
        <v>93460</v>
      </c>
      <c r="R25" s="38">
        <f t="shared" si="21"/>
        <v>972.5441310974185</v>
      </c>
      <c r="S25" s="38">
        <f t="shared" si="22"/>
        <v>1104.2006361803828</v>
      </c>
      <c r="T25" s="53">
        <f t="shared" si="19"/>
        <v>1353.9466552734375</v>
      </c>
      <c r="U25" s="51">
        <f t="shared" si="20"/>
        <v>711.5670776367188</v>
      </c>
      <c r="V25" s="7"/>
      <c r="W25" s="27">
        <f t="shared" si="2"/>
        <v>711.5670776367188</v>
      </c>
      <c r="X25" s="27">
        <f t="shared" si="3"/>
        <v>1373.1074829101562</v>
      </c>
      <c r="Y25" s="27">
        <f t="shared" si="4"/>
        <v>711.5670776367188</v>
      </c>
      <c r="Z25" s="27">
        <f t="shared" si="5"/>
        <v>1373.1074829101562</v>
      </c>
      <c r="AA25" s="32">
        <f t="shared" si="6"/>
        <v>0</v>
      </c>
      <c r="AB25" s="33">
        <f t="shared" si="7"/>
        <v>0.31083726262557115</v>
      </c>
      <c r="AC25" s="33">
        <v>0.5</v>
      </c>
      <c r="AD25" s="33">
        <f t="shared" si="8"/>
        <v>0.5890663972119109</v>
      </c>
      <c r="AE25" s="33">
        <f t="shared" si="9"/>
        <v>0.971036043325579</v>
      </c>
      <c r="AF25" s="33">
        <f t="shared" si="10"/>
        <v>-999</v>
      </c>
      <c r="AG25" s="33">
        <f t="shared" si="11"/>
        <v>0.5394272077011361</v>
      </c>
      <c r="AH25" s="33">
        <f t="shared" si="12"/>
        <v>-999</v>
      </c>
      <c r="AI25" s="34">
        <f t="shared" si="13"/>
        <v>-0.22516181378085331</v>
      </c>
      <c r="AJ25" s="4">
        <v>22.06996894931352</v>
      </c>
      <c r="AK25" s="32">
        <f t="shared" si="14"/>
        <v>-999</v>
      </c>
      <c r="AL25" s="34">
        <f t="shared" si="15"/>
        <v>-999</v>
      </c>
      <c r="AY25" s="103" t="s">
        <v>257</v>
      </c>
      <c r="AZ25" s="103" t="s">
        <v>258</v>
      </c>
      <c r="BA25" s="103" t="s">
        <v>473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63</v>
      </c>
      <c r="E26" s="38">
        <f>IF(LEFT(VLOOKUP($B26,'Indicator chart'!$D$1:$J$36,5,FALSE),1)=" "," ",VLOOKUP($B26,'Indicator chart'!$D$1:$J$36,5,FALSE))</f>
        <v>647.2159441134169</v>
      </c>
      <c r="F26" s="38">
        <f>IF(LEFT(VLOOKUP($B26,'Indicator chart'!$D$1:$J$36,6,FALSE),1)=" "," ",VLOOKUP($B26,'Indicator chart'!$D$1:$J$36,6,FALSE))</f>
        <v>497.31049227354794</v>
      </c>
      <c r="G26" s="38">
        <f>IF(LEFT(VLOOKUP($B26,'Indicator chart'!$D$1:$J$36,7,FALSE),1)=" "," ",VLOOKUP($B26,'Indicator chart'!$D$1:$J$36,7,FALSE))</f>
        <v>828.0872919660832</v>
      </c>
      <c r="H26" s="50">
        <f t="shared" si="0"/>
        <v>2</v>
      </c>
      <c r="I26" s="38">
        <v>342.6613464355469</v>
      </c>
      <c r="J26" s="38">
        <v>470.7783203125</v>
      </c>
      <c r="K26" s="38">
        <v>569.0243530273438</v>
      </c>
      <c r="L26" s="38">
        <v>659.1128540039062</v>
      </c>
      <c r="M26" s="38">
        <v>835.7557983398438</v>
      </c>
      <c r="N26" s="80">
        <f>VLOOKUP('Hide - Control'!B$3,'All practice data'!A:CA,A26+29,FALSE)</f>
        <v>567.0875240744704</v>
      </c>
      <c r="O26" s="80">
        <f>VLOOKUP('Hide - Control'!C$3,'All practice data'!A:CA,A26+29,FALSE)</f>
        <v>405.57105879375996</v>
      </c>
      <c r="P26" s="38">
        <f>VLOOKUP('Hide - Control'!$B$4,'All practice data'!B:BC,A26+2,FALSE)</f>
        <v>530</v>
      </c>
      <c r="Q26" s="38">
        <f>VLOOKUP('Hide - Control'!$B$4,'All practice data'!B:BC,3,FALSE)</f>
        <v>93460</v>
      </c>
      <c r="R26" s="38">
        <f t="shared" si="21"/>
        <v>519.8279657296396</v>
      </c>
      <c r="S26" s="38">
        <f t="shared" si="22"/>
        <v>617.4891303976959</v>
      </c>
      <c r="T26" s="53">
        <f t="shared" si="19"/>
        <v>835.7557983398438</v>
      </c>
      <c r="U26" s="51">
        <f t="shared" si="20"/>
        <v>342.6613464355469</v>
      </c>
      <c r="V26" s="7"/>
      <c r="W26" s="27">
        <f t="shared" si="2"/>
        <v>302.29290771484375</v>
      </c>
      <c r="X26" s="27">
        <f t="shared" si="3"/>
        <v>835.7557983398438</v>
      </c>
      <c r="Y26" s="27">
        <f t="shared" si="4"/>
        <v>302.29290771484375</v>
      </c>
      <c r="Z26" s="27">
        <f t="shared" si="5"/>
        <v>835.7557983398438</v>
      </c>
      <c r="AA26" s="32">
        <f t="shared" si="6"/>
        <v>0.07567244025804279</v>
      </c>
      <c r="AB26" s="33">
        <f t="shared" si="7"/>
        <v>0.3158334263893415</v>
      </c>
      <c r="AC26" s="33">
        <v>0.5</v>
      </c>
      <c r="AD26" s="33">
        <f t="shared" si="8"/>
        <v>0.6688749162495927</v>
      </c>
      <c r="AE26" s="33">
        <f t="shared" si="9"/>
        <v>1</v>
      </c>
      <c r="AF26" s="33">
        <f t="shared" si="10"/>
        <v>-999</v>
      </c>
      <c r="AG26" s="33">
        <f t="shared" si="11"/>
        <v>0.6465736276322137</v>
      </c>
      <c r="AH26" s="33">
        <f t="shared" si="12"/>
        <v>-999</v>
      </c>
      <c r="AI26" s="34">
        <f t="shared" si="13"/>
        <v>0.1935995040965577</v>
      </c>
      <c r="AJ26" s="4">
        <v>23.145964374695435</v>
      </c>
      <c r="AK26" s="32">
        <f t="shared" si="14"/>
        <v>-999</v>
      </c>
      <c r="AL26" s="34">
        <f t="shared" si="15"/>
        <v>-999</v>
      </c>
      <c r="AY26" s="103" t="s">
        <v>120</v>
      </c>
      <c r="AZ26" s="103" t="s">
        <v>366</v>
      </c>
      <c r="BA26" s="103" t="s">
        <v>294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180</v>
      </c>
      <c r="E27" s="38">
        <f>IF(LEFT(VLOOKUP($B27,'Indicator chart'!$D$1:$J$36,5,FALSE),1)=" "," ",VLOOKUP($B27,'Indicator chart'!$D$1:$J$36,5,FALSE))</f>
        <v>1849.1884117526197</v>
      </c>
      <c r="F27" s="38">
        <f>IF(LEFT(VLOOKUP($B27,'Indicator chart'!$D$1:$J$36,6,FALSE),1)=" "," ",VLOOKUP($B27,'Indicator chart'!$D$1:$J$36,6,FALSE))</f>
        <v>1588.8856005323864</v>
      </c>
      <c r="G27" s="38">
        <f>IF(LEFT(VLOOKUP($B27,'Indicator chart'!$D$1:$J$36,7,FALSE),1)=" "," ",VLOOKUP($B27,'Indicator chart'!$D$1:$J$36,7,FALSE))</f>
        <v>2139.963893027912</v>
      </c>
      <c r="H27" s="50">
        <f t="shared" si="0"/>
        <v>2</v>
      </c>
      <c r="I27" s="38">
        <v>1199.1279296875</v>
      </c>
      <c r="J27" s="38">
        <v>1497.6846923828125</v>
      </c>
      <c r="K27" s="38">
        <v>1777.6405029296875</v>
      </c>
      <c r="L27" s="38">
        <v>2009.71337890625</v>
      </c>
      <c r="M27" s="38">
        <v>2209.8515625</v>
      </c>
      <c r="N27" s="80">
        <f>VLOOKUP('Hide - Control'!B$3,'All practice data'!A:CA,A27+29,FALSE)</f>
        <v>1818.9599828803766</v>
      </c>
      <c r="O27" s="80">
        <f>VLOOKUP('Hide - Control'!C$3,'All practice data'!A:CA,A27+29,FALSE)</f>
        <v>1059.3522061277838</v>
      </c>
      <c r="P27" s="38">
        <f>VLOOKUP('Hide - Control'!$B$4,'All practice data'!B:BC,A27+2,FALSE)</f>
        <v>1700</v>
      </c>
      <c r="Q27" s="38">
        <f>VLOOKUP('Hide - Control'!$B$4,'All practice data'!B:BC,3,FALSE)</f>
        <v>93460</v>
      </c>
      <c r="R27" s="38">
        <f t="shared" si="21"/>
        <v>1733.509595147973</v>
      </c>
      <c r="S27" s="38">
        <f t="shared" si="22"/>
        <v>1907.5326072190921</v>
      </c>
      <c r="T27" s="53">
        <f t="shared" si="19"/>
        <v>2209.8515625</v>
      </c>
      <c r="U27" s="51">
        <f t="shared" si="20"/>
        <v>1199.1279296875</v>
      </c>
      <c r="V27" s="7"/>
      <c r="W27" s="27">
        <f t="shared" si="2"/>
        <v>1199.1279296875</v>
      </c>
      <c r="X27" s="27">
        <f t="shared" si="3"/>
        <v>2356.153076171875</v>
      </c>
      <c r="Y27" s="27">
        <f t="shared" si="4"/>
        <v>1199.1279296875</v>
      </c>
      <c r="Z27" s="27">
        <f t="shared" si="5"/>
        <v>2356.153076171875</v>
      </c>
      <c r="AA27" s="32">
        <f t="shared" si="6"/>
        <v>0</v>
      </c>
      <c r="AB27" s="33">
        <f t="shared" si="7"/>
        <v>0.25803826615391917</v>
      </c>
      <c r="AC27" s="33">
        <v>0.5</v>
      </c>
      <c r="AD27" s="33">
        <f t="shared" si="8"/>
        <v>0.7005772101684364</v>
      </c>
      <c r="AE27" s="33">
        <f t="shared" si="9"/>
        <v>0.8735537303433615</v>
      </c>
      <c r="AF27" s="33">
        <f t="shared" si="10"/>
        <v>-999</v>
      </c>
      <c r="AG27" s="33">
        <f t="shared" si="11"/>
        <v>0.5618378166112731</v>
      </c>
      <c r="AH27" s="33">
        <f t="shared" si="12"/>
        <v>-999</v>
      </c>
      <c r="AI27" s="34">
        <f t="shared" si="13"/>
        <v>-0.12080612420950852</v>
      </c>
      <c r="AJ27" s="4">
        <v>24.221959800077364</v>
      </c>
      <c r="AK27" s="32">
        <f t="shared" si="14"/>
        <v>-999</v>
      </c>
      <c r="AL27" s="34">
        <f t="shared" si="15"/>
        <v>-999</v>
      </c>
      <c r="AY27" s="103" t="s">
        <v>115</v>
      </c>
      <c r="AZ27" s="103" t="s">
        <v>365</v>
      </c>
      <c r="BA27" s="103" t="s">
        <v>473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64</v>
      </c>
      <c r="E28" s="38">
        <f>IF(LEFT(VLOOKUP($B28,'Indicator chart'!$D$1:$J$36,5,FALSE),1)=" "," ",VLOOKUP($B28,'Indicator chart'!$D$1:$J$36,5,FALSE))</f>
        <v>657.4892130675981</v>
      </c>
      <c r="F28" s="38">
        <f>IF(LEFT(VLOOKUP($B28,'Indicator chart'!$D$1:$J$36,6,FALSE),1)=" "," ",VLOOKUP($B28,'Indicator chart'!$D$1:$J$36,6,FALSE))</f>
        <v>506.3190203548036</v>
      </c>
      <c r="G28" s="38">
        <f>IF(LEFT(VLOOKUP($B28,'Indicator chart'!$D$1:$J$36,7,FALSE),1)=" "," ",VLOOKUP($B28,'Indicator chart'!$D$1:$J$36,7,FALSE))</f>
        <v>839.6159610754938</v>
      </c>
      <c r="H28" s="50">
        <f t="shared" si="0"/>
        <v>2</v>
      </c>
      <c r="I28" s="38">
        <v>413.7018127441406</v>
      </c>
      <c r="J28" s="38">
        <v>650.8587646484375</v>
      </c>
      <c r="K28" s="38">
        <v>740.4035034179688</v>
      </c>
      <c r="L28" s="38">
        <v>867.29541015625</v>
      </c>
      <c r="M28" s="38">
        <v>1085.09423828125</v>
      </c>
      <c r="N28" s="80">
        <f>VLOOKUP('Hide - Control'!B$3,'All practice data'!A:CA,A28+29,FALSE)</f>
        <v>734.0038519152579</v>
      </c>
      <c r="O28" s="80">
        <f>VLOOKUP('Hide - Control'!C$3,'All practice data'!A:CA,A28+29,FALSE)</f>
        <v>582.9390489900089</v>
      </c>
      <c r="P28" s="38">
        <f>VLOOKUP('Hide - Control'!$B$4,'All practice data'!B:BC,A28+2,FALSE)</f>
        <v>686</v>
      </c>
      <c r="Q28" s="38">
        <f>VLOOKUP('Hide - Control'!$B$4,'All practice data'!B:BC,3,FALSE)</f>
        <v>93460</v>
      </c>
      <c r="R28" s="38">
        <f>100000*(P28*(1-1/(9*P28)-1.96/(3*SQRT(P28)))^3)/Q28</f>
        <v>680.0957501642492</v>
      </c>
      <c r="S28" s="38">
        <f>100000*((P28+1)*(1-1/(9*(P28+1))+1.96/(3*SQRT(P28+1)))^3)/Q28</f>
        <v>791.0485903909769</v>
      </c>
      <c r="T28" s="53">
        <f t="shared" si="19"/>
        <v>1085.09423828125</v>
      </c>
      <c r="U28" s="51">
        <f t="shared" si="20"/>
        <v>413.7018127441406</v>
      </c>
      <c r="V28" s="7"/>
      <c r="W28" s="27">
        <f t="shared" si="2"/>
        <v>395.7127685546875</v>
      </c>
      <c r="X28" s="27">
        <f t="shared" si="3"/>
        <v>1085.09423828125</v>
      </c>
      <c r="Y28" s="27">
        <f t="shared" si="4"/>
        <v>395.7127685546875</v>
      </c>
      <c r="Z28" s="27">
        <f t="shared" si="5"/>
        <v>1085.09423828125</v>
      </c>
      <c r="AA28" s="32">
        <f t="shared" si="6"/>
        <v>0.026094470158283093</v>
      </c>
      <c r="AB28" s="33">
        <f t="shared" si="7"/>
        <v>0.3701085789192326</v>
      </c>
      <c r="AC28" s="33">
        <v>0.5</v>
      </c>
      <c r="AD28" s="33">
        <f t="shared" si="8"/>
        <v>0.6840663149658083</v>
      </c>
      <c r="AE28" s="33">
        <f t="shared" si="9"/>
        <v>1</v>
      </c>
      <c r="AF28" s="33">
        <f t="shared" si="10"/>
        <v>-999</v>
      </c>
      <c r="AG28" s="33">
        <f t="shared" si="11"/>
        <v>0.3797265461990763</v>
      </c>
      <c r="AH28" s="33">
        <f t="shared" si="12"/>
        <v>-999</v>
      </c>
      <c r="AI28" s="34">
        <f t="shared" si="13"/>
        <v>0.27158589062392874</v>
      </c>
      <c r="AJ28" s="4">
        <v>25.297955225459287</v>
      </c>
      <c r="AK28" s="32">
        <f t="shared" si="14"/>
        <v>-999</v>
      </c>
      <c r="AL28" s="34">
        <f t="shared" si="15"/>
        <v>-999</v>
      </c>
      <c r="AY28" s="103" t="s">
        <v>241</v>
      </c>
      <c r="AZ28" s="103" t="s">
        <v>242</v>
      </c>
      <c r="BA28" s="103" t="s">
        <v>473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368</v>
      </c>
      <c r="BA29" s="103" t="s">
        <v>294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294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389</v>
      </c>
      <c r="BA31" s="103" t="s">
        <v>294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348</v>
      </c>
      <c r="BA32" s="103" t="s">
        <v>294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413</v>
      </c>
      <c r="BA33" s="103" t="s">
        <v>473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294</v>
      </c>
      <c r="BB34" s="10">
        <v>532801</v>
      </c>
      <c r="BE34" s="77"/>
      <c r="BF34" s="253"/>
    </row>
    <row r="35" spans="2:58" ht="12.75">
      <c r="B35" s="17" t="s">
        <v>41</v>
      </c>
      <c r="C35" s="18"/>
      <c r="H35" s="290" t="s">
        <v>503</v>
      </c>
      <c r="I35" s="291"/>
      <c r="Y35" s="43"/>
      <c r="Z35" s="44"/>
      <c r="AA35" s="44"/>
      <c r="AB35" s="43"/>
      <c r="AC35" s="43"/>
      <c r="AY35" s="103" t="s">
        <v>159</v>
      </c>
      <c r="AZ35" s="103" t="s">
        <v>381</v>
      </c>
      <c r="BA35" s="103" t="s">
        <v>294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370</v>
      </c>
      <c r="BA36" s="103" t="s">
        <v>294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387</v>
      </c>
      <c r="BA37" s="103" t="s">
        <v>294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294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294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294</v>
      </c>
      <c r="BB40" s="10">
        <v>714731</v>
      </c>
      <c r="BF40" s="252"/>
    </row>
    <row r="41" spans="1:58" ht="12.75">
      <c r="A41" s="3"/>
      <c r="B41" s="71"/>
      <c r="C41" s="3"/>
      <c r="T41" s="13"/>
      <c r="U41" s="2"/>
      <c r="W41" s="2"/>
      <c r="X41" s="10"/>
      <c r="Y41" s="44"/>
      <c r="Z41" s="44"/>
      <c r="AA41" s="44"/>
      <c r="AB41" s="44"/>
      <c r="AC41" s="44"/>
      <c r="AD41" s="2"/>
      <c r="AE41" s="2"/>
      <c r="AY41" s="103" t="s">
        <v>272</v>
      </c>
      <c r="AZ41" s="103" t="s">
        <v>414</v>
      </c>
      <c r="BA41" s="103" t="s">
        <v>473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294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411</v>
      </c>
      <c r="BA43" s="103" t="s">
        <v>294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399</v>
      </c>
      <c r="BA44" s="103" t="s">
        <v>294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294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390</v>
      </c>
      <c r="BA46" s="103" t="s">
        <v>473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294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394</v>
      </c>
      <c r="BA48" s="103" t="s">
        <v>473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405</v>
      </c>
      <c r="BA49" s="103" t="s">
        <v>473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294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371</v>
      </c>
      <c r="BA51" s="103" t="s">
        <v>294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294</v>
      </c>
      <c r="BB52" s="10">
        <v>611636</v>
      </c>
      <c r="BF52" s="252"/>
    </row>
    <row r="53" spans="1:58" ht="12.75">
      <c r="A53" s="3"/>
      <c r="B53" s="12"/>
      <c r="C53" s="3"/>
      <c r="I53" s="11"/>
      <c r="J53" s="11"/>
      <c r="K53" s="11"/>
      <c r="L53" s="11"/>
      <c r="S53" s="11"/>
      <c r="U53" s="2"/>
      <c r="X53" s="2"/>
      <c r="Y53" s="2"/>
      <c r="Z53" s="2"/>
      <c r="AA53" s="2"/>
      <c r="AB53" s="2"/>
      <c r="AY53" s="103" t="s">
        <v>244</v>
      </c>
      <c r="AZ53" s="103" t="s">
        <v>404</v>
      </c>
      <c r="BA53" s="103" t="s">
        <v>294</v>
      </c>
      <c r="BB53" s="10">
        <v>230998</v>
      </c>
      <c r="BF53" s="252"/>
    </row>
    <row r="54" spans="1:58" ht="12.75">
      <c r="A54" s="3"/>
      <c r="B54" s="12"/>
      <c r="C54" s="3"/>
      <c r="I54" s="11"/>
      <c r="J54" s="11"/>
      <c r="K54" s="11"/>
      <c r="L54" s="11"/>
      <c r="S54" s="11"/>
      <c r="U54" s="2"/>
      <c r="X54" s="2"/>
      <c r="Y54" s="2"/>
      <c r="Z54" s="2"/>
      <c r="AA54" s="2"/>
      <c r="AB54" s="2"/>
      <c r="AY54" s="103" t="s">
        <v>67</v>
      </c>
      <c r="AZ54" s="103" t="s">
        <v>345</v>
      </c>
      <c r="BA54" s="103" t="s">
        <v>294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391</v>
      </c>
      <c r="BA55" s="103" t="s">
        <v>294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361</v>
      </c>
      <c r="BA56" s="103" t="s">
        <v>294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406</v>
      </c>
      <c r="BA57" s="103" t="s">
        <v>294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351</v>
      </c>
      <c r="BA58" s="103" t="s">
        <v>294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294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294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395</v>
      </c>
      <c r="BA61" s="103" t="s">
        <v>473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473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384</v>
      </c>
      <c r="BA63" s="103" t="s">
        <v>294</v>
      </c>
      <c r="BB63" s="10">
        <v>318405</v>
      </c>
      <c r="BE63" s="70"/>
      <c r="BF63" s="239"/>
    </row>
    <row r="64" spans="1:58" ht="12.75">
      <c r="A64" s="3"/>
      <c r="B64" s="12"/>
      <c r="C64" s="3"/>
      <c r="I64" s="11"/>
      <c r="V64" s="3"/>
      <c r="AY64" s="103" t="s">
        <v>78</v>
      </c>
      <c r="AZ64" s="103" t="s">
        <v>352</v>
      </c>
      <c r="BA64" s="103" t="s">
        <v>473</v>
      </c>
      <c r="BB64" s="10">
        <v>181285</v>
      </c>
      <c r="BE64" s="70"/>
      <c r="BF64" s="241"/>
    </row>
    <row r="65" spans="1:58" ht="12.75">
      <c r="A65" s="3"/>
      <c r="B65" s="12"/>
      <c r="C65" s="3"/>
      <c r="AY65" s="103" t="s">
        <v>462</v>
      </c>
      <c r="AZ65" s="103" t="s">
        <v>463</v>
      </c>
      <c r="BA65" s="103" t="s">
        <v>294</v>
      </c>
      <c r="BB65" s="10">
        <v>1169302</v>
      </c>
      <c r="BE65" s="70"/>
      <c r="BF65" s="241"/>
    </row>
    <row r="66" spans="1:58" ht="12.75">
      <c r="A66" s="3"/>
      <c r="B66" s="12"/>
      <c r="C66" s="3"/>
      <c r="E66" s="2"/>
      <c r="F66" s="2"/>
      <c r="G66" s="2"/>
      <c r="V66" s="2"/>
      <c r="AY66" s="103" t="s">
        <v>200</v>
      </c>
      <c r="AZ66" s="103" t="s">
        <v>392</v>
      </c>
      <c r="BA66" s="103" t="s">
        <v>294</v>
      </c>
      <c r="BB66" s="10">
        <v>217916</v>
      </c>
      <c r="BE66" s="70"/>
      <c r="BF66" s="239"/>
    </row>
    <row r="67" spans="1:58" ht="12.75">
      <c r="A67" s="3"/>
      <c r="B67" s="12"/>
      <c r="C67" s="3"/>
      <c r="AY67" s="103" t="s">
        <v>69</v>
      </c>
      <c r="AZ67" s="103" t="s">
        <v>70</v>
      </c>
      <c r="BA67" s="103" t="s">
        <v>294</v>
      </c>
      <c r="BB67" s="10">
        <v>270842</v>
      </c>
      <c r="BE67" s="70"/>
      <c r="BF67" s="239"/>
    </row>
    <row r="68" spans="1:58" ht="12.75">
      <c r="A68" s="3"/>
      <c r="B68" s="12"/>
      <c r="C68" s="3"/>
      <c r="AY68" s="103" t="s">
        <v>109</v>
      </c>
      <c r="AZ68" s="103" t="s">
        <v>110</v>
      </c>
      <c r="BA68" s="103" t="s">
        <v>294</v>
      </c>
      <c r="BB68" s="10">
        <v>251613</v>
      </c>
      <c r="BF68" s="252"/>
    </row>
    <row r="69" spans="1:58" ht="12.75">
      <c r="A69" s="3"/>
      <c r="B69" s="12"/>
      <c r="C69" s="3"/>
      <c r="AY69" s="103" t="s">
        <v>209</v>
      </c>
      <c r="AZ69" s="103" t="s">
        <v>210</v>
      </c>
      <c r="BA69" s="103" t="s">
        <v>294</v>
      </c>
      <c r="BB69" s="10">
        <v>283547</v>
      </c>
      <c r="BE69" s="70"/>
      <c r="BF69" s="241"/>
    </row>
    <row r="70" spans="1:58" ht="12.75">
      <c r="A70" s="3"/>
      <c r="B70" s="12"/>
      <c r="C70" s="3"/>
      <c r="AY70" s="103" t="s">
        <v>275</v>
      </c>
      <c r="AZ70" s="103" t="s">
        <v>415</v>
      </c>
      <c r="BA70" s="103" t="s">
        <v>472</v>
      </c>
      <c r="BB70" s="10">
        <v>141474</v>
      </c>
      <c r="BE70" s="70"/>
      <c r="BF70" s="239"/>
    </row>
    <row r="71" spans="1:58" ht="12.75">
      <c r="A71" s="3"/>
      <c r="B71" s="12"/>
      <c r="C71" s="3"/>
      <c r="AY71" s="103" t="s">
        <v>127</v>
      </c>
      <c r="AZ71" s="103" t="s">
        <v>369</v>
      </c>
      <c r="BA71" s="103" t="s">
        <v>294</v>
      </c>
      <c r="BB71" s="10">
        <v>213326</v>
      </c>
      <c r="BE71" s="70"/>
      <c r="BF71" s="239"/>
    </row>
    <row r="72" spans="1:58" ht="12.75">
      <c r="A72" s="3"/>
      <c r="B72" s="12"/>
      <c r="C72" s="3"/>
      <c r="AY72" s="103" t="s">
        <v>136</v>
      </c>
      <c r="AZ72" s="103" t="s">
        <v>137</v>
      </c>
      <c r="BA72" s="103" t="s">
        <v>294</v>
      </c>
      <c r="BB72" s="10">
        <v>183220</v>
      </c>
      <c r="BE72" s="250"/>
      <c r="BF72" s="239"/>
    </row>
    <row r="73" spans="1:58" ht="12.75">
      <c r="A73" s="3"/>
      <c r="B73" s="12"/>
      <c r="C73" s="3"/>
      <c r="AY73" s="103" t="s">
        <v>64</v>
      </c>
      <c r="AZ73" s="103" t="s">
        <v>344</v>
      </c>
      <c r="BA73" s="103" t="s">
        <v>294</v>
      </c>
      <c r="BB73" s="10">
        <v>190143</v>
      </c>
      <c r="BE73" s="70"/>
      <c r="BF73" s="239"/>
    </row>
    <row r="74" spans="1:58" ht="12.75">
      <c r="A74" s="3"/>
      <c r="B74" s="12"/>
      <c r="C74" s="3"/>
      <c r="AY74" s="103" t="s">
        <v>165</v>
      </c>
      <c r="AZ74" s="103" t="s">
        <v>166</v>
      </c>
      <c r="BA74" s="103" t="s">
        <v>473</v>
      </c>
      <c r="BB74" s="10">
        <v>419928</v>
      </c>
      <c r="BE74" s="70"/>
      <c r="BF74" s="241"/>
    </row>
    <row r="75" spans="1:58" ht="12.75">
      <c r="A75" s="3"/>
      <c r="B75" s="12"/>
      <c r="C75" s="3"/>
      <c r="AY75" s="103" t="s">
        <v>113</v>
      </c>
      <c r="AZ75" s="103" t="s">
        <v>363</v>
      </c>
      <c r="BA75" s="103" t="s">
        <v>294</v>
      </c>
      <c r="BB75" s="10">
        <v>158106</v>
      </c>
      <c r="BE75" s="70"/>
      <c r="BF75" s="241"/>
    </row>
    <row r="76" spans="1:58" ht="12.75">
      <c r="A76" s="3"/>
      <c r="B76" s="12"/>
      <c r="C76" s="3"/>
      <c r="AY76" s="103" t="s">
        <v>140</v>
      </c>
      <c r="AZ76" s="103" t="s">
        <v>141</v>
      </c>
      <c r="BA76" s="103" t="s">
        <v>294</v>
      </c>
      <c r="BB76" s="10">
        <v>377807</v>
      </c>
      <c r="BE76" s="70"/>
      <c r="BF76" s="241"/>
    </row>
    <row r="77" spans="1:58" ht="12.75">
      <c r="A77" s="3"/>
      <c r="B77" s="12"/>
      <c r="C77" s="3"/>
      <c r="AY77" s="103" t="s">
        <v>163</v>
      </c>
      <c r="AZ77" s="103" t="s">
        <v>164</v>
      </c>
      <c r="BA77" s="103" t="s">
        <v>473</v>
      </c>
      <c r="BB77" s="10">
        <v>799634</v>
      </c>
      <c r="BE77" s="70"/>
      <c r="BF77" s="249"/>
    </row>
    <row r="78" spans="1:58" ht="12.75">
      <c r="A78" s="3"/>
      <c r="B78" s="12"/>
      <c r="C78" s="3"/>
      <c r="AY78" s="103" t="s">
        <v>224</v>
      </c>
      <c r="AZ78" s="103" t="s">
        <v>225</v>
      </c>
      <c r="BA78" s="103" t="s">
        <v>294</v>
      </c>
      <c r="BB78" s="10">
        <v>362638</v>
      </c>
      <c r="BE78" s="70"/>
      <c r="BF78" s="239"/>
    </row>
    <row r="79" spans="1:58" ht="12.75">
      <c r="A79" s="3"/>
      <c r="B79" s="12"/>
      <c r="C79" s="3"/>
      <c r="AY79" s="103" t="s">
        <v>223</v>
      </c>
      <c r="AZ79" s="103" t="s">
        <v>397</v>
      </c>
      <c r="BA79" s="103" t="s">
        <v>294</v>
      </c>
      <c r="BB79" s="10">
        <v>678998</v>
      </c>
      <c r="BF79" s="239"/>
    </row>
    <row r="80" spans="1:58" ht="12.75">
      <c r="A80" s="3"/>
      <c r="B80" s="12"/>
      <c r="C80" s="3"/>
      <c r="AY80" s="103" t="s">
        <v>144</v>
      </c>
      <c r="AZ80" s="103" t="s">
        <v>145</v>
      </c>
      <c r="BA80" s="103" t="s">
        <v>294</v>
      </c>
      <c r="BB80" s="10">
        <v>290986</v>
      </c>
      <c r="BF80" s="252"/>
    </row>
    <row r="81" spans="1:58" ht="12.75">
      <c r="A81" s="3"/>
      <c r="B81" s="12"/>
      <c r="C81" s="3"/>
      <c r="AY81" s="103" t="s">
        <v>178</v>
      </c>
      <c r="AZ81" s="103" t="s">
        <v>386</v>
      </c>
      <c r="BA81" s="103" t="s">
        <v>473</v>
      </c>
      <c r="BB81" s="10">
        <v>747976</v>
      </c>
      <c r="BF81" s="252"/>
    </row>
    <row r="82" spans="1:58" ht="12.75">
      <c r="A82" s="3"/>
      <c r="B82" s="12"/>
      <c r="C82" s="3"/>
      <c r="AY82" s="103" t="s">
        <v>193</v>
      </c>
      <c r="AZ82" s="103" t="s">
        <v>194</v>
      </c>
      <c r="BA82" s="103" t="s">
        <v>294</v>
      </c>
      <c r="BB82" s="10">
        <v>489140</v>
      </c>
      <c r="BF82" s="252"/>
    </row>
    <row r="83" spans="1:58" ht="12.75">
      <c r="A83" s="3"/>
      <c r="B83" s="12"/>
      <c r="C83" s="3"/>
      <c r="AY83" s="103" t="s">
        <v>98</v>
      </c>
      <c r="AZ83" s="103" t="s">
        <v>360</v>
      </c>
      <c r="BA83" s="103" t="s">
        <v>473</v>
      </c>
      <c r="BB83" s="10">
        <v>208442</v>
      </c>
      <c r="BE83" s="70"/>
      <c r="BF83" s="241"/>
    </row>
    <row r="84" spans="1:58" ht="12.75">
      <c r="A84" s="3"/>
      <c r="B84" s="12"/>
      <c r="C84" s="3"/>
      <c r="AY84" s="103" t="s">
        <v>203</v>
      </c>
      <c r="AZ84" s="103" t="s">
        <v>204</v>
      </c>
      <c r="BA84" s="103" t="s">
        <v>473</v>
      </c>
      <c r="BB84" s="10">
        <v>545543</v>
      </c>
      <c r="BE84" s="70"/>
      <c r="BF84" s="241"/>
    </row>
    <row r="85" spans="1:58" ht="12.75">
      <c r="A85" s="3"/>
      <c r="B85" s="12"/>
      <c r="C85" s="3"/>
      <c r="AY85" s="103" t="s">
        <v>135</v>
      </c>
      <c r="AZ85" s="103" t="s">
        <v>375</v>
      </c>
      <c r="BA85" s="103" t="s">
        <v>473</v>
      </c>
      <c r="BB85" s="10">
        <v>274067</v>
      </c>
      <c r="BE85" s="70"/>
      <c r="BF85" s="241"/>
    </row>
    <row r="86" spans="1:58" ht="12.75">
      <c r="A86" s="3"/>
      <c r="B86" s="12"/>
      <c r="C86" s="3"/>
      <c r="AY86" s="103" t="s">
        <v>251</v>
      </c>
      <c r="AZ86" s="103" t="s">
        <v>252</v>
      </c>
      <c r="BA86" s="103" t="s">
        <v>473</v>
      </c>
      <c r="BB86" s="10">
        <v>374861</v>
      </c>
      <c r="BE86" s="70"/>
      <c r="BF86" s="249"/>
    </row>
    <row r="87" spans="1:58" ht="12.75">
      <c r="A87" s="3"/>
      <c r="B87" s="12"/>
      <c r="C87" s="3"/>
      <c r="AY87" s="103" t="s">
        <v>132</v>
      </c>
      <c r="AZ87" s="103" t="s">
        <v>133</v>
      </c>
      <c r="BA87" s="103" t="s">
        <v>294</v>
      </c>
      <c r="BB87" s="10">
        <v>153833</v>
      </c>
      <c r="BE87" s="70"/>
      <c r="BF87" s="249"/>
    </row>
    <row r="88" spans="1:58" ht="12.75">
      <c r="A88" s="3"/>
      <c r="B88" s="12"/>
      <c r="C88" s="3"/>
      <c r="AY88" s="103" t="s">
        <v>79</v>
      </c>
      <c r="AZ88" s="103" t="s">
        <v>80</v>
      </c>
      <c r="BA88" s="103" t="s">
        <v>473</v>
      </c>
      <c r="BB88" s="10">
        <v>258492</v>
      </c>
      <c r="BE88" s="70"/>
      <c r="BF88" s="241"/>
    </row>
    <row r="89" spans="1:58" ht="12.75">
      <c r="A89" s="3"/>
      <c r="B89" s="12"/>
      <c r="C89" s="3"/>
      <c r="AY89" s="103" t="s">
        <v>81</v>
      </c>
      <c r="AZ89" s="103" t="s">
        <v>353</v>
      </c>
      <c r="BA89" s="103" t="s">
        <v>294</v>
      </c>
      <c r="BB89" s="10">
        <v>283085</v>
      </c>
      <c r="BE89" s="70"/>
      <c r="BF89" s="241"/>
    </row>
    <row r="90" spans="1:58" ht="12.75">
      <c r="A90" s="3"/>
      <c r="B90" s="12"/>
      <c r="C90" s="3"/>
      <c r="AY90" s="103" t="s">
        <v>76</v>
      </c>
      <c r="AZ90" s="103" t="s">
        <v>350</v>
      </c>
      <c r="BA90" s="103" t="s">
        <v>294</v>
      </c>
      <c r="BB90" s="10">
        <v>357346</v>
      </c>
      <c r="BE90" s="70"/>
      <c r="BF90" s="241"/>
    </row>
    <row r="91" spans="1:58" ht="12.75">
      <c r="A91" s="3"/>
      <c r="B91" s="12"/>
      <c r="C91" s="3"/>
      <c r="AY91" s="103" t="s">
        <v>243</v>
      </c>
      <c r="AZ91" s="103" t="s">
        <v>403</v>
      </c>
      <c r="BA91" s="103" t="s">
        <v>473</v>
      </c>
      <c r="BB91" s="10">
        <v>748575</v>
      </c>
      <c r="BE91" s="247"/>
      <c r="BF91" s="249"/>
    </row>
    <row r="92" spans="1:58" ht="12.75">
      <c r="A92" s="3"/>
      <c r="B92" s="12"/>
      <c r="C92" s="3"/>
      <c r="AY92" s="103" t="s">
        <v>249</v>
      </c>
      <c r="AZ92" s="103" t="s">
        <v>250</v>
      </c>
      <c r="BA92" s="103" t="s">
        <v>473</v>
      </c>
      <c r="BB92" s="10">
        <v>322673</v>
      </c>
      <c r="BE92" s="247"/>
      <c r="BF92" s="249"/>
    </row>
    <row r="93" spans="1:58" ht="12.75">
      <c r="A93" s="3"/>
      <c r="B93" s="12"/>
      <c r="C93" s="3"/>
      <c r="AY93" s="103" t="s">
        <v>58</v>
      </c>
      <c r="AZ93" s="103" t="s">
        <v>59</v>
      </c>
      <c r="BA93" s="103" t="s">
        <v>294</v>
      </c>
      <c r="BB93" s="10">
        <v>165284</v>
      </c>
      <c r="BF93" s="252"/>
    </row>
    <row r="94" spans="1:58" ht="12.75">
      <c r="A94" s="3"/>
      <c r="B94" s="12"/>
      <c r="C94" s="3"/>
      <c r="AY94" s="103" t="s">
        <v>186</v>
      </c>
      <c r="AZ94" s="103" t="s">
        <v>388</v>
      </c>
      <c r="BA94" s="103" t="s">
        <v>294</v>
      </c>
      <c r="BB94" s="10">
        <v>339272</v>
      </c>
      <c r="BE94" s="70"/>
      <c r="BF94" s="241"/>
    </row>
    <row r="95" spans="1:58" ht="12.75">
      <c r="A95" s="3"/>
      <c r="B95" s="12"/>
      <c r="C95" s="3"/>
      <c r="AY95" s="103" t="s">
        <v>86</v>
      </c>
      <c r="AZ95" s="103" t="s">
        <v>87</v>
      </c>
      <c r="BA95" s="103" t="s">
        <v>294</v>
      </c>
      <c r="BB95" s="10">
        <v>165642</v>
      </c>
      <c r="BE95" s="247"/>
      <c r="BF95" s="249"/>
    </row>
    <row r="96" spans="1:58" ht="12.75">
      <c r="A96" s="3"/>
      <c r="B96" s="12"/>
      <c r="C96" s="3"/>
      <c r="AY96" s="103" t="s">
        <v>157</v>
      </c>
      <c r="AZ96" s="103" t="s">
        <v>158</v>
      </c>
      <c r="BA96" s="103" t="s">
        <v>294</v>
      </c>
      <c r="BB96" s="10">
        <v>208351</v>
      </c>
      <c r="BE96" s="243"/>
      <c r="BF96" s="238"/>
    </row>
    <row r="97" spans="1:58" ht="12.75">
      <c r="A97" s="3"/>
      <c r="B97" s="12"/>
      <c r="C97" s="3"/>
      <c r="AY97" s="103" t="s">
        <v>231</v>
      </c>
      <c r="AZ97" s="103" t="s">
        <v>232</v>
      </c>
      <c r="BA97" s="103" t="s">
        <v>294</v>
      </c>
      <c r="BB97" s="10">
        <v>203178</v>
      </c>
      <c r="BE97" s="243"/>
      <c r="BF97" s="238"/>
    </row>
    <row r="98" spans="1:58" ht="12.75">
      <c r="A98" s="3"/>
      <c r="B98" s="12"/>
      <c r="C98" s="3"/>
      <c r="AY98" s="103" t="s">
        <v>82</v>
      </c>
      <c r="AZ98" s="103" t="s">
        <v>354</v>
      </c>
      <c r="BA98" s="103" t="s">
        <v>294</v>
      </c>
      <c r="BB98" s="10">
        <v>214052</v>
      </c>
      <c r="BE98" s="248"/>
      <c r="BF98" s="241"/>
    </row>
    <row r="99" spans="1:58" ht="12.75">
      <c r="A99" s="3"/>
      <c r="B99" s="12"/>
      <c r="C99" s="3"/>
      <c r="AY99" s="103" t="s">
        <v>205</v>
      </c>
      <c r="AZ99" s="103" t="s">
        <v>206</v>
      </c>
      <c r="BA99" s="103" t="s">
        <v>473</v>
      </c>
      <c r="BB99" s="10">
        <v>795503</v>
      </c>
      <c r="BE99" s="70"/>
      <c r="BF99" s="249"/>
    </row>
    <row r="100" spans="1:58" ht="12.75">
      <c r="A100" s="3"/>
      <c r="B100" s="12"/>
      <c r="C100" s="3"/>
      <c r="AY100" s="103" t="s">
        <v>226</v>
      </c>
      <c r="AZ100" s="103" t="s">
        <v>398</v>
      </c>
      <c r="BA100" s="103" t="s">
        <v>294</v>
      </c>
      <c r="BB100" s="10">
        <v>648340</v>
      </c>
      <c r="BE100" s="70"/>
      <c r="BF100" s="249"/>
    </row>
    <row r="101" spans="51:58" ht="12.75">
      <c r="AY101" s="103" t="s">
        <v>51</v>
      </c>
      <c r="AZ101" s="103" t="s">
        <v>52</v>
      </c>
      <c r="BA101" s="103" t="s">
        <v>294</v>
      </c>
      <c r="BB101" s="10">
        <v>320818</v>
      </c>
      <c r="BE101" s="237"/>
      <c r="BF101" s="238"/>
    </row>
    <row r="102" spans="51:58" ht="12.75">
      <c r="AY102" s="103" t="s">
        <v>88</v>
      </c>
      <c r="AZ102" s="103" t="s">
        <v>89</v>
      </c>
      <c r="BA102" s="103" t="s">
        <v>294</v>
      </c>
      <c r="BB102" s="10">
        <v>339920</v>
      </c>
      <c r="BE102" s="237"/>
      <c r="BF102" s="238"/>
    </row>
    <row r="103" spans="51:58" ht="12.75">
      <c r="AY103" s="103" t="s">
        <v>177</v>
      </c>
      <c r="AZ103" s="103" t="s">
        <v>385</v>
      </c>
      <c r="BA103" s="103" t="s">
        <v>294</v>
      </c>
      <c r="BB103" s="10">
        <v>656875</v>
      </c>
      <c r="BE103" s="70"/>
      <c r="BF103" s="239"/>
    </row>
    <row r="104" spans="51:58" ht="12.75">
      <c r="AY104" s="103" t="s">
        <v>114</v>
      </c>
      <c r="AZ104" s="103" t="s">
        <v>364</v>
      </c>
      <c r="BA104" s="103" t="s">
        <v>294</v>
      </c>
      <c r="BB104" s="10">
        <v>236592</v>
      </c>
      <c r="BF104" s="252"/>
    </row>
    <row r="105" spans="51:58" ht="12.75">
      <c r="AY105" s="103" t="s">
        <v>259</v>
      </c>
      <c r="AZ105" s="103" t="s">
        <v>407</v>
      </c>
      <c r="BA105" s="103" t="s">
        <v>473</v>
      </c>
      <c r="BB105" s="10">
        <v>671572</v>
      </c>
      <c r="BE105" s="237"/>
      <c r="BF105" s="238"/>
    </row>
    <row r="106" spans="51:58" ht="12.75">
      <c r="AY106" s="103" t="s">
        <v>239</v>
      </c>
      <c r="AZ106" s="103" t="s">
        <v>240</v>
      </c>
      <c r="BA106" s="103" t="s">
        <v>473</v>
      </c>
      <c r="BB106" s="10">
        <v>177882</v>
      </c>
      <c r="BF106" s="252"/>
    </row>
    <row r="107" spans="51:58" ht="12.75">
      <c r="AY107" s="103" t="s">
        <v>91</v>
      </c>
      <c r="AZ107" s="103" t="s">
        <v>357</v>
      </c>
      <c r="BA107" s="103" t="s">
        <v>294</v>
      </c>
      <c r="BB107" s="10">
        <v>274443</v>
      </c>
      <c r="BF107" s="252"/>
    </row>
    <row r="108" spans="51:58" ht="12.75">
      <c r="AY108" s="103" t="s">
        <v>95</v>
      </c>
      <c r="AZ108" s="103" t="s">
        <v>359</v>
      </c>
      <c r="BA108" s="103" t="s">
        <v>294</v>
      </c>
      <c r="BB108" s="10">
        <v>213174</v>
      </c>
      <c r="BE108" s="70"/>
      <c r="BF108" s="239"/>
    </row>
    <row r="109" spans="51:58" ht="12.75">
      <c r="AY109" s="103" t="s">
        <v>179</v>
      </c>
      <c r="AZ109" s="103" t="s">
        <v>180</v>
      </c>
      <c r="BA109" s="103" t="s">
        <v>294</v>
      </c>
      <c r="BB109" s="10">
        <v>278950</v>
      </c>
      <c r="BE109" s="237"/>
      <c r="BF109" s="238"/>
    </row>
    <row r="110" spans="51:58" ht="12.75">
      <c r="AY110" s="103" t="s">
        <v>273</v>
      </c>
      <c r="AZ110" s="103" t="s">
        <v>274</v>
      </c>
      <c r="BA110" s="103" t="s">
        <v>294</v>
      </c>
      <c r="BB110" s="10">
        <v>133304</v>
      </c>
      <c r="BE110" s="70"/>
      <c r="BF110" s="249"/>
    </row>
    <row r="111" spans="51:58" ht="12.75">
      <c r="AY111" s="103" t="s">
        <v>155</v>
      </c>
      <c r="AZ111" s="103" t="s">
        <v>379</v>
      </c>
      <c r="BA111" s="103" t="s">
        <v>294</v>
      </c>
      <c r="BB111" s="10">
        <v>197060</v>
      </c>
      <c r="BE111" s="70"/>
      <c r="BF111" s="239"/>
    </row>
    <row r="112" spans="51:58" ht="12.75">
      <c r="AY112" s="103" t="s">
        <v>100</v>
      </c>
      <c r="AZ112" s="103" t="s">
        <v>101</v>
      </c>
      <c r="BA112" s="103" t="s">
        <v>294</v>
      </c>
      <c r="BB112" s="10">
        <v>253140</v>
      </c>
      <c r="BE112" s="250"/>
      <c r="BF112" s="249"/>
    </row>
    <row r="113" spans="51:58" ht="12.75">
      <c r="AY113" s="103" t="s">
        <v>92</v>
      </c>
      <c r="AZ113" s="103" t="s">
        <v>93</v>
      </c>
      <c r="BA113" s="103" t="s">
        <v>294</v>
      </c>
      <c r="BB113" s="10">
        <v>240983</v>
      </c>
      <c r="BE113" s="70"/>
      <c r="BF113" s="241"/>
    </row>
    <row r="114" spans="51:58" ht="12.75">
      <c r="AY114" s="103" t="s">
        <v>228</v>
      </c>
      <c r="AZ114" s="103" t="s">
        <v>400</v>
      </c>
      <c r="BA114" s="103" t="s">
        <v>294</v>
      </c>
      <c r="BB114" s="10">
        <v>340451</v>
      </c>
      <c r="BF114" s="241"/>
    </row>
    <row r="115" spans="51:58" ht="12.75">
      <c r="AY115" s="103" t="s">
        <v>189</v>
      </c>
      <c r="AZ115" s="103" t="s">
        <v>190</v>
      </c>
      <c r="BA115" s="103" t="s">
        <v>294</v>
      </c>
      <c r="BB115" s="10">
        <v>280673</v>
      </c>
      <c r="BE115" s="248"/>
      <c r="BF115" s="241"/>
    </row>
    <row r="116" spans="51:58" ht="12.75">
      <c r="AY116" s="103" t="s">
        <v>169</v>
      </c>
      <c r="AZ116" s="103" t="s">
        <v>170</v>
      </c>
      <c r="BA116" s="103" t="s">
        <v>294</v>
      </c>
      <c r="BB116" s="10">
        <v>565874</v>
      </c>
      <c r="BE116" s="70"/>
      <c r="BF116" s="239"/>
    </row>
    <row r="117" spans="51:58" ht="12.75">
      <c r="AY117" s="103" t="s">
        <v>152</v>
      </c>
      <c r="AZ117" s="103" t="s">
        <v>378</v>
      </c>
      <c r="BA117" s="103" t="s">
        <v>473</v>
      </c>
      <c r="BB117" s="10">
        <v>295379</v>
      </c>
      <c r="BE117" s="237"/>
      <c r="BF117" s="238"/>
    </row>
    <row r="118" spans="51:58" ht="12.75">
      <c r="AY118" s="103" t="s">
        <v>56</v>
      </c>
      <c r="AZ118" s="103" t="s">
        <v>57</v>
      </c>
      <c r="BA118" s="103" t="s">
        <v>294</v>
      </c>
      <c r="BB118" s="10">
        <v>217094</v>
      </c>
      <c r="BE118" s="70"/>
      <c r="BF118" s="239"/>
    </row>
    <row r="119" spans="51:58" ht="12.75">
      <c r="AY119" s="103" t="s">
        <v>268</v>
      </c>
      <c r="AZ119" s="103" t="s">
        <v>410</v>
      </c>
      <c r="BA119" s="103" t="s">
        <v>294</v>
      </c>
      <c r="BB119" s="10">
        <v>538131</v>
      </c>
      <c r="BE119" s="70"/>
      <c r="BF119" s="239"/>
    </row>
    <row r="120" spans="51:58" ht="12.75">
      <c r="AY120" s="103" t="s">
        <v>150</v>
      </c>
      <c r="AZ120" s="103" t="s">
        <v>151</v>
      </c>
      <c r="BA120" s="103" t="s">
        <v>473</v>
      </c>
      <c r="BB120" s="10">
        <v>389725</v>
      </c>
      <c r="BE120" s="70"/>
      <c r="BF120" s="239"/>
    </row>
    <row r="121" spans="51:58" ht="12.75">
      <c r="AY121" s="103" t="s">
        <v>212</v>
      </c>
      <c r="AZ121" s="103" t="s">
        <v>213</v>
      </c>
      <c r="BA121" s="103" t="s">
        <v>473</v>
      </c>
      <c r="BB121" s="10">
        <v>356812</v>
      </c>
      <c r="BE121" s="237"/>
      <c r="BF121" s="238"/>
    </row>
    <row r="122" spans="51:58" ht="12.75">
      <c r="AY122" s="103" t="s">
        <v>60</v>
      </c>
      <c r="AZ122" s="103" t="s">
        <v>61</v>
      </c>
      <c r="BA122" s="103" t="s">
        <v>294</v>
      </c>
      <c r="BB122" s="10">
        <v>256321</v>
      </c>
      <c r="BE122" s="70"/>
      <c r="BF122" s="249"/>
    </row>
    <row r="123" spans="51:58" ht="12.75">
      <c r="AY123" s="103" t="s">
        <v>234</v>
      </c>
      <c r="AZ123" s="103" t="s">
        <v>402</v>
      </c>
      <c r="BA123" s="103" t="s">
        <v>473</v>
      </c>
      <c r="BB123" s="10">
        <v>615835</v>
      </c>
      <c r="BF123" s="252"/>
    </row>
    <row r="124" spans="51:58" ht="12.75">
      <c r="AY124" s="103" t="s">
        <v>130</v>
      </c>
      <c r="AZ124" s="103" t="s">
        <v>372</v>
      </c>
      <c r="BA124" s="103" t="s">
        <v>294</v>
      </c>
      <c r="BB124" s="10">
        <v>150179</v>
      </c>
      <c r="BF124" s="252"/>
    </row>
    <row r="125" spans="51:58" ht="12.75">
      <c r="AY125" s="103" t="s">
        <v>253</v>
      </c>
      <c r="AZ125" s="103" t="s">
        <v>254</v>
      </c>
      <c r="BA125" s="103" t="s">
        <v>294</v>
      </c>
      <c r="BB125" s="10">
        <v>420503</v>
      </c>
      <c r="BE125" s="70"/>
      <c r="BF125" s="249"/>
    </row>
    <row r="126" spans="51:58" ht="12.75">
      <c r="AY126" s="103" t="s">
        <v>134</v>
      </c>
      <c r="AZ126" s="103" t="s">
        <v>374</v>
      </c>
      <c r="BA126" s="103" t="s">
        <v>294</v>
      </c>
      <c r="BB126" s="10">
        <v>263936</v>
      </c>
      <c r="BE126" s="70"/>
      <c r="BF126" s="239"/>
    </row>
    <row r="127" spans="51:58" ht="12.75">
      <c r="AY127" s="103" t="s">
        <v>142</v>
      </c>
      <c r="AZ127" s="103" t="s">
        <v>143</v>
      </c>
      <c r="BA127" s="103" t="s">
        <v>294</v>
      </c>
      <c r="BB127" s="10">
        <v>308593</v>
      </c>
      <c r="BF127" s="252"/>
    </row>
    <row r="128" spans="51:58" ht="12.75">
      <c r="AY128" s="103" t="s">
        <v>94</v>
      </c>
      <c r="AZ128" s="103" t="s">
        <v>358</v>
      </c>
      <c r="BA128" s="103" t="s">
        <v>473</v>
      </c>
      <c r="BB128" s="10">
        <v>298190</v>
      </c>
      <c r="BE128" s="250"/>
      <c r="BF128" s="249"/>
    </row>
    <row r="129" spans="51:58" ht="12.75">
      <c r="AY129" s="103" t="s">
        <v>85</v>
      </c>
      <c r="AZ129" s="103" t="s">
        <v>355</v>
      </c>
      <c r="BA129" s="103" t="s">
        <v>294</v>
      </c>
      <c r="BB129" s="10">
        <v>191885</v>
      </c>
      <c r="BE129" s="70"/>
      <c r="BF129" s="249"/>
    </row>
    <row r="130" spans="51:58" ht="12.75">
      <c r="AY130" s="103" t="s">
        <v>233</v>
      </c>
      <c r="AZ130" s="103" t="s">
        <v>401</v>
      </c>
      <c r="BA130" s="103" t="s">
        <v>294</v>
      </c>
      <c r="BB130" s="10">
        <v>268223</v>
      </c>
      <c r="BE130" s="70"/>
      <c r="BF130" s="249"/>
    </row>
    <row r="131" spans="51:58" ht="12.75">
      <c r="AY131" s="103" t="s">
        <v>245</v>
      </c>
      <c r="AZ131" s="103" t="s">
        <v>246</v>
      </c>
      <c r="BA131" s="103" t="s">
        <v>473</v>
      </c>
      <c r="BB131" s="10">
        <v>616983</v>
      </c>
      <c r="BE131" s="247"/>
      <c r="BF131" s="249"/>
    </row>
    <row r="132" spans="51:58" ht="12.75">
      <c r="AY132" s="103" t="s">
        <v>131</v>
      </c>
      <c r="AZ132" s="103" t="s">
        <v>373</v>
      </c>
      <c r="BA132" s="103" t="s">
        <v>294</v>
      </c>
      <c r="BB132" s="10">
        <v>283991</v>
      </c>
      <c r="BE132" s="247"/>
      <c r="BF132" s="249"/>
    </row>
    <row r="133" spans="51:58" ht="12.75">
      <c r="AY133" s="103" t="s">
        <v>216</v>
      </c>
      <c r="AZ133" s="103" t="s">
        <v>217</v>
      </c>
      <c r="BA133" s="103" t="s">
        <v>294</v>
      </c>
      <c r="BB133" s="10">
        <v>1156805</v>
      </c>
      <c r="BE133" s="247"/>
      <c r="BF133" s="251"/>
    </row>
    <row r="134" spans="51:58" ht="12.75">
      <c r="AY134" s="103" t="s">
        <v>156</v>
      </c>
      <c r="AZ134" s="103" t="s">
        <v>380</v>
      </c>
      <c r="BA134" s="103" t="s">
        <v>294</v>
      </c>
      <c r="BB134" s="10">
        <v>390971</v>
      </c>
      <c r="BE134" s="243"/>
      <c r="BF134" s="238"/>
    </row>
    <row r="135" spans="51:58" ht="12.75">
      <c r="AY135" s="103" t="s">
        <v>121</v>
      </c>
      <c r="AZ135" s="103" t="s">
        <v>122</v>
      </c>
      <c r="BA135" s="103" t="s">
        <v>472</v>
      </c>
      <c r="BB135" s="10">
        <v>218182</v>
      </c>
      <c r="BE135" s="250"/>
      <c r="BF135" s="249"/>
    </row>
    <row r="136" spans="51:58" ht="12.75">
      <c r="AY136" s="103" t="s">
        <v>148</v>
      </c>
      <c r="AZ136" s="103" t="s">
        <v>376</v>
      </c>
      <c r="BA136" s="103" t="s">
        <v>473</v>
      </c>
      <c r="BB136" s="10">
        <v>236598</v>
      </c>
      <c r="BE136" s="237"/>
      <c r="BF136" s="238"/>
    </row>
    <row r="137" spans="51:58" ht="12.75">
      <c r="AY137" s="103" t="s">
        <v>160</v>
      </c>
      <c r="AZ137" s="103" t="s">
        <v>382</v>
      </c>
      <c r="BA137" s="103" t="s">
        <v>473</v>
      </c>
      <c r="BB137" s="10">
        <v>165993</v>
      </c>
      <c r="BF137" s="252"/>
    </row>
    <row r="138" spans="51:58" ht="12.75">
      <c r="AY138" s="103" t="s">
        <v>54</v>
      </c>
      <c r="AZ138" s="103" t="s">
        <v>55</v>
      </c>
      <c r="BA138" s="103" t="s">
        <v>294</v>
      </c>
      <c r="BB138" s="10">
        <v>145889</v>
      </c>
      <c r="BE138" s="70"/>
      <c r="BF138" s="239"/>
    </row>
    <row r="139" spans="51:58" ht="12.75">
      <c r="AY139" s="103" t="s">
        <v>75</v>
      </c>
      <c r="AZ139" s="103" t="s">
        <v>349</v>
      </c>
      <c r="BA139" s="103" t="s">
        <v>294</v>
      </c>
      <c r="BB139" s="10">
        <v>267393</v>
      </c>
      <c r="BE139" s="237"/>
      <c r="BF139" s="238"/>
    </row>
    <row r="140" spans="51:58" ht="12.75">
      <c r="AY140" s="103" t="s">
        <v>201</v>
      </c>
      <c r="AZ140" s="103" t="s">
        <v>202</v>
      </c>
      <c r="BA140" s="103" t="s">
        <v>473</v>
      </c>
      <c r="BB140" s="10">
        <v>232551</v>
      </c>
      <c r="BE140" s="70"/>
      <c r="BF140" s="239"/>
    </row>
    <row r="141" spans="51:58" ht="12.75">
      <c r="AY141" s="103" t="s">
        <v>167</v>
      </c>
      <c r="AZ141" s="103" t="s">
        <v>168</v>
      </c>
      <c r="BA141" s="103" t="s">
        <v>473</v>
      </c>
      <c r="BB141" s="10">
        <v>350958</v>
      </c>
      <c r="BE141" s="70"/>
      <c r="BF141" s="239"/>
    </row>
    <row r="142" spans="51:58" ht="12.75">
      <c r="AY142" s="103" t="s">
        <v>153</v>
      </c>
      <c r="AZ142" s="103" t="s">
        <v>154</v>
      </c>
      <c r="BA142" s="103" t="s">
        <v>294</v>
      </c>
      <c r="BB142" s="10">
        <v>265654</v>
      </c>
      <c r="BE142" s="70"/>
      <c r="BF142" s="241"/>
    </row>
    <row r="143" spans="51:58" ht="12.75">
      <c r="AY143" s="103" t="s">
        <v>181</v>
      </c>
      <c r="AZ143" s="103" t="s">
        <v>182</v>
      </c>
      <c r="BA143" s="103" t="s">
        <v>294</v>
      </c>
      <c r="BB143" s="10">
        <v>284466</v>
      </c>
      <c r="BE143" s="70"/>
      <c r="BF143" s="249"/>
    </row>
    <row r="144" spans="51:58" ht="12.75">
      <c r="AY144" s="103" t="s">
        <v>146</v>
      </c>
      <c r="AZ144" s="103" t="s">
        <v>147</v>
      </c>
      <c r="BA144" s="103" t="s">
        <v>294</v>
      </c>
      <c r="BB144" s="10">
        <v>319933</v>
      </c>
      <c r="BE144" s="70"/>
      <c r="BF144" s="241"/>
    </row>
    <row r="145" spans="51:58" ht="12.75">
      <c r="AY145" s="103" t="s">
        <v>111</v>
      </c>
      <c r="AZ145" s="103" t="s">
        <v>112</v>
      </c>
      <c r="BA145" s="103" t="s">
        <v>294</v>
      </c>
      <c r="BB145" s="10">
        <v>192336</v>
      </c>
      <c r="BE145" s="248"/>
      <c r="BF145" s="249"/>
    </row>
    <row r="146" spans="51:58" ht="12.75">
      <c r="AY146" s="103" t="s">
        <v>237</v>
      </c>
      <c r="AZ146" s="103" t="s">
        <v>238</v>
      </c>
      <c r="BA146" s="103" t="s">
        <v>294</v>
      </c>
      <c r="BB146" s="10">
        <v>548313</v>
      </c>
      <c r="BF146" s="252"/>
    </row>
    <row r="147" spans="51:58" ht="12.75">
      <c r="AY147" s="103" t="s">
        <v>247</v>
      </c>
      <c r="AZ147" s="103" t="s">
        <v>248</v>
      </c>
      <c r="BA147" s="103" t="s">
        <v>294</v>
      </c>
      <c r="BB147" s="10">
        <v>287229</v>
      </c>
      <c r="BF147" s="252"/>
    </row>
    <row r="148" spans="51:58" ht="12.75">
      <c r="AY148" s="103" t="s">
        <v>222</v>
      </c>
      <c r="AZ148" s="103" t="s">
        <v>396</v>
      </c>
      <c r="BA148" s="103" t="s">
        <v>473</v>
      </c>
      <c r="BB148" s="10">
        <v>707573</v>
      </c>
      <c r="BF148" s="252"/>
    </row>
    <row r="149" spans="51:58" ht="12.75">
      <c r="AY149" s="103" t="s">
        <v>218</v>
      </c>
      <c r="AZ149" s="103" t="s">
        <v>219</v>
      </c>
      <c r="BA149" s="103" t="s">
        <v>473</v>
      </c>
      <c r="BB149" s="10">
        <v>825533</v>
      </c>
      <c r="BE149" s="248"/>
      <c r="BF149" s="249"/>
    </row>
    <row r="150" spans="51:58" ht="12.75">
      <c r="AY150" s="103" t="s">
        <v>196</v>
      </c>
      <c r="AZ150" s="103" t="s">
        <v>197</v>
      </c>
      <c r="BA150" s="103" t="s">
        <v>294</v>
      </c>
      <c r="BB150" s="10">
        <v>259945</v>
      </c>
      <c r="BF150" s="252"/>
    </row>
    <row r="151" spans="51:58" ht="12.75">
      <c r="AY151" s="103" t="s">
        <v>138</v>
      </c>
      <c r="AZ151" s="103" t="s">
        <v>139</v>
      </c>
      <c r="BA151" s="103" t="s">
        <v>294</v>
      </c>
      <c r="BB151" s="10">
        <v>246573</v>
      </c>
      <c r="BF151" s="252"/>
    </row>
    <row r="152" spans="51:58" ht="12.75">
      <c r="AY152" s="103" t="s">
        <v>266</v>
      </c>
      <c r="AZ152" s="103" t="s">
        <v>267</v>
      </c>
      <c r="BA152" s="103" t="s">
        <v>473</v>
      </c>
      <c r="BB152" s="10">
        <v>462395</v>
      </c>
      <c r="BE152" s="250"/>
      <c r="BF152" s="239"/>
    </row>
    <row r="153" spans="51:58" ht="12.75">
      <c r="AY153" s="103" t="s">
        <v>191</v>
      </c>
      <c r="AZ153" s="103" t="s">
        <v>192</v>
      </c>
      <c r="BA153" s="103" t="s">
        <v>294</v>
      </c>
      <c r="BB153" s="10">
        <v>332176</v>
      </c>
      <c r="BF153" s="252"/>
    </row>
    <row r="154" spans="51:58" ht="12.75">
      <c r="AY154" s="103" t="s">
        <v>161</v>
      </c>
      <c r="AZ154" s="103" t="s">
        <v>383</v>
      </c>
      <c r="BA154" s="103" t="s">
        <v>294</v>
      </c>
      <c r="BB154" s="10">
        <v>246213</v>
      </c>
      <c r="BE154" s="237"/>
      <c r="BF154" s="238"/>
    </row>
    <row r="155" spans="51:58" ht="12.75">
      <c r="AY155" s="103" t="s">
        <v>235</v>
      </c>
      <c r="AZ155" s="103" t="s">
        <v>236</v>
      </c>
      <c r="BA155" s="103" t="s">
        <v>473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481</v>
      </c>
      <c r="B3" s="56" t="s">
        <v>84</v>
      </c>
      <c r="C3" s="56" t="s">
        <v>24</v>
      </c>
    </row>
    <row r="4" spans="1:2" ht="12.75">
      <c r="A4" s="76">
        <v>1</v>
      </c>
      <c r="B4" s="78" t="s">
        <v>83</v>
      </c>
    </row>
    <row r="5" ht="12.75">
      <c r="A5" s="280" t="s">
        <v>481</v>
      </c>
    </row>
    <row r="6" ht="12.75">
      <c r="A6" s="280" t="s">
        <v>482</v>
      </c>
    </row>
    <row r="7" ht="12.75">
      <c r="A7" s="280" t="s">
        <v>491</v>
      </c>
    </row>
    <row r="8" ht="12.75">
      <c r="A8" s="280" t="s">
        <v>484</v>
      </c>
    </row>
    <row r="9" ht="12.75">
      <c r="A9" s="280" t="s">
        <v>483</v>
      </c>
    </row>
    <row r="10" ht="12.75">
      <c r="A10" s="280" t="s">
        <v>485</v>
      </c>
    </row>
    <row r="11" ht="12.75">
      <c r="A11" s="280" t="s">
        <v>493</v>
      </c>
    </row>
    <row r="12" ht="12.75">
      <c r="A12" s="280" t="s">
        <v>480</v>
      </c>
    </row>
    <row r="13" ht="12.75">
      <c r="A13" s="280" t="s">
        <v>490</v>
      </c>
    </row>
    <row r="14" ht="12.75">
      <c r="A14" s="280" t="s">
        <v>487</v>
      </c>
    </row>
    <row r="15" ht="12.75">
      <c r="A15" s="280" t="s">
        <v>486</v>
      </c>
    </row>
    <row r="16" ht="12.75">
      <c r="A16" s="280" t="s">
        <v>489</v>
      </c>
    </row>
    <row r="17" ht="12.75">
      <c r="A17" s="280" t="s">
        <v>492</v>
      </c>
    </row>
    <row r="18" ht="12.75">
      <c r="A18" s="280" t="s">
        <v>488</v>
      </c>
    </row>
    <row r="19" ht="12.75">
      <c r="A19" s="280"/>
    </row>
    <row r="20" ht="12.75">
      <c r="A20" s="280"/>
    </row>
    <row r="21" ht="12.75">
      <c r="A21" s="280"/>
    </row>
    <row r="22" ht="12.75">
      <c r="A22" s="280"/>
    </row>
    <row r="23" ht="12.75">
      <c r="A23" s="280"/>
    </row>
    <row r="24" ht="12.75">
      <c r="A24" s="280"/>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