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<sst xmlns="http://schemas.openxmlformats.org/spreadsheetml/2006/main" count="1016" uniqueCount="518">
  <si>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</si>
  <si>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</si>
  <si>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</si>
  <si>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</si>
  <si>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</si>
  <si>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</si>
  <si>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</si>
  <si>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</si>
  <si>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</si>
  <si>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</si>
  <si>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</si>
  <si>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</si>
  <si>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</si>
  <si>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</si>
  <si>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</si>
  <si>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</si>
  <si>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</si>
  <si>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</si>
  <si>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</si>
  <si>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</si>
  <si>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</si>
  <si>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</si>
  <si>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</si>
  <si>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</si>
  <si>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</si>
  <si>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</si>
  <si>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</si>
  <si>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</si>
  <si>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</si>
  <si>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</si>
  <si>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</si>
  <si>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</si>
  <si>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</si>
  <si>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</si>
  <si>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</si>
  <si>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</si>
  <si>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</si>
  <si>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</si>
  <si>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</si>
  <si>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</si>
  <si>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</si>
  <si>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</si>
  <si>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</si>
  <si>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</si>
  <si>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</si>
  <si>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</si>
  <si>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</si>
  <si>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</si>
  <si>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</si>
  <si>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</si>
  <si>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</si>
  <si>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</si>
  <si>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</si>
  <si>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</si>
  <si>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</si>
  <si>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</si>
  <si>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</si>
  <si>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</si>
  <si>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</si>
  <si>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</si>
  <si>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</si>
  <si>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</si>
  <si>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</si>
  <si>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</si>
  <si>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</si>
  <si>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</si>
  <si>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</si>
  <si>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</si>
  <si>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</si>
  <si>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</si>
  <si>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</si>
  <si>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</si>
  <si>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</si>
  <si>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</si>
  <si>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</si>
  <si>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</si>
  <si>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</si>
  <si>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</si>
  <si>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</si>
  <si>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</si>
  <si>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</si>
  <si>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</si>
  <si>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</si>
  <si>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</si>
  <si>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</si>
  <si>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</si>
  <si>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</si>
  <si>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</si>
  <si>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</si>
  <si>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</si>
  <si>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</si>
  <si>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</si>
  <si>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</si>
  <si>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</si>
  <si>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</si>
  <si>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</si>
  <si>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</si>
  <si>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</si>
  <si>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</si>
  <si>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</si>
  <si>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</si>
  <si>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</si>
  <si>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</si>
  <si>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</si>
  <si>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</si>
  <si>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</si>
  <si>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</si>
  <si>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</si>
  <si>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</si>
  <si>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</si>
  <si>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</si>
  <si>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</si>
  <si>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</si>
  <si>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</si>
  <si>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</si>
  <si>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</si>
  <si>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</si>
  <si>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</si>
  <si>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</si>
  <si>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</si>
  <si>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</si>
  <si>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</si>
  <si>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</si>
  <si>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</si>
  <si>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</si>
  <si>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</si>
  <si>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</si>
  <si>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</si>
  <si>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</si>
  <si>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</si>
  <si>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</si>
  <si>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</si>
  <si>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</si>
  <si>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</si>
  <si>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</si>
  <si>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</si>
  <si>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</si>
  <si>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</si>
  <si>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</si>
  <si>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</si>
  <si>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</si>
  <si>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</si>
  <si>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</si>
  <si>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</si>
  <si>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</si>
  <si>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</si>
  <si>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</si>
  <si>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</si>
  <si>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</si>
  <si>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</si>
  <si>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</si>
  <si>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</si>
  <si>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</si>
  <si>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</si>
  <si>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</si>
  <si>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</si>
  <si>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</si>
  <si>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</si>
  <si>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</si>
  <si>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</si>
  <si>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</si>
  <si>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</si>
  <si>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</si>
  <si>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</si>
  <si>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</si>
  <si>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</si>
  <si>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</si>
  <si>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</si>
  <si>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</si>
  <si>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</si>
  <si>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</si>
  <si>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</si>
  <si>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</si>
  <si>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</si>
  <si>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</si>
  <si>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</si>
  <si>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</si>
  <si>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</si>
  <si>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</si>
  <si>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</si>
  <si>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</si>
  <si>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</si>
  <si>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</si>
  <si>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</si>
  <si>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</si>
  <si>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</si>
  <si>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</si>
  <si>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</si>
  <si>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</si>
  <si>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</si>
  <si>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</si>
  <si>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</si>
  <si>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</si>
  <si>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</si>
  <si>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</si>
  <si>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</si>
  <si>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</si>
  <si>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</si>
  <si>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</si>
  <si>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</si>
  <si>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</si>
  <si>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</si>
  <si>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</si>
  <si>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</si>
  <si>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</si>
  <si>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</si>
  <si>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</si>
  <si>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</si>
  <si>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</si>
  <si>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</si>
  <si>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</si>
  <si>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</si>
  <si>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</si>
  <si>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</si>
  <si>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</si>
  <si>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</si>
  <si>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</si>
  <si>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</si>
  <si>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</si>
  <si>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</si>
  <si>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</si>
  <si>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</si>
  <si>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</si>
  <si>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</si>
  <si>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</si>
  <si>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</si>
  <si>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</si>
  <si>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</si>
  <si>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</si>
  <si>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</si>
  <si>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</si>
  <si>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</si>
  <si>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</si>
  <si>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</si>
  <si>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</si>
  <si>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</si>
  <si>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</si>
  <si>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</si>
  <si>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</si>
  <si>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</si>
  <si>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</si>
  <si>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</si>
  <si>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</si>
  <si>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</si>
  <si>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</si>
  <si>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</si>
  <si>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</si>
  <si>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</si>
  <si>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</si>
  <si>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</si>
  <si>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</si>
  <si>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</si>
  <si>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</si>
  <si>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</si>
  <si>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</si>
  <si>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</si>
  <si>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</si>
  <si>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</si>
  <si>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</si>
  <si>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</si>
  <si>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</si>
  <si>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</si>
  <si>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</si>
  <si>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</si>
  <si>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</si>
  <si>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</si>
  <si>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</si>
  <si>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</si>
  <si>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</si>
  <si>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</si>
  <si>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</si>
  <si>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</si>
  <si>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</si>
  <si>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</si>
  <si>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</si>
  <si>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</si>
  <si>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</si>
  <si>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</si>
  <si>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</si>
  <si>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</si>
  <si>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</si>
  <si>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</si>
  <si>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P81004</t>
  </si>
  <si>
    <t>5CC</t>
  </si>
  <si>
    <t>P81016</t>
  </si>
  <si>
    <t>P81042</t>
  </si>
  <si>
    <t>P81043</t>
  </si>
  <si>
    <t>P81054</t>
  </si>
  <si>
    <t>P81063</t>
  </si>
  <si>
    <t>P81066</t>
  </si>
  <si>
    <t>P81072</t>
  </si>
  <si>
    <t>P81074</t>
  </si>
  <si>
    <t>P81081</t>
  </si>
  <si>
    <t>P81115</t>
  </si>
  <si>
    <t>P81172</t>
  </si>
  <si>
    <t>P81629</t>
  </si>
  <si>
    <t>P81684</t>
  </si>
  <si>
    <t>P81713</t>
  </si>
  <si>
    <t>P81714</t>
  </si>
  <si>
    <t>P81722</t>
  </si>
  <si>
    <t>P81754</t>
  </si>
  <si>
    <t>P81760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</si>
  <si>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</si>
  <si>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</si>
  <si>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</si>
  <si>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</si>
  <si>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</si>
  <si>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</si>
  <si>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</si>
  <si>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</si>
  <si>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</si>
  <si>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</si>
  <si>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</si>
  <si>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</si>
  <si>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</si>
  <si>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</si>
  <si>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</si>
  <si>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</si>
  <si>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</si>
  <si>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</si>
  <si>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</si>
  <si>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</si>
  <si>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</si>
  <si>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</si>
  <si>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</si>
  <si>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</si>
  <si>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</si>
  <si>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</si>
  <si>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</si>
  <si>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</si>
  <si>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</si>
  <si>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</si>
  <si>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</si>
  <si>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</si>
  <si>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</si>
  <si>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</si>
  <si>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</si>
  <si>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</si>
  <si>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</si>
  <si>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</si>
  <si>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</si>
  <si>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</si>
  <si>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</si>
  <si>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</si>
  <si>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</si>
  <si>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</si>
  <si>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</si>
  <si>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</si>
  <si>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</si>
  <si>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</si>
  <si>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</si>
  <si>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</si>
  <si>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</si>
  <si>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</si>
  <si>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</si>
  <si>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</si>
  <si>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</si>
  <si>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</si>
  <si>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</si>
  <si>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</si>
  <si>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</si>
  <si>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</si>
  <si>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</si>
  <si>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</si>
  <si>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</si>
  <si>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</si>
  <si>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</si>
  <si>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</si>
  <si>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</si>
  <si>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</si>
  <si>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</si>
  <si>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</si>
  <si>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</si>
  <si>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</si>
  <si>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</si>
  <si>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</si>
  <si>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</si>
  <si>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</si>
  <si>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</si>
  <si>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</si>
  <si>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</si>
  <si>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</si>
  <si>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</si>
  <si>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</si>
  <si>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</si>
  <si>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</si>
  <si>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</si>
  <si>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</si>
  <si>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</si>
  <si>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</si>
  <si>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</si>
  <si>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</si>
  <si>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</si>
  <si>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</si>
  <si>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</si>
  <si>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</si>
  <si>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</si>
  <si>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</si>
  <si>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</si>
  <si>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</si>
  <si>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</si>
  <si>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</si>
  <si>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</si>
  <si>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</si>
  <si>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</si>
  <si>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</si>
  <si>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</si>
  <si>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</si>
  <si>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</si>
  <si>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</si>
  <si>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</si>
  <si>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</si>
  <si>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</si>
  <si>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</si>
  <si>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</si>
  <si>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</si>
  <si>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</si>
  <si>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</si>
  <si>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</si>
  <si>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</si>
  <si>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</si>
  <si>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</si>
  <si>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</si>
  <si>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</si>
  <si>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</si>
  <si>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</si>
  <si>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</si>
  <si>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</si>
  <si>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</si>
  <si>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</si>
  <si>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</si>
  <si>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</si>
  <si>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</si>
  <si>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</si>
  <si>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</si>
  <si>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</si>
  <si>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</si>
  <si>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</si>
  <si>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</si>
  <si>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</si>
  <si>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</si>
  <si>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</si>
  <si>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</si>
  <si>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</si>
  <si>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</si>
  <si>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</si>
  <si>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</si>
  <si>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</si>
  <si>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</si>
  <si>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</si>
  <si>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</si>
  <si>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</si>
  <si>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</si>
  <si>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</si>
  <si>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</si>
  <si>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</si>
  <si>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</si>
  <si>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</si>
  <si>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</si>
  <si>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</si>
  <si>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</si>
  <si>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</si>
  <si>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</si>
  <si>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</si>
  <si>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</si>
  <si>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</si>
  <si>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</si>
  <si>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</si>
  <si>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</si>
  <si>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</si>
  <si>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</si>
  <si>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</si>
  <si>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</si>
  <si>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</si>
  <si>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</si>
  <si>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</si>
  <si>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</si>
  <si>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</si>
  <si>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</si>
  <si>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</si>
  <si>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</si>
  <si>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</si>
  <si>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P81159</t>
  </si>
  <si>
    <t>2010/11</t>
  </si>
  <si>
    <t>2008/09-2010/11</t>
  </si>
  <si>
    <t>2005/06-2010/11</t>
  </si>
  <si>
    <t>(P81004) ELIZABETH STREET SURGERY</t>
  </si>
  <si>
    <t>(P81016) WATERLOO MEDICAL CENTRE</t>
  </si>
  <si>
    <t>(P81042) ADELAIDE STREET SURGERY</t>
  </si>
  <si>
    <t>(P81043) SOUTH KING STREET MEDICAL CENTRE</t>
  </si>
  <si>
    <t>(P81054) MARTON MEDICAL PRACTICE</t>
  </si>
  <si>
    <t>(P81063) ST. PAULS MEDICAL CENTRE</t>
  </si>
  <si>
    <t>(P81066) LAYTON MEDICAL CENTRE</t>
  </si>
  <si>
    <t>(P81072) GLENROYD MEDICAL CENTRE</t>
  </si>
  <si>
    <t>(P81074) DR SE PRIESTLEY'S PRACTICE</t>
  </si>
  <si>
    <t>(P81081) DR SP SRIVASTAVA'S PRACTICE</t>
  </si>
  <si>
    <t>(P81115) BLOOMFIELD MEDICAL CENTRE</t>
  </si>
  <si>
    <t>(P81159) STONYHILL PRACTICE</t>
  </si>
  <si>
    <t>(P81172) NEWTON DRIVE SURGERY</t>
  </si>
  <si>
    <t>(P81629) DR DD MISTRY'S PRACTICE</t>
  </si>
  <si>
    <t>(P81684) DR DP CHARLES' PRACTICE</t>
  </si>
  <si>
    <t>(P81713) DR G CELIKKOL'S PRACTICE</t>
  </si>
  <si>
    <t>(P81714) DR G ABBAS' PRACTICE</t>
  </si>
  <si>
    <t>(P81722) ASHFIELD MEDICAL CENTRE</t>
  </si>
  <si>
    <t>(P81754) VICARAGE LANE SURGERY</t>
  </si>
  <si>
    <t>(P81760) GORTON STREET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</si>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</sst>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0.8857142553894034</c:v>
                </c:pt>
                <c:pt idx="3">
                  <c:v>1</c:v>
                </c:pt>
                <c:pt idx="4">
                  <c:v>0.6876897209902633</c:v>
                </c:pt>
                <c:pt idx="5">
                  <c:v>1</c:v>
                </c:pt>
                <c:pt idx="6">
                  <c:v>1</c:v>
                </c:pt>
                <c:pt idx="7">
                  <c:v>0.7258041639643233</c:v>
                </c:pt>
                <c:pt idx="8">
                  <c:v>0.8163080883736868</c:v>
                </c:pt>
                <c:pt idx="9">
                  <c:v>1</c:v>
                </c:pt>
                <c:pt idx="10">
                  <c:v>0.7434077488246646</c:v>
                </c:pt>
                <c:pt idx="11">
                  <c:v>0.6915666601507179</c:v>
                </c:pt>
                <c:pt idx="12">
                  <c:v>0.8027831677939641</c:v>
                </c:pt>
                <c:pt idx="13">
                  <c:v>0</c:v>
                </c:pt>
                <c:pt idx="14">
                  <c:v>1</c:v>
                </c:pt>
                <c:pt idx="15">
                  <c:v>0.9280644771159712</c:v>
                </c:pt>
                <c:pt idx="16">
                  <c:v>0.8171776191143814</c:v>
                </c:pt>
                <c:pt idx="17">
                  <c:v>0.8005967907479792</c:v>
                </c:pt>
                <c:pt idx="18">
                  <c:v>1</c:v>
                </c:pt>
                <c:pt idx="19">
                  <c:v>1</c:v>
                </c:pt>
                <c:pt idx="20">
                  <c:v>0.8601601258683074</c:v>
                </c:pt>
                <c:pt idx="21">
                  <c:v>0.8174312198174418</c:v>
                </c:pt>
                <c:pt idx="22">
                  <c:v>0.7993315668295088</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0.6156463854795095</c:v>
                </c:pt>
                <c:pt idx="3">
                  <c:v>0.6551724244241344</c:v>
                </c:pt>
                <c:pt idx="4">
                  <c:v>0.6335652700813615</c:v>
                </c:pt>
                <c:pt idx="5">
                  <c:v>0.5575657272618082</c:v>
                </c:pt>
                <c:pt idx="6">
                  <c:v>0.7386363626742536</c:v>
                </c:pt>
                <c:pt idx="7">
                  <c:v>0.6145903686373011</c:v>
                </c:pt>
                <c:pt idx="8">
                  <c:v>0.6501546822672842</c:v>
                </c:pt>
                <c:pt idx="9">
                  <c:v>0.6138993186411531</c:v>
                </c:pt>
                <c:pt idx="10">
                  <c:v>0.5895459190795566</c:v>
                </c:pt>
                <c:pt idx="11">
                  <c:v>0.5642182656671999</c:v>
                </c:pt>
                <c:pt idx="12">
                  <c:v>0.5827152033139642</c:v>
                </c:pt>
                <c:pt idx="13">
                  <c:v>0</c:v>
                </c:pt>
                <c:pt idx="14">
                  <c:v>0.6293579142363046</c:v>
                </c:pt>
                <c:pt idx="15">
                  <c:v>0.6042297984537577</c:v>
                </c:pt>
                <c:pt idx="16">
                  <c:v>0.5989889973215641</c:v>
                </c:pt>
                <c:pt idx="17">
                  <c:v>0.5939274472192676</c:v>
                </c:pt>
                <c:pt idx="18">
                  <c:v>0.5520895192056304</c:v>
                </c:pt>
                <c:pt idx="19">
                  <c:v>0.610260866489266</c:v>
                </c:pt>
                <c:pt idx="20">
                  <c:v>0.561449708496533</c:v>
                </c:pt>
                <c:pt idx="21">
                  <c:v>0.6497492743738655</c:v>
                </c:pt>
                <c:pt idx="22">
                  <c:v>0.6472158887648537</c:v>
                </c:pt>
                <c:pt idx="23">
                  <c:v>0.5416752375134624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0.44300006507301465</c:v>
                </c:pt>
                <c:pt idx="3">
                  <c:v>0.37068967200487934</c:v>
                </c:pt>
                <c:pt idx="4">
                  <c:v>0.3960599927765806</c:v>
                </c:pt>
                <c:pt idx="5">
                  <c:v>0.41564427472043997</c:v>
                </c:pt>
                <c:pt idx="6">
                  <c:v>0.397727285234703</c:v>
                </c:pt>
                <c:pt idx="7">
                  <c:v>0.34503755377466544</c:v>
                </c:pt>
                <c:pt idx="8">
                  <c:v>0.39693630536888513</c:v>
                </c:pt>
                <c:pt idx="9">
                  <c:v>0.4059764154792331</c:v>
                </c:pt>
                <c:pt idx="10">
                  <c:v>0.3822240219199555</c:v>
                </c:pt>
                <c:pt idx="11">
                  <c:v>0.4474557081706008</c:v>
                </c:pt>
                <c:pt idx="12">
                  <c:v>0.3781114449177333</c:v>
                </c:pt>
                <c:pt idx="13">
                  <c:v>0</c:v>
                </c:pt>
                <c:pt idx="14">
                  <c:v>0.3988838117813754</c:v>
                </c:pt>
                <c:pt idx="15">
                  <c:v>0.35654266702021414</c:v>
                </c:pt>
                <c:pt idx="16">
                  <c:v>0.3728698714869911</c:v>
                </c:pt>
                <c:pt idx="17">
                  <c:v>0.36636245847905213</c:v>
                </c:pt>
                <c:pt idx="18">
                  <c:v>0.3899017812454908</c:v>
                </c:pt>
                <c:pt idx="19">
                  <c:v>0.3118326053002047</c:v>
                </c:pt>
                <c:pt idx="20">
                  <c:v>0.40240645373565004</c:v>
                </c:pt>
                <c:pt idx="21">
                  <c:v>0.40344959324889335</c:v>
                </c:pt>
                <c:pt idx="22">
                  <c:v>0.3920935837301156</c:v>
                </c:pt>
                <c:pt idx="23">
                  <c:v>0.3801975668619093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0.27586207073735575</c:v>
                </c:pt>
                <c:pt idx="4">
                  <c:v>0</c:v>
                </c:pt>
                <c:pt idx="5">
                  <c:v>0.09619074668376336</c:v>
                </c:pt>
                <c:pt idx="6">
                  <c:v>0.1818182395447831</c:v>
                </c:pt>
                <c:pt idx="7">
                  <c:v>0</c:v>
                </c:pt>
                <c:pt idx="8">
                  <c:v>0</c:v>
                </c:pt>
                <c:pt idx="9">
                  <c:v>0.2503506843316168</c:v>
                </c:pt>
                <c:pt idx="10">
                  <c:v>0</c:v>
                </c:pt>
                <c:pt idx="11">
                  <c:v>0</c:v>
                </c:pt>
                <c:pt idx="12">
                  <c:v>0</c:v>
                </c:pt>
                <c:pt idx="13">
                  <c:v>0</c:v>
                </c:pt>
                <c:pt idx="14">
                  <c:v>0.04546448416662115</c:v>
                </c:pt>
                <c:pt idx="15">
                  <c:v>0</c:v>
                </c:pt>
                <c:pt idx="16">
                  <c:v>0</c:v>
                </c:pt>
                <c:pt idx="17">
                  <c:v>0</c:v>
                </c:pt>
                <c:pt idx="18">
                  <c:v>0.11893318466206862</c:v>
                </c:pt>
                <c:pt idx="19">
                  <c:v>0.08840656547897534</c:v>
                </c:pt>
                <c:pt idx="20">
                  <c:v>0</c:v>
                </c:pt>
                <c:pt idx="21">
                  <c:v>0</c:v>
                </c:pt>
                <c:pt idx="22">
                  <c:v>0</c:v>
                </c:pt>
                <c:pt idx="23">
                  <c:v>0.1583114447736879</c:v>
                </c:pt>
                <c:pt idx="24">
                  <c:v>0</c:v>
                </c:pt>
                <c:pt idx="25">
                  <c:v>0</c:v>
                </c:pt>
                <c:pt idx="26">
                  <c:v>0</c:v>
                </c:pt>
              </c:numCache>
            </c:numRef>
          </c:val>
        </c:ser>
        <c:overlap val="100"/>
        <c:gapWidth val="100"/>
        <c:axId val="18703986"/>
        <c:axId val="3411814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0.464765371045205</c:v>
                </c:pt>
                <c:pt idx="3">
                  <c:v>0.20727345199617003</c:v>
                </c:pt>
                <c:pt idx="4">
                  <c:v>0.39166274254513367</c:v>
                </c:pt>
                <c:pt idx="5">
                  <c:v>0.3912174408801614</c:v>
                </c:pt>
                <c:pt idx="6">
                  <c:v>0.5427603001478963</c:v>
                </c:pt>
                <c:pt idx="7">
                  <c:v>0.6461342481882162</c:v>
                </c:pt>
                <c:pt idx="8">
                  <c:v>0.7103460555193382</c:v>
                </c:pt>
                <c:pt idx="9">
                  <c:v>0.6142722953513327</c:v>
                </c:pt>
                <c:pt idx="10">
                  <c:v>0.5642605193560158</c:v>
                </c:pt>
                <c:pt idx="11">
                  <c:v>0.5952827363369224</c:v>
                </c:pt>
                <c:pt idx="12">
                  <c:v>0.44879909010509356</c:v>
                </c:pt>
                <c:pt idx="13">
                  <c:v>0.5</c:v>
                </c:pt>
                <c:pt idx="14">
                  <c:v>0.38267784378411546</c:v>
                </c:pt>
                <c:pt idx="15">
                  <c:v>0.5095616293881321</c:v>
                </c:pt>
                <c:pt idx="16">
                  <c:v>0.5696193075535401</c:v>
                </c:pt>
                <c:pt idx="17">
                  <c:v>0.5078654097824902</c:v>
                </c:pt>
                <c:pt idx="18">
                  <c:v>0.38116278852371493</c:v>
                </c:pt>
                <c:pt idx="19">
                  <c:v>0.49675081477948324</c:v>
                </c:pt>
                <c:pt idx="20">
                  <c:v>0.6066398990843705</c:v>
                </c:pt>
                <c:pt idx="21">
                  <c:v>0.42284852401698425</c:v>
                </c:pt>
                <c:pt idx="22">
                  <c:v>0.4908120593922451</c:v>
                </c:pt>
                <c:pt idx="23">
                  <c:v>0.32403098695076915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0.46373817447158105</c:v>
                </c:pt>
                <c:pt idx="5">
                  <c:v>0.5178185796256503</c:v>
                </c:pt>
                <c:pt idx="6">
                  <c:v>0.5454545570922283</c:v>
                </c:pt>
                <c:pt idx="7">
                  <c:v>0.5185407963213522</c:v>
                </c:pt>
                <c:pt idx="8">
                  <c:v>-999</c:v>
                </c:pt>
                <c:pt idx="9">
                  <c:v>-999</c:v>
                </c:pt>
                <c:pt idx="10">
                  <c:v>0.49639032884799844</c:v>
                </c:pt>
                <c:pt idx="11">
                  <c:v>0.4485694902435501</c:v>
                </c:pt>
                <c:pt idx="12">
                  <c:v>-999</c:v>
                </c:pt>
                <c:pt idx="13">
                  <c:v>-999</c:v>
                </c:pt>
                <c:pt idx="14">
                  <c:v>0.4010195730461477</c:v>
                </c:pt>
                <c:pt idx="15">
                  <c:v>0.5752484952729849</c:v>
                </c:pt>
                <c:pt idx="16">
                  <c:v>0.5246592058639389</c:v>
                </c:pt>
                <c:pt idx="17">
                  <c:v>0.7142654870453155</c:v>
                </c:pt>
                <c:pt idx="18">
                  <c:v>0.5046344578142595</c:v>
                </c:pt>
                <c:pt idx="19">
                  <c:v>-999</c:v>
                </c:pt>
                <c:pt idx="20">
                  <c:v>0.47813615113323993</c:v>
                </c:pt>
                <c:pt idx="21">
                  <c:v>0.49391974680162265</c:v>
                </c:pt>
                <c:pt idx="22">
                  <c:v>0.6436670373519318</c:v>
                </c:pt>
                <c:pt idx="23">
                  <c:v>0.5474419348216334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0.4481693804184295</c:v>
                </c:pt>
                <c:pt idx="3">
                  <c:v>0.6896551799263881</c:v>
                </c:pt>
                <c:pt idx="4">
                  <c:v>-999</c:v>
                </c:pt>
                <c:pt idx="5">
                  <c:v>-999</c:v>
                </c:pt>
                <c:pt idx="6">
                  <c:v>-999</c:v>
                </c:pt>
                <c:pt idx="7">
                  <c:v>-999</c:v>
                </c:pt>
                <c:pt idx="8">
                  <c:v>0.4188357576596529</c:v>
                </c:pt>
                <c:pt idx="9">
                  <c:v>0.250350769999873</c:v>
                </c:pt>
                <c:pt idx="10">
                  <c:v>-999</c:v>
                </c:pt>
                <c:pt idx="11">
                  <c:v>-999</c:v>
                </c:pt>
                <c:pt idx="12">
                  <c:v>0.8027831637122591</c:v>
                </c:pt>
                <c:pt idx="13">
                  <c:v>0.9326630497219776</c:v>
                </c:pt>
                <c:pt idx="14">
                  <c:v>-999</c:v>
                </c:pt>
                <c:pt idx="15">
                  <c:v>-999</c:v>
                </c:pt>
                <c:pt idx="16">
                  <c:v>-999</c:v>
                </c:pt>
                <c:pt idx="17">
                  <c:v>-999</c:v>
                </c:pt>
                <c:pt idx="18">
                  <c:v>-999</c:v>
                </c:pt>
                <c:pt idx="19">
                  <c:v>0.76808884362456</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627868"/>
        <c:axId val="12106493"/>
      </c:scatterChart>
      <c:catAx>
        <c:axId val="18703986"/>
        <c:scaling>
          <c:orientation val="maxMin"/>
        </c:scaling>
        <c:axPos val="l"/>
        <c:delete val="0"/>
        <c:numFmt formatCode="General" sourceLinked="1"/>
        <c:majorTickMark val="out"/>
        <c:minorTickMark val="none"/>
        <c:tickLblPos val="none"/>
        <c:spPr>
          <a:ln w="3175">
            <a:noFill/>
          </a:ln>
        </c:spPr>
        <c:crossAx val="34118147"/>
        <c:crosses val="autoZero"/>
        <c:auto val="1"/>
        <c:lblOffset val="100"/>
        <c:tickLblSkip val="1"/>
        <c:noMultiLvlLbl val="0"/>
      </c:catAx>
      <c:valAx>
        <c:axId val="34118147"/>
        <c:scaling>
          <c:orientation val="minMax"/>
          <c:max val="1"/>
          <c:min val="0"/>
        </c:scaling>
        <c:axPos val="t"/>
        <c:delete val="0"/>
        <c:numFmt formatCode="General" sourceLinked="1"/>
        <c:majorTickMark val="none"/>
        <c:minorTickMark val="none"/>
        <c:tickLblPos val="none"/>
        <c:spPr>
          <a:ln w="3175">
            <a:noFill/>
          </a:ln>
        </c:spPr>
        <c:crossAx val="18703986"/>
        <c:crossesAt val="1"/>
        <c:crossBetween val="between"/>
        <c:dispUnits/>
        <c:majorUnit val="1"/>
      </c:valAx>
      <c:valAx>
        <c:axId val="38627868"/>
        <c:scaling>
          <c:orientation val="minMax"/>
          <c:max val="1"/>
          <c:min val="0"/>
        </c:scaling>
        <c:axPos val="t"/>
        <c:delete val="0"/>
        <c:numFmt formatCode="General" sourceLinked="1"/>
        <c:majorTickMark val="none"/>
        <c:minorTickMark val="none"/>
        <c:tickLblPos val="none"/>
        <c:spPr>
          <a:ln w="3175">
            <a:noFill/>
          </a:ln>
        </c:spPr>
        <c:crossAx val="12106493"/>
        <c:crosses val="max"/>
        <c:crossBetween val="midCat"/>
        <c:dispUnits/>
        <c:majorUnit val="0.1"/>
        <c:minorUnit val="0.020000000000000004"/>
      </c:valAx>
      <c:valAx>
        <c:axId val="12106493"/>
        <c:scaling>
          <c:orientation val="maxMin"/>
          <c:max val="29"/>
          <c:min val="0"/>
        </c:scaling>
        <c:axPos val="l"/>
        <c:delete val="0"/>
        <c:numFmt formatCode="General" sourceLinked="1"/>
        <c:majorTickMark val="none"/>
        <c:minorTickMark val="none"/>
        <c:tickLblPos val="none"/>
        <c:spPr>
          <a:ln w="3175">
            <a:noFill/>
          </a:ln>
        </c:spPr>
        <c:crossAx val="3862786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(P81042) ADELAIDE STREET SURGERY, BLACKPOOL PCT (5HP)</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454</v>
      </c>
      <c r="Q3" s="65"/>
      <c r="R3" s="66"/>
      <c r="S3" s="66"/>
      <c r="T3" s="66"/>
      <c r="U3" s="66"/>
      <c r="V3" s="66"/>
      <c r="W3" s="66"/>
      <c r="X3" s="66"/>
      <c r="Y3" s="66"/>
      <c r="Z3" s="66"/>
      <c r="AA3" s="66"/>
      <c r="AB3" s="66"/>
      <c r="AC3" s="66"/>
    </row>
    <row r="4" spans="2:29" ht="18" customHeight="1">
      <c r="B4" s="319" t="s">
        <v>509</v>
      </c>
      <c r="C4" s="320"/>
      <c r="D4" s="320"/>
      <c r="E4" s="320"/>
      <c r="F4" s="320"/>
      <c r="G4" s="321"/>
      <c r="H4" s="112"/>
      <c r="I4" s="112"/>
      <c r="J4" s="112"/>
      <c r="K4" s="112"/>
      <c r="L4" s="113"/>
      <c r="M4" s="65"/>
      <c r="N4" s="65"/>
      <c r="O4" s="65"/>
      <c r="P4" s="134" t="s">
        <v>455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456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508</v>
      </c>
      <c r="C8" s="115"/>
      <c r="D8" s="115"/>
      <c r="E8" s="128">
        <f>VLOOKUP('Hide - Control'!A$3,'All practice data'!A:CA,4,FALSE)</f>
        <v>10772</v>
      </c>
      <c r="F8" s="310" t="str">
        <f>VLOOKUP('Hide - Control'!B4,'Hide - Calculation'!AY:BA,3,FALSE)</f>
        <v> </v>
      </c>
      <c r="G8" s="310"/>
      <c r="H8" s="310"/>
      <c r="I8" s="115"/>
      <c r="J8" s="115"/>
      <c r="K8" s="115"/>
      <c r="L8" s="115"/>
      <c r="M8" s="109"/>
      <c r="N8" s="314" t="s">
        <v>464</v>
      </c>
      <c r="O8" s="314"/>
      <c r="P8" s="314"/>
      <c r="Q8" s="314" t="s">
        <v>32</v>
      </c>
      <c r="R8" s="314"/>
      <c r="S8" s="314"/>
      <c r="T8" s="314" t="s">
        <v>512</v>
      </c>
      <c r="U8" s="314"/>
      <c r="V8" s="314" t="s">
        <v>33</v>
      </c>
      <c r="W8" s="314"/>
      <c r="X8" s="314"/>
      <c r="Y8" s="135"/>
      <c r="Z8" s="314" t="s">
        <v>457</v>
      </c>
      <c r="AA8" s="314"/>
      <c r="AB8" s="161"/>
      <c r="AC8" s="109"/>
    </row>
    <row r="9" spans="2:29" s="61" customFormat="1" ht="19.5" customHeight="1" thickBot="1">
      <c r="B9" s="114" t="s">
        <v>449</v>
      </c>
      <c r="C9" s="114"/>
      <c r="D9" s="114"/>
      <c r="E9" s="129">
        <f>VLOOKUP('Hide - Control'!B4,'Hide - Calculation'!AY:BB,4,FALSE)</f>
        <v>140964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446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427</v>
      </c>
      <c r="E11" s="317"/>
      <c r="F11" s="318"/>
      <c r="G11" s="263" t="s">
        <v>425</v>
      </c>
      <c r="H11" s="255" t="s">
        <v>426</v>
      </c>
      <c r="I11" s="255" t="s">
        <v>437</v>
      </c>
      <c r="J11" s="255" t="s">
        <v>438</v>
      </c>
      <c r="K11" s="255" t="s">
        <v>311</v>
      </c>
      <c r="L11" s="256" t="s">
        <v>351</v>
      </c>
      <c r="M11" s="257" t="s">
        <v>447</v>
      </c>
      <c r="N11" s="334" t="s">
        <v>445</v>
      </c>
      <c r="O11" s="334"/>
      <c r="P11" s="334"/>
      <c r="Q11" s="334"/>
      <c r="R11" s="334"/>
      <c r="S11" s="334"/>
      <c r="T11" s="334"/>
      <c r="U11" s="334"/>
      <c r="V11" s="334"/>
      <c r="W11" s="334"/>
      <c r="X11" s="334"/>
      <c r="Y11" s="334"/>
      <c r="Z11" s="334"/>
      <c r="AA11" s="258" t="s">
        <v>448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309</v>
      </c>
      <c r="C13" s="163">
        <v>1</v>
      </c>
      <c r="D13" s="312" t="s">
        <v>305</v>
      </c>
      <c r="E13" s="313"/>
      <c r="F13" s="313"/>
      <c r="G13" s="166">
        <f>IF(VLOOKUP('Hide - Control'!A$3,'All practice data'!A:CA,C13+4,FALSE)=" "," ",VLOOKUP('Hide - Control'!A$3,'All practice data'!A:CA,C13+4,FALSE))</f>
        <v>1687</v>
      </c>
      <c r="H13" s="190">
        <f>IF(VLOOKUP('Hide - Control'!A$3,'All practice data'!A:CA,C13+30,FALSE)=" "," ",VLOOKUP('Hide - Control'!A$3,'All practice data'!A:CA,C13+30,FALSE))</f>
        <v>0.15660972892684738</v>
      </c>
      <c r="I13" s="191">
        <f>IF(LEFT(G13,1)=" "," n/a",+((2*G13+1.96^2-1.96*SQRT(1.96^2+4*G13*(1-G13/E$8)))/(2*(E$8+1.96^2))))</f>
        <v>0.14986900201828443</v>
      </c>
      <c r="J13" s="191">
        <f>IF(LEFT(G13,1)=" "," n/a",+((2*G13+1.96^2+1.96*SQRT(1.96^2+4*G13*(1-G13/E$8)))/(2*(E$8+1.96^2))))</f>
        <v>0.16359529389341496</v>
      </c>
      <c r="K13" s="190">
        <f>IF('Hide - Calculation'!N7="","",'Hide - Calculation'!N7)</f>
        <v>0.17251213075678898</v>
      </c>
      <c r="L13" s="192">
        <f>'Hide - Calculation'!O7</f>
        <v>0.1599882305185145</v>
      </c>
      <c r="M13" s="208">
        <f>IF(ISBLANK('Hide - Calculation'!K7),"",'Hide - Calculation'!U7)</f>
        <v>0.06537438184022903</v>
      </c>
      <c r="N13" s="173"/>
      <c r="O13" s="173"/>
      <c r="P13" s="173"/>
      <c r="Q13" s="173"/>
      <c r="R13" s="173"/>
      <c r="S13" s="173"/>
      <c r="T13" s="173"/>
      <c r="U13" s="173"/>
      <c r="V13" s="173"/>
      <c r="W13" s="173"/>
      <c r="X13" s="173"/>
      <c r="Y13" s="173"/>
      <c r="Z13" s="173"/>
      <c r="AA13" s="226">
        <f>IF(ISBLANK('Hide - Calculation'!K7),"",'Hide - Calculation'!T7)</f>
        <v>0.24568220973014832</v>
      </c>
      <c r="AB13" s="233" t="s">
        <v>506</v>
      </c>
      <c r="AC13" s="209" t="s">
        <v>507</v>
      </c>
    </row>
    <row r="14" spans="2:29" ht="33.75" customHeight="1">
      <c r="B14" s="306"/>
      <c r="C14" s="137">
        <v>2</v>
      </c>
      <c r="D14" s="132" t="s">
        <v>458</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0.29</v>
      </c>
      <c r="I14" s="120">
        <f>IF(LEFT(G14,1)=" "," n/a",+((2*H14*E8+1.96^2-1.96*SQRT(1.96^2+4*H14*E8*(1-H14*E8/E$8)))/(2*(E$8+1.96^2))))</f>
        <v>0.28150694874783866</v>
      </c>
      <c r="J14" s="120">
        <f>IF(LEFT(G14,1)=" "," n/a",+((2*H14*E8+1.96^2+1.96*SQRT(1.96^2+4*H14*E8*(1-H14*E8/E$8)))/(2*(E$8+1.96^2))))</f>
        <v>0.2986427817381773</v>
      </c>
      <c r="K14" s="119">
        <f>IF('Hide - Calculation'!N8="","",'Hide - Calculation'!N8)</f>
        <v>0.23874329616072187</v>
      </c>
      <c r="L14" s="155">
        <f>'Hide - Calculation'!O8</f>
        <v>0.15010930292554353</v>
      </c>
      <c r="M14" s="150">
        <f>IF(ISBLANK('Hide - Calculation'!K8),"",'Hide - Calculation'!U8)</f>
        <v>0.17000000178813934</v>
      </c>
      <c r="N14" s="84"/>
      <c r="O14" s="84"/>
      <c r="P14" s="84"/>
      <c r="Q14" s="84"/>
      <c r="R14" s="84"/>
      <c r="S14" s="84"/>
      <c r="T14" s="84"/>
      <c r="U14" s="84"/>
      <c r="V14" s="84"/>
      <c r="W14" s="84"/>
      <c r="X14" s="84"/>
      <c r="Y14" s="84"/>
      <c r="Z14" s="84"/>
      <c r="AA14" s="227">
        <f>IF(ISBLANK('Hide - Calculation'!K8),"",'Hide - Calculation'!T8)</f>
        <v>0.3799999952316284</v>
      </c>
      <c r="AB14" s="234" t="s">
        <v>39</v>
      </c>
      <c r="AC14" s="130" t="s">
        <v>507</v>
      </c>
    </row>
    <row r="15" spans="2:39" s="63" customFormat="1" ht="33.75" customHeight="1">
      <c r="B15" s="306"/>
      <c r="C15" s="137">
        <v>3</v>
      </c>
      <c r="D15" s="132" t="s">
        <v>314</v>
      </c>
      <c r="E15" s="85"/>
      <c r="F15" s="85"/>
      <c r="G15" s="121">
        <f>IF(VLOOKUP('Hide - Control'!A$3,'All practice data'!A:CA,C15+4,FALSE)=" "," ",VLOOKUP('Hide - Control'!A$3,'All practice data'!A:CA,C15+4,FALSE))</f>
        <v>55</v>
      </c>
      <c r="H15" s="122">
        <f>IF(VLOOKUP('Hide - Control'!A$3,'All practice data'!A:CA,C15+30,FALSE)=" "," ",VLOOKUP('Hide - Control'!A$3,'All practice data'!A:CA,C15+30,FALSE))</f>
        <v>510.5829929446714</v>
      </c>
      <c r="I15" s="123">
        <f>IF(LEFT(G15,1)=" "," n/a",IF(G15&lt;5,100000*VLOOKUP(G15,'Hide - Calculation'!AQ:AR,2,FALSE)/$E$8,100000*(G15*(1-1/(9*G15)-1.96/(3*SQRT(G15)))^3)/$E$8))</f>
        <v>384.61385907175804</v>
      </c>
      <c r="J15" s="123">
        <f>IF(LEFT(G15,1)=" "," n/a",IF(G15&lt;5,100000*VLOOKUP(G15,'Hide - Calculation'!AQ:AS,3,FALSE)/$E$8,100000*((G15+1)*(1-1/(9*(G15+1))+1.96/(3*SQRT(G15+1)))^3)/$E$8))</f>
        <v>664.6095166623311</v>
      </c>
      <c r="K15" s="122">
        <f>IF('Hide - Calculation'!N9="","",'Hide - Calculation'!N9)</f>
        <v>544.8199540308163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712.4352416992188</v>
      </c>
      <c r="AB15" s="234" t="s">
        <v>428</v>
      </c>
      <c r="AC15" s="131">
        <v>2009</v>
      </c>
      <c r="AD15" s="64"/>
      <c r="AE15" s="64"/>
      <c r="AF15" s="64"/>
      <c r="AG15" s="64"/>
      <c r="AH15" s="64"/>
      <c r="AI15" s="64"/>
      <c r="AJ15" s="64"/>
      <c r="AK15" s="64"/>
      <c r="AL15" s="64"/>
      <c r="AM15" s="64"/>
    </row>
    <row r="16" spans="2:29" s="63" customFormat="1" ht="33.75" customHeight="1">
      <c r="B16" s="306"/>
      <c r="C16" s="137">
        <v>4</v>
      </c>
      <c r="D16" s="132" t="s">
        <v>450</v>
      </c>
      <c r="E16" s="85"/>
      <c r="F16" s="85"/>
      <c r="G16" s="121">
        <f>IF(VLOOKUP('Hide - Control'!A$3,'All practice data'!A:CA,C16+4,FALSE)=" "," ",VLOOKUP('Hide - Control'!A$3,'All practice data'!A:CA,C16+4,FALSE))</f>
        <v>34</v>
      </c>
      <c r="H16" s="122">
        <f>IF(VLOOKUP('Hide - Control'!A$3,'All practice data'!A:CA,C16+30,FALSE)=" "," ",VLOOKUP('Hide - Control'!A$3,'All practice data'!A:CA,C16+30,FALSE))</f>
        <v>315.6331229112514</v>
      </c>
      <c r="I16" s="123">
        <f>IF(LEFT(G16,1)=" "," n/a",IF(G16&lt;5,100000*VLOOKUP(G16,'Hide - Calculation'!AQ:AR,2,FALSE)/$E$8,100000*(G16*(1-1/(9*G16)-1.96/(3*SQRT(G16)))^3)/$E$8))</f>
        <v>218.54982064018066</v>
      </c>
      <c r="J16" s="123">
        <f>IF(LEFT(G16,1)=" "," n/a",IF(G16&lt;5,100000*VLOOKUP(G16,'Hide - Calculation'!AQ:AS,3,FALSE)/$E$8,100000*((G16+1)*(1-1/(9*(G16+1))+1.96/(3*SQRT(G16+1)))^3)/$E$8))</f>
        <v>441.0818856942633</v>
      </c>
      <c r="K16" s="122">
        <f>IF('Hide - Calculation'!N10="","",'Hide - Calculation'!N10)</f>
        <v>318.52104083312054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626.0794677734375</v>
      </c>
      <c r="AB16" s="234" t="s">
        <v>308</v>
      </c>
      <c r="AC16" s="131" t="s">
        <v>483</v>
      </c>
    </row>
    <row r="17" spans="2:29" s="63" customFormat="1" ht="33.75" customHeight="1" thickBot="1">
      <c r="B17" s="309"/>
      <c r="C17" s="180">
        <v>5</v>
      </c>
      <c r="D17" s="195" t="s">
        <v>313</v>
      </c>
      <c r="E17" s="182"/>
      <c r="F17" s="182"/>
      <c r="G17" s="140">
        <f>IF(VLOOKUP('Hide - Control'!A$3,'All practice data'!A:CA,C17+4,FALSE)=" "," ",VLOOKUP('Hide - Control'!A$3,'All practice data'!A:CA,C17+4,FALSE))</f>
        <v>167</v>
      </c>
      <c r="H17" s="141">
        <f>IF(VLOOKUP('Hide - Control'!A$3,'All practice data'!A:CA,C17+30,FALSE)=" "," ",VLOOKUP('Hide - Control'!A$3,'All practice data'!A:CA,C17+30,FALSE))</f>
        <v>0.016</v>
      </c>
      <c r="I17" s="142">
        <f>IF(LEFT(G17,1)=" "," n/a",+((2*G17+1.96^2-1.96*SQRT(1.96^2+4*G17*(1-G17/E$8)))/(2*(E$8+1.96^2))))</f>
        <v>0.013336854075219274</v>
      </c>
      <c r="J17" s="142">
        <f>IF(LEFT(G17,1)=" "," n/a",+((2*G17+1.96^2+1.96*SQRT(1.96^2+4*G17*(1-G17/E$8)))/(2*(E$8+1.96^2))))</f>
        <v>0.018014905958075943</v>
      </c>
      <c r="K17" s="141">
        <f>IF('Hide - Calculation'!N11="","",'Hide - Calculation'!N11)</f>
        <v>0.01705399960273545</v>
      </c>
      <c r="L17" s="157">
        <f>'Hide - Calculation'!O11</f>
        <v>0.015940726342527432</v>
      </c>
      <c r="M17" s="210">
        <f>IF(ISBLANK('Hide - Calculation'!K11),"",'Hide - Calculation'!U11)</f>
        <v>0.00800000037997961</v>
      </c>
      <c r="N17" s="91"/>
      <c r="O17" s="91"/>
      <c r="P17" s="91"/>
      <c r="Q17" s="91"/>
      <c r="R17" s="91"/>
      <c r="S17" s="91"/>
      <c r="T17" s="91"/>
      <c r="U17" s="91"/>
      <c r="V17" s="91"/>
      <c r="W17" s="91"/>
      <c r="X17" s="91"/>
      <c r="Y17" s="91"/>
      <c r="Z17" s="91"/>
      <c r="AA17" s="229">
        <f>IF(ISBLANK('Hide - Calculation'!K11),"",'Hide - Calculation'!T11)</f>
        <v>0.026000000536441803</v>
      </c>
      <c r="AB17" s="235" t="s">
        <v>451</v>
      </c>
      <c r="AC17" s="189" t="s">
        <v>483</v>
      </c>
    </row>
    <row r="18" spans="2:29" s="63" customFormat="1" ht="33.75" customHeight="1">
      <c r="B18" s="308" t="s">
        <v>13</v>
      </c>
      <c r="C18" s="163">
        <v>6</v>
      </c>
      <c r="D18" s="164" t="s">
        <v>459</v>
      </c>
      <c r="E18" s="165"/>
      <c r="F18" s="165"/>
      <c r="G18" s="219">
        <f>IF(OR(VLOOKUP('Hide - Control'!A$3,'All practice data'!A:CA,C18+4,FALSE)=" ",VLOOKUP('Hide - Control'!A$3,'All practice data'!A:CA,C18+52,FALSE)=0)," n/a",VLOOKUP('Hide - Control'!A$3,'All practice data'!A:CA,C18+4,FALSE))</f>
        <v>801</v>
      </c>
      <c r="H18" s="220">
        <f>IF(OR(VLOOKUP('Hide - Control'!A$3,'All practice data'!A:CA,C18+30,FALSE)=" ",VLOOKUP('Hide - Control'!A$3,'All practice data'!A:CA,C18+52,FALSE)=0)," n/a",VLOOKUP('Hide - Control'!A$3,'All practice data'!A:CA,C18+30,FALSE))</f>
        <v>0.663629</v>
      </c>
      <c r="I18" s="191">
        <f>IF(OR(LEFT(H18,1)=" ",VLOOKUP('Hide - Control'!A$3,'All practice data'!A:CA,C18+52,FALSE)=0)," n/a",+((2*G18+1.96^2-1.96*SQRT(1.96^2+4*G18*(1-G18/(VLOOKUP('Hide - Control'!A$3,'All practice data'!A:CA,C18+52,FALSE)))))/(2*(((VLOOKUP('Hide - Control'!A$3,'All practice data'!A:CA,C18+52,FALSE)))+1.96^2))))</f>
        <v>0.6364922060893118</v>
      </c>
      <c r="J18" s="191">
        <f>IF(OR(LEFT(H18,1)=" ",VLOOKUP('Hide - Control'!A$3,'All practice data'!A:CA,C18+52,FALSE)=0)," n/a",+((2*G18+1.96^2+1.96*SQRT(1.96^2+4*G18*(1-G18/(VLOOKUP('Hide - Control'!A$3,'All practice data'!A:CA,C18+52,FALSE)))))/(2*((VLOOKUP('Hide - Control'!A$3,'All practice data'!A:CA,C18+52,FALSE))+1.96^2))))</f>
        <v>0.6897271771892277</v>
      </c>
      <c r="K18" s="220">
        <f>IF('Hide - Calculation'!N12="","",'Hide - Calculation'!N12)</f>
        <v>0.6636023960619181</v>
      </c>
      <c r="L18" s="192">
        <f>'Hide - Calculation'!O12</f>
        <v>0.7248631360507991</v>
      </c>
      <c r="M18" s="193">
        <f>IF(ISBLANK('Hide - Calculation'!K12),"",'Hide - Calculation'!U12)</f>
        <v>0.41477298736572266</v>
      </c>
      <c r="N18" s="194"/>
      <c r="O18" s="173"/>
      <c r="P18" s="173"/>
      <c r="Q18" s="173"/>
      <c r="R18" s="173"/>
      <c r="S18" s="173"/>
      <c r="T18" s="173"/>
      <c r="U18" s="173"/>
      <c r="V18" s="173"/>
      <c r="W18" s="173"/>
      <c r="X18" s="173"/>
      <c r="Y18" s="173"/>
      <c r="Z18" s="174"/>
      <c r="AA18" s="193">
        <f>IF(ISBLANK('Hide - Calculation'!K12),"",'Hide - Calculation'!T12)</f>
        <v>0.7630980014801025</v>
      </c>
      <c r="AB18" s="233" t="s">
        <v>48</v>
      </c>
      <c r="AC18" s="175" t="s">
        <v>484</v>
      </c>
    </row>
    <row r="19" spans="2:29" s="63" customFormat="1" ht="33.75" customHeight="1">
      <c r="B19" s="306"/>
      <c r="C19" s="137">
        <v>7</v>
      </c>
      <c r="D19" s="132" t="s">
        <v>460</v>
      </c>
      <c r="E19" s="85"/>
      <c r="F19" s="85"/>
      <c r="G19" s="221">
        <f>IF(OR(VLOOKUP('Hide - Control'!A$3,'All practice data'!A:CA,C19+4,FALSE)=" ",VLOOKUP('Hide - Control'!A$3,'All practice data'!A:CA,C19+52,FALSE)=0)," n/a",VLOOKUP('Hide - Control'!A$3,'All practice data'!A:CA,C19+4,FALSE))</f>
        <v>15</v>
      </c>
      <c r="H19" s="218">
        <f>IF(OR(VLOOKUP('Hide - Control'!A$3,'All practice data'!A:CA,C19+30,FALSE)=" ",VLOOKUP('Hide - Control'!A$3,'All practice data'!A:CA,C19+52,FALSE)=0)," n/a",VLOOKUP('Hide - Control'!A$3,'All practice data'!A:CA,C19+30,FALSE))</f>
        <v>0.517241</v>
      </c>
      <c r="I19" s="120">
        <f>IF(OR(LEFT(H19,1)=" ",VLOOKUP('Hide - Control'!A$3,'All practice data'!A:CA,C19+52,FALSE)=0)," n/a",+((2*G19+1.96^2-1.96*SQRT(1.96^2+4*G19*(1-G19/(VLOOKUP('Hide - Control'!A$3,'All practice data'!A:CA,C19+52,FALSE)))))/(2*(((VLOOKUP('Hide - Control'!A$3,'All practice data'!A:CA,C19+52,FALSE)))+1.96^2))))</f>
        <v>0.3443073797056916</v>
      </c>
      <c r="J19" s="120">
        <f>IF(OR(LEFT(H19,1)=" ",VLOOKUP('Hide - Control'!A$3,'All practice data'!A:CA,C19+52,FALSE)=0)," n/a",+((2*G19+1.96^2+1.96*SQRT(1.96^2+4*G19*(1-G19/(VLOOKUP('Hide - Control'!A$3,'All practice data'!A:CA,C19+52,FALSE)))))/(2*((VLOOKUP('Hide - Control'!A$3,'All practice data'!A:CA,C19+52,FALSE))+1.96^2))))</f>
        <v>0.6861418066920479</v>
      </c>
      <c r="K19" s="218">
        <f>IF('Hide - Calculation'!N13="","",'Hide - Calculation'!N13)</f>
        <v>0.7112568639414277</v>
      </c>
      <c r="L19" s="155">
        <f>'Hide - Calculation'!O13</f>
        <v>0.7467412166569077</v>
      </c>
      <c r="M19" s="152">
        <f>IF(ISBLANK('Hide - Calculation'!K13),"",'Hide - Calculation'!U13)</f>
        <v>0.1875</v>
      </c>
      <c r="N19" s="160"/>
      <c r="O19" s="84"/>
      <c r="P19" s="84"/>
      <c r="Q19" s="84"/>
      <c r="R19" s="84"/>
      <c r="S19" s="84"/>
      <c r="T19" s="84"/>
      <c r="U19" s="84"/>
      <c r="V19" s="84"/>
      <c r="W19" s="84"/>
      <c r="X19" s="84"/>
      <c r="Y19" s="84"/>
      <c r="Z19" s="88"/>
      <c r="AA19" s="152">
        <f>IF(ISBLANK('Hide - Calculation'!K13),"",'Hide - Calculation'!T13)</f>
        <v>0.8301630020141602</v>
      </c>
      <c r="AB19" s="234" t="s">
        <v>48</v>
      </c>
      <c r="AC19" s="131" t="s">
        <v>483</v>
      </c>
    </row>
    <row r="20" spans="2:29" s="63" customFormat="1" ht="33.75" customHeight="1">
      <c r="B20" s="306"/>
      <c r="C20" s="137">
        <v>8</v>
      </c>
      <c r="D20" s="132" t="s">
        <v>461</v>
      </c>
      <c r="E20" s="85"/>
      <c r="F20" s="85"/>
      <c r="G20" s="221">
        <f>IF(OR(VLOOKUP('Hide - Control'!A$3,'All practice data'!A:CA,C20+4,FALSE)=" ",VLOOKUP('Hide - Control'!A$3,'All practice data'!A:CA,C20+52,FALSE)=0)," n/a",VLOOKUP('Hide - Control'!A$3,'All practice data'!A:CA,C20+4,FALSE))</f>
        <v>1563</v>
      </c>
      <c r="H20" s="218">
        <f>IF(OR(VLOOKUP('Hide - Control'!A$3,'All practice data'!A:CA,C20+30,FALSE)=" ",VLOOKUP('Hide - Control'!A$3,'All practice data'!A:CA,C20+52,FALSE)=0)," n/a",VLOOKUP('Hide - Control'!A$3,'All practice data'!A:CA,C20+30,FALSE))</f>
        <v>0.650166</v>
      </c>
      <c r="I20" s="120">
        <f>IF(OR(LEFT(H20,1)=" ",VLOOKUP('Hide - Control'!A$3,'All practice data'!A:CA,C20+52,FALSE)=0)," n/a",+((2*G20+1.96^2-1.96*SQRT(1.96^2+4*G20*(1-G20/(VLOOKUP('Hide - Control'!A$3,'All practice data'!A:CA,C20+52,FALSE)))))/(2*(((VLOOKUP('Hide - Control'!A$3,'All practice data'!A:CA,C20+52,FALSE)))+1.96^2))))</f>
        <v>0.630875730971202</v>
      </c>
      <c r="J20" s="120">
        <f>IF(OR(LEFT(H20,1)=" ",VLOOKUP('Hide - Control'!A$3,'All practice data'!A:CA,C20+52,FALSE)=0)," n/a",+((2*G20+1.96^2+1.96*SQRT(1.96^2+4*G20*(1-G20/(VLOOKUP('Hide - Control'!A$3,'All practice data'!A:CA,C20+52,FALSE)))))/(2*((VLOOKUP('Hide - Control'!A$3,'All practice data'!A:CA,C20+52,FALSE))+1.96^2))))</f>
        <v>0.6689778806617227</v>
      </c>
      <c r="K20" s="218">
        <f>IF('Hide - Calculation'!N14="","",'Hide - Calculation'!N14)</f>
        <v>0.7259261503044255</v>
      </c>
      <c r="L20" s="155">
        <f>'Hide - Calculation'!O14</f>
        <v>0.7559681673907895</v>
      </c>
      <c r="M20" s="152">
        <f>IF(ISBLANK('Hide - Calculation'!K14),"",'Hide - Calculation'!U14)</f>
        <v>0.6501659750938416</v>
      </c>
      <c r="N20" s="160"/>
      <c r="O20" s="84"/>
      <c r="P20" s="84"/>
      <c r="Q20" s="84"/>
      <c r="R20" s="84"/>
      <c r="S20" s="84"/>
      <c r="T20" s="84"/>
      <c r="U20" s="84"/>
      <c r="V20" s="84"/>
      <c r="W20" s="84"/>
      <c r="X20" s="84"/>
      <c r="Y20" s="84"/>
      <c r="Z20" s="88"/>
      <c r="AA20" s="152">
        <f>IF(ISBLANK('Hide - Calculation'!K14),"",'Hide - Calculation'!T14)</f>
        <v>0.8681100010871887</v>
      </c>
      <c r="AB20" s="234" t="s">
        <v>48</v>
      </c>
      <c r="AC20" s="131" t="s">
        <v>485</v>
      </c>
    </row>
    <row r="21" spans="2:29" s="63" customFormat="1" ht="33.75" customHeight="1">
      <c r="B21" s="306"/>
      <c r="C21" s="137">
        <v>9</v>
      </c>
      <c r="D21" s="132" t="s">
        <v>462</v>
      </c>
      <c r="E21" s="85"/>
      <c r="F21" s="85"/>
      <c r="G21" s="221">
        <f>IF(OR(VLOOKUP('Hide - Control'!A$3,'All practice data'!A:CA,C21+4,FALSE)=" ",VLOOKUP('Hide - Control'!A$3,'All practice data'!A:CA,C21+52,FALSE)=0)," n/a",VLOOKUP('Hide - Control'!A$3,'All practice data'!A:CA,C21+4,FALSE))</f>
        <v>534</v>
      </c>
      <c r="H21" s="218">
        <f>IF(OR(VLOOKUP('Hide - Control'!A$3,'All practice data'!A:CA,C21+30,FALSE)=" ",VLOOKUP('Hide - Control'!A$3,'All practice data'!A:CA,C21+52,FALSE)=0)," n/a",VLOOKUP('Hide - Control'!A$3,'All practice data'!A:CA,C21+30,FALSE))</f>
        <v>0.489459</v>
      </c>
      <c r="I21" s="120">
        <f>IF(OR(LEFT(H21,1)=" ",VLOOKUP('Hide - Control'!A$3,'All practice data'!A:CA,C21+52,FALSE)=0)," n/a",+((2*G21+1.96^2-1.96*SQRT(1.96^2+4*G21*(1-G21/(VLOOKUP('Hide - Control'!A$3,'All practice data'!A:CA,C21+52,FALSE)))))/(2*(((VLOOKUP('Hide - Control'!A$3,'All practice data'!A:CA,C21+52,FALSE)))+1.96^2))))</f>
        <v>0.4598851179394593</v>
      </c>
      <c r="J21" s="120">
        <f>IF(OR(LEFT(H21,1)=" ",VLOOKUP('Hide - Control'!A$3,'All practice data'!A:CA,C21+52,FALSE)=0)," n/a",+((2*G21+1.96^2+1.96*SQRT(1.96^2+4*G21*(1-G21/(VLOOKUP('Hide - Control'!A$3,'All practice data'!A:CA,C21+52,FALSE)))))/(2*((VLOOKUP('Hide - Control'!A$3,'All practice data'!A:CA,C21+52,FALSE))+1.96^2))))</f>
        <v>0.5191072769421382</v>
      </c>
      <c r="K21" s="218">
        <f>IF('Hide - Calculation'!N15="","",'Hide - Calculation'!N15)</f>
        <v>0.5028941739021014</v>
      </c>
      <c r="L21" s="155">
        <f>'Hide - Calculation'!O15</f>
        <v>0.5147293797466616</v>
      </c>
      <c r="M21" s="152">
        <f>IF(ISBLANK('Hide - Calculation'!K15),"",'Hide - Calculation'!U15)</f>
        <v>0.30463600158691406</v>
      </c>
      <c r="N21" s="160"/>
      <c r="O21" s="84"/>
      <c r="P21" s="84"/>
      <c r="Q21" s="84"/>
      <c r="R21" s="84"/>
      <c r="S21" s="84"/>
      <c r="T21" s="84"/>
      <c r="U21" s="84"/>
      <c r="V21" s="84"/>
      <c r="W21" s="84"/>
      <c r="X21" s="84"/>
      <c r="Y21" s="84"/>
      <c r="Z21" s="88"/>
      <c r="AA21" s="152">
        <f>IF(ISBLANK('Hide - Calculation'!K15),"",'Hide - Calculation'!T15)</f>
        <v>0.5814319849014282</v>
      </c>
      <c r="AB21" s="234" t="s">
        <v>48</v>
      </c>
      <c r="AC21" s="131" t="s">
        <v>484</v>
      </c>
    </row>
    <row r="22" spans="2:29" s="63" customFormat="1" ht="33.75" customHeight="1" thickBot="1">
      <c r="B22" s="309"/>
      <c r="C22" s="180">
        <v>10</v>
      </c>
      <c r="D22" s="195" t="s">
        <v>463</v>
      </c>
      <c r="E22" s="182"/>
      <c r="F22" s="182"/>
      <c r="G22" s="222">
        <f>IF(OR(VLOOKUP('Hide - Control'!A$3,'All practice data'!A:CA,C22+4,FALSE)=" ",VLOOKUP('Hide - Control'!A$3,'All practice data'!A:CA,C22+52,FALSE)=0)," n/a",VLOOKUP('Hide - Control'!A$3,'All practice data'!A:CA,C22+4,FALSE))</f>
        <v>254</v>
      </c>
      <c r="H22" s="223">
        <f>IF(OR(VLOOKUP('Hide - Control'!A$3,'All practice data'!A:CA,C22+30,FALSE)=" ",VLOOKUP('Hide - Control'!A$3,'All practice data'!A:CA,C22+52,FALSE)=0)," n/a",VLOOKUP('Hide - Control'!A$3,'All practice data'!A:CA,C22+30,FALSE))</f>
        <v>0.520492</v>
      </c>
      <c r="I22" s="196">
        <f>IF(OR(LEFT(H22,1)=" ",VLOOKUP('Hide - Control'!A$3,'All practice data'!A:CA,C22+52,FALSE)=0)," n/a",+((2*G22+1.96^2-1.96*SQRT(1.96^2+4*G22*(1-G22/(VLOOKUP('Hide - Control'!A$3,'All practice data'!A:CA,C22+52,FALSE)))))/(2*(((VLOOKUP('Hide - Control'!A$3,'All practice data'!A:CA,C22+52,FALSE)))+1.96^2))))</f>
        <v>0.47617965966248316</v>
      </c>
      <c r="J22" s="196">
        <f>IF(OR(LEFT(H22,1)=" ",VLOOKUP('Hide - Control'!A$3,'All practice data'!A:CA,C22+52,FALSE)=0)," n/a",+((2*G22+1.96^2+1.96*SQRT(1.96^2+4*G22*(1-G22/(VLOOKUP('Hide - Control'!A$3,'All practice data'!A:CA,C22+52,FALSE)))))/(2*((VLOOKUP('Hide - Control'!A$3,'All practice data'!A:CA,C22+52,FALSE))+1.96^2))))</f>
        <v>0.5644838385044063</v>
      </c>
      <c r="K22" s="223">
        <f>IF('Hide - Calculation'!N16="","",'Hide - Calculation'!N16)</f>
        <v>0.5456737588652483</v>
      </c>
      <c r="L22" s="197">
        <f>'Hide - Calculation'!O16</f>
        <v>0.5752927626212945</v>
      </c>
      <c r="M22" s="198">
        <f>IF(ISBLANK('Hide - Calculation'!K16),"",'Hide - Calculation'!U16)</f>
        <v>0.35294100642204285</v>
      </c>
      <c r="N22" s="199"/>
      <c r="O22" s="91"/>
      <c r="P22" s="91"/>
      <c r="Q22" s="91"/>
      <c r="R22" s="91"/>
      <c r="S22" s="91"/>
      <c r="T22" s="91"/>
      <c r="U22" s="91"/>
      <c r="V22" s="91"/>
      <c r="W22" s="91"/>
      <c r="X22" s="91"/>
      <c r="Y22" s="91"/>
      <c r="Z22" s="188"/>
      <c r="AA22" s="198">
        <f>IF(ISBLANK('Hide - Calculation'!K16),"",'Hide - Calculation'!T16)</f>
        <v>0.611257016658783</v>
      </c>
      <c r="AB22" s="235" t="s">
        <v>48</v>
      </c>
      <c r="AC22" s="189" t="s">
        <v>483</v>
      </c>
    </row>
    <row r="23" spans="2:29" s="63" customFormat="1" ht="33.75" customHeight="1">
      <c r="B23" s="308" t="s">
        <v>303</v>
      </c>
      <c r="C23" s="163">
        <v>11</v>
      </c>
      <c r="D23" s="179" t="s">
        <v>315</v>
      </c>
      <c r="E23" s="165"/>
      <c r="F23" s="165"/>
      <c r="G23" s="118">
        <f>IF(VLOOKUP('Hide - Control'!A$3,'All practice data'!A:CA,C23+4,FALSE)=" "," ",VLOOKUP('Hide - Control'!A$3,'All practice data'!A:CA,C23+4,FALSE))</f>
        <v>307</v>
      </c>
      <c r="H23" s="216">
        <f>IF(VLOOKUP('Hide - Control'!A$3,'All practice data'!A:CA,C23+30,FALSE)=" "," ",VLOOKUP('Hide - Control'!A$3,'All practice data'!A:CA,C23+30,FALSE))</f>
        <v>2849.981433345711</v>
      </c>
      <c r="I23" s="215">
        <f>IF(LEFT(G23,1)=" "," n/a",IF(G23&lt;5,100000*VLOOKUP(G23,'Hide - Calculation'!AQ:AR,2,FALSE)/$E$8,100000*(G23*(1-1/(9*G23)-1.96/(3*SQRT(G23)))^3)/$E$8))</f>
        <v>2540.046609485829</v>
      </c>
      <c r="J23" s="215">
        <f>IF(LEFT(G23,1)=" "," n/a",IF(G23&lt;5,100000*VLOOKUP(G23,'Hide - Calculation'!AQ:AS,3,FALSE)/$E$8,100000*((G23+1)*(1-1/(9*(G23+1))+1.96/(3*SQRT(G23+1)))^3)/$E$8))</f>
        <v>3187.298507862065</v>
      </c>
      <c r="K23" s="216">
        <f>IF('Hide - Calculation'!N17="","",'Hide - Calculation'!N17)</f>
        <v>1970.0065264890327</v>
      </c>
      <c r="L23" s="217">
        <f>'Hide - Calculation'!O17</f>
        <v>1812.1669120472948</v>
      </c>
      <c r="M23" s="170">
        <f>IF(ISBLANK('Hide - Calculation'!K17),"",'Hide - Calculation'!U17)</f>
        <v>496.3726501464844</v>
      </c>
      <c r="N23" s="171"/>
      <c r="O23" s="172"/>
      <c r="P23" s="172"/>
      <c r="Q23" s="172"/>
      <c r="R23" s="173"/>
      <c r="S23" s="173"/>
      <c r="T23" s="173"/>
      <c r="U23" s="173"/>
      <c r="V23" s="173"/>
      <c r="W23" s="173"/>
      <c r="X23" s="173"/>
      <c r="Y23" s="173"/>
      <c r="Z23" s="174"/>
      <c r="AA23" s="170">
        <f>IF(ISBLANK('Hide - Calculation'!K17),"",'Hide - Calculation'!T17)</f>
        <v>2849.9814453125</v>
      </c>
      <c r="AB23" s="233" t="s">
        <v>26</v>
      </c>
      <c r="AC23" s="175" t="s">
        <v>483</v>
      </c>
    </row>
    <row r="24" spans="2:29" s="63" customFormat="1" ht="33.75" customHeight="1">
      <c r="B24" s="306"/>
      <c r="C24" s="137">
        <v>12</v>
      </c>
      <c r="D24" s="147" t="s">
        <v>469</v>
      </c>
      <c r="E24" s="85"/>
      <c r="F24" s="85"/>
      <c r="G24" s="118">
        <f>IF(VLOOKUP('Hide - Control'!A$3,'All practice data'!A:CA,C24+4,FALSE)=" "," ",VLOOKUP('Hide - Control'!A$3,'All practice data'!A:CA,C24+4,FALSE))</f>
        <v>307</v>
      </c>
      <c r="H24" s="119">
        <f>IF(VLOOKUP('Hide - Control'!A$3,'All practice data'!A:CA,C24+30,FALSE)=" "," ",VLOOKUP('Hide - Control'!A$3,'All practice data'!A:CA,C24+30,FALSE))</f>
        <v>1.587449493</v>
      </c>
      <c r="I24" s="212">
        <f>IF(LEFT(VLOOKUP('Hide - Control'!A$3,'All practice data'!A:CA,C24+44,FALSE),1)=" "," n/a",VLOOKUP('Hide - Control'!A$3,'All practice data'!A:CA,C24+44,FALSE))</f>
        <v>1.414822845</v>
      </c>
      <c r="J24" s="212">
        <f>IF(LEFT(VLOOKUP('Hide - Control'!A$3,'All practice data'!A:CA,C24+45,FALSE),1)=" "," n/a",VLOOKUP('Hide - Control'!A$3,'All practice data'!A:CA,C24+45,FALSE))</f>
        <v>1.775328979</v>
      </c>
      <c r="K24" s="152" t="s">
        <v>511</v>
      </c>
      <c r="L24" s="213">
        <v>1</v>
      </c>
      <c r="M24" s="152">
        <f>IF(ISBLANK('Hide - Calculation'!K18),"",'Hide - Calculation'!U18)</f>
        <v>0.32112357020378113</v>
      </c>
      <c r="N24" s="86"/>
      <c r="O24" s="87"/>
      <c r="P24" s="87"/>
      <c r="Q24" s="87"/>
      <c r="R24" s="84"/>
      <c r="S24" s="84"/>
      <c r="T24" s="84"/>
      <c r="U24" s="84"/>
      <c r="V24" s="84"/>
      <c r="W24" s="84"/>
      <c r="X24" s="84"/>
      <c r="Y24" s="84"/>
      <c r="Z24" s="88"/>
      <c r="AA24" s="152">
        <f>IF(ISBLANK('Hide - Calculation'!K18),"",'Hide - Calculation'!T18)</f>
        <v>1.587449550628662</v>
      </c>
      <c r="AB24" s="234" t="s">
        <v>26</v>
      </c>
      <c r="AC24" s="131" t="s">
        <v>483</v>
      </c>
    </row>
    <row r="25" spans="2:29" s="63" customFormat="1" ht="33.75" customHeight="1">
      <c r="B25" s="306"/>
      <c r="C25" s="137">
        <v>13</v>
      </c>
      <c r="D25" s="147" t="s">
        <v>310</v>
      </c>
      <c r="E25" s="85"/>
      <c r="F25" s="85"/>
      <c r="G25" s="118">
        <f>IF(VLOOKUP('Hide - Control'!A$3,'All practice data'!A:CA,C25+4,FALSE)=" "," ",VLOOKUP('Hide - Control'!A$3,'All practice data'!A:CA,C25+4,FALSE))</f>
        <v>35</v>
      </c>
      <c r="H25" s="119">
        <f>IF(VLOOKUP('Hide - Control'!A$3,'All practice data'!A:CA,C25+30,FALSE)=" "," ",VLOOKUP('Hide - Control'!A$3,'All practice data'!A:CA,C25+30,FALSE))</f>
        <v>0.11400651465798045</v>
      </c>
      <c r="I25" s="120">
        <f>IF(LEFT(G25,1)=" "," n/a",IF(G25=0," n/a",+((2*G25+1.96^2-1.96*SQRT(1.96^2+4*G25*(1-G25/G23)))/(2*(G23+1.96^2)))))</f>
        <v>0.08312444124387179</v>
      </c>
      <c r="J25" s="120">
        <f>IF(LEFT(G25,1)=" "," n/a",IF(G25=0," n/a",+((2*G25+1.96^2+1.96*SQRT(1.96^2+4*G25*(1-G25/G23)))/(2*(G23+1.96^2)))))</f>
        <v>0.15442934821030682</v>
      </c>
      <c r="K25" s="125">
        <f>IF('Hide - Calculation'!N19="","",'Hide - Calculation'!N19)</f>
        <v>0.13719841555635579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0.2711864411830902</v>
      </c>
      <c r="AB25" s="234" t="s">
        <v>26</v>
      </c>
      <c r="AC25" s="131" t="s">
        <v>483</v>
      </c>
    </row>
    <row r="26" spans="2:29" s="63" customFormat="1" ht="33.75" customHeight="1">
      <c r="B26" s="306"/>
      <c r="C26" s="137">
        <v>14</v>
      </c>
      <c r="D26" s="147" t="s">
        <v>452</v>
      </c>
      <c r="E26" s="85"/>
      <c r="F26" s="85"/>
      <c r="G26" s="121">
        <f>IF(VLOOKUP('Hide - Control'!A$3,'All practice data'!A:CA,C26+4,FALSE)=" "," ",VLOOKUP('Hide - Control'!A$3,'All practice data'!A:CA,C26+4,FALSE))</f>
        <v>70</v>
      </c>
      <c r="H26" s="119">
        <f>IF(VLOOKUP('Hide - Control'!A$3,'All practice data'!A:CA,C26+30,FALSE)=" "," ",VLOOKUP('Hide - Control'!A$3,'All practice data'!A:CA,C26+30,FALSE))</f>
        <v>0.5</v>
      </c>
      <c r="I26" s="120">
        <f>IF(OR(LEFT(G26,1)=" ",LEFT(G25,1)=" ")," n/a",IF(G26=0," n/a",+((2*G25+1.96^2-1.96*SQRT(1.96^2+4*G25*(1-G25/G26)))/(2*(G26+1.96^2)))))</f>
        <v>0.3859551898733622</v>
      </c>
      <c r="J26" s="120">
        <f>IF(OR(LEFT(G26,1)=" ",LEFT(G25,1)=" ")," n/a",IF(G26=0," n/a",+((2*G25+1.96^2+1.96*SQRT(1.96^2+4*G25*(1-G25/G26)))/(2*(G26+1.96^2)))))</f>
        <v>0.6140448101266378</v>
      </c>
      <c r="K26" s="125">
        <f>IF('Hide - Calculation'!N20="","",'Hide - Calculation'!N20)</f>
        <v>0.450887573964497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483</v>
      </c>
    </row>
    <row r="27" spans="2:29" s="63" customFormat="1" ht="33.75" customHeight="1">
      <c r="B27" s="306"/>
      <c r="C27" s="137">
        <v>15</v>
      </c>
      <c r="D27" s="147" t="s">
        <v>439</v>
      </c>
      <c r="E27" s="85"/>
      <c r="F27" s="85"/>
      <c r="G27" s="121">
        <f>IF(VLOOKUP('Hide - Control'!A$3,'All practice data'!A:CA,C27+4,FALSE)=" "," ",VLOOKUP('Hide - Control'!A$3,'All practice data'!A:CA,C27+4,FALSE))</f>
        <v>38</v>
      </c>
      <c r="H27" s="122">
        <f>IF(VLOOKUP('Hide - Control'!A$3,'All practice data'!A:CA,C27+30,FALSE)=" "," ",VLOOKUP('Hide - Control'!A$3,'All practice data'!A:CA,C27+30,FALSE))</f>
        <v>352.76643148904566</v>
      </c>
      <c r="I27" s="123">
        <f>IF(LEFT(G27,1)=" "," n/a",IF(G27&lt;5,100000*VLOOKUP(G27,'Hide - Calculation'!AQ:AR,2,FALSE)/$E$8,100000*(G27*(1-1/(9*G27)-1.96/(3*SQRT(G27)))^3)/$E$8))</f>
        <v>249.60538611031026</v>
      </c>
      <c r="J27" s="123">
        <f>IF(LEFT(G27,1)=" "," n/a",IF(G27&lt;5,100000*VLOOKUP(G27,'Hide - Calculation'!AQ:AS,3,FALSE)/$E$8,100000*((G27+1)*(1-1/(9*(G27+1))+1.96/(3*SQRT(G27+1)))^3)/$E$8))</f>
        <v>484.2156187801714</v>
      </c>
      <c r="K27" s="122">
        <f>IF('Hide - Calculation'!N21="","",'Hide - Calculation'!N21)</f>
        <v>344.768877160126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515.1793823242188</v>
      </c>
      <c r="AB27" s="234" t="s">
        <v>26</v>
      </c>
      <c r="AC27" s="131" t="s">
        <v>483</v>
      </c>
    </row>
    <row r="28" spans="2:29" s="63" customFormat="1" ht="33.75" customHeight="1">
      <c r="B28" s="306"/>
      <c r="C28" s="137">
        <v>16</v>
      </c>
      <c r="D28" s="147" t="s">
        <v>440</v>
      </c>
      <c r="E28" s="85"/>
      <c r="F28" s="85"/>
      <c r="G28" s="121">
        <f>IF(VLOOKUP('Hide - Control'!A$3,'All practice data'!A:CA,C28+4,FALSE)=" "," ",VLOOKUP('Hide - Control'!A$3,'All practice data'!A:CA,C28+4,FALSE))</f>
        <v>42</v>
      </c>
      <c r="H28" s="122">
        <f>IF(VLOOKUP('Hide - Control'!A$3,'All practice data'!A:CA,C28+30,FALSE)=" "," ",VLOOKUP('Hide - Control'!A$3,'All practice data'!A:CA,C28+30,FALSE))</f>
        <v>389.89974006683997</v>
      </c>
      <c r="I28" s="123">
        <f>IF(LEFT(G28,1)=" "," n/a",IF(G28&lt;5,100000*VLOOKUP(G28,'Hide - Calculation'!AQ:AR,2,FALSE)/$E$8,100000*(G28*(1-1/(9*G28)-1.96/(3*SQRT(G28)))^3)/$E$8))</f>
        <v>280.97409559561396</v>
      </c>
      <c r="J28" s="123">
        <f>IF(LEFT(G28,1)=" "," n/a",IF(G28&lt;5,100000*VLOOKUP(G28,'Hide - Calculation'!AQ:AS,3,FALSE)/$E$8,100000*((G28+1)*(1-1/(9*(G28+1))+1.96/(3*SQRT(G28+1)))^3)/$E$8))</f>
        <v>527.0471869025946</v>
      </c>
      <c r="K28" s="122">
        <f>IF('Hide - Calculation'!N22="","",'Hide - Calculation'!N22)</f>
        <v>287.3073976334383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434.8417053222656</v>
      </c>
      <c r="AB28" s="234" t="s">
        <v>26</v>
      </c>
      <c r="AC28" s="131" t="s">
        <v>483</v>
      </c>
    </row>
    <row r="29" spans="2:29" s="63" customFormat="1" ht="33.75" customHeight="1">
      <c r="B29" s="306"/>
      <c r="C29" s="137">
        <v>17</v>
      </c>
      <c r="D29" s="147" t="s">
        <v>441</v>
      </c>
      <c r="E29" s="85"/>
      <c r="F29" s="85"/>
      <c r="G29" s="121">
        <f>IF(VLOOKUP('Hide - Control'!A$3,'All practice data'!A:CA,C29+4,FALSE)=" "," ",VLOOKUP('Hide - Control'!A$3,'All practice data'!A:CA,C29+4,FALSE))</f>
        <v>11</v>
      </c>
      <c r="H29" s="122">
        <f>IF(VLOOKUP('Hide - Control'!A$3,'All practice data'!A:CA,C29+30,FALSE)=" "," ",VLOOKUP('Hide - Control'!A$3,'All practice data'!A:CA,C29+30,FALSE))</f>
        <v>102.11659858893428</v>
      </c>
      <c r="I29" s="123">
        <f>IF(LEFT(G29,1)=" "," n/a",IF(G29&lt;5,100000*VLOOKUP(G29,'Hide - Calculation'!AQ:AR,2,FALSE)/$E$8,100000*(G29*(1-1/(9*G29)-1.96/(3*SQRT(G29)))^3)/$E$8))</f>
        <v>50.90619289816919</v>
      </c>
      <c r="J29" s="123">
        <f>IF(LEFT(G29,1)=" "," n/a",IF(G29&lt;5,100000*VLOOKUP(G29,'Hide - Calculation'!AQ:AS,3,FALSE)/$E$8,100000*((G29+1)*(1-1/(9*(G29+1))+1.96/(3*SQRT(G29+1)))^3)/$E$8))</f>
        <v>182.72754028419817</v>
      </c>
      <c r="K29" s="122">
        <f>IF('Hide - Calculation'!N23="","",'Hide - Calculation'!N23)</f>
        <v>102.15374138077807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229.09507751464844</v>
      </c>
      <c r="AB29" s="234" t="s">
        <v>26</v>
      </c>
      <c r="AC29" s="131" t="s">
        <v>483</v>
      </c>
    </row>
    <row r="30" spans="2:29" s="63" customFormat="1" ht="33.75" customHeight="1" thickBot="1">
      <c r="B30" s="309"/>
      <c r="C30" s="180">
        <v>18</v>
      </c>
      <c r="D30" s="181" t="s">
        <v>442</v>
      </c>
      <c r="E30" s="182"/>
      <c r="F30" s="182"/>
      <c r="G30" s="183">
        <f>IF(VLOOKUP('Hide - Control'!A$3,'All practice data'!A:CA,C30+4,FALSE)=" "," ",VLOOKUP('Hide - Control'!A$3,'All practice data'!A:CA,C30+4,FALSE))</f>
        <v>56</v>
      </c>
      <c r="H30" s="184">
        <f>IF(VLOOKUP('Hide - Control'!A$3,'All practice data'!A:CA,C30+30,FALSE)=" "," ",VLOOKUP('Hide - Control'!A$3,'All practice data'!A:CA,C30+30,FALSE))</f>
        <v>519.86632008912</v>
      </c>
      <c r="I30" s="185">
        <f>IF(LEFT(G30,1)=" "," n/a",IF(G30&lt;5,100000*VLOOKUP(G30,'Hide - Calculation'!AQ:AR,2,FALSE)/$E$8,100000*(G30*(1-1/(9*G30)-1.96/(3*SQRT(G30)))^3)/$E$8))</f>
        <v>392.6745568152568</v>
      </c>
      <c r="J30" s="185">
        <f>IF(LEFT(G30,1)=" "," n/a",IF(G30&lt;5,100000*VLOOKUP(G30,'Hide - Calculation'!AQ:AS,3,FALSE)/$E$8,100000*((G30+1)*(1-1/(9*(G30+1))+1.96/(3*SQRT(G30+1)))^3)/$E$8))</f>
        <v>675.1051951615052</v>
      </c>
      <c r="K30" s="184">
        <f>IF('Hide - Calculation'!N24="","",'Hide - Calculation'!N24)</f>
        <v>333.4184614511507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687.929931640625</v>
      </c>
      <c r="AB30" s="235" t="s">
        <v>26</v>
      </c>
      <c r="AC30" s="189" t="s">
        <v>483</v>
      </c>
    </row>
    <row r="31" spans="2:29" s="63" customFormat="1" ht="33.75" customHeight="1">
      <c r="B31" s="304" t="s">
        <v>312</v>
      </c>
      <c r="C31" s="163">
        <v>19</v>
      </c>
      <c r="D31" s="164" t="s">
        <v>316</v>
      </c>
      <c r="E31" s="165"/>
      <c r="F31" s="165"/>
      <c r="G31" s="166">
        <f>IF(VLOOKUP('Hide - Control'!A$3,'All practice data'!A:CA,C31+4,FALSE)=" "," ",VLOOKUP('Hide - Control'!A$3,'All practice data'!A:CA,C31+4,FALSE))</f>
        <v>52</v>
      </c>
      <c r="H31" s="167">
        <f>IF(VLOOKUP('Hide - Control'!A$3,'All practice data'!A:CA,C31+30,FALSE)=" "," ",VLOOKUP('Hide - Control'!A$3,'All practice data'!A:CA,C31+30,FALSE))</f>
        <v>482.7330115113257</v>
      </c>
      <c r="I31" s="168">
        <f>IF(LEFT(G31,1)=" "," n/a",IF(G31&lt;5,100000*VLOOKUP(G31,'Hide - Calculation'!AQ:AR,2,FALSE)/$E$8,100000*(G31*(1-1/(9*G31)-1.96/(3*SQRT(G31)))^3)/$E$8))</f>
        <v>360.50016869150056</v>
      </c>
      <c r="J31" s="168">
        <f>IF(LEFT(G31,1)=" "," n/a",IF(G31&lt;5,100000*VLOOKUP(G31,'Hide - Calculation'!AQ:AS,3,FALSE)/$E$8,100000*((G31+1)*(1-1/(9*(G31+1))+1.96/(3*SQRT(G31+1)))^3)/$E$8))</f>
        <v>633.0557898358458</v>
      </c>
      <c r="K31" s="167">
        <f>IF('Hide - Calculation'!N25="","",'Hide - Calculation'!N25)</f>
        <v>489.48667744956157</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720.20654296875</v>
      </c>
      <c r="AB31" s="233" t="s">
        <v>47</v>
      </c>
      <c r="AC31" s="175" t="s">
        <v>483</v>
      </c>
    </row>
    <row r="32" spans="2:29" s="63" customFormat="1" ht="33.75" customHeight="1">
      <c r="B32" s="305"/>
      <c r="C32" s="137">
        <v>20</v>
      </c>
      <c r="D32" s="132" t="s">
        <v>317</v>
      </c>
      <c r="E32" s="85"/>
      <c r="F32" s="85"/>
      <c r="G32" s="121">
        <f>IF(VLOOKUP('Hide - Control'!A$3,'All practice data'!A:CA,C32+4,FALSE)=" "," ",VLOOKUP('Hide - Control'!A$3,'All practice data'!A:CA,C32+4,FALSE))</f>
        <v>49</v>
      </c>
      <c r="H32" s="122">
        <f>IF(VLOOKUP('Hide - Control'!A$3,'All practice data'!A:CA,C32+30,FALSE)=" "," ",VLOOKUP('Hide - Control'!A$3,'All practice data'!A:CA,C32+30,FALSE))</f>
        <v>454.8830300779799</v>
      </c>
      <c r="I32" s="123">
        <f>IF(LEFT(G32,1)=" "," n/a",IF(G32&lt;5,100000*VLOOKUP(G32,'Hide - Calculation'!AQ:AR,2,FALSE)/$E$8,100000*(G32*(1-1/(9*G32)-1.96/(3*SQRT(G32)))^3)/$E$8))</f>
        <v>336.4961422534722</v>
      </c>
      <c r="J32" s="123">
        <f>IF(LEFT(G32,1)=" "," n/a",IF(G32&lt;5,100000*VLOOKUP(G32,'Hide - Calculation'!AQ:AS,3,FALSE)/$E$8,100000*((G32+1)*(1-1/(9*(G32+1))+1.96/(3*SQRT(G32+1)))^3)/$E$8))</f>
        <v>601.395260599646</v>
      </c>
      <c r="K32" s="122">
        <f>IF('Hide - Calculation'!N26="","",'Hide - Calculation'!N26)</f>
        <v>475.2986578133424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679.3478393554688</v>
      </c>
      <c r="AB32" s="234" t="s">
        <v>47</v>
      </c>
      <c r="AC32" s="131" t="s">
        <v>483</v>
      </c>
    </row>
    <row r="33" spans="2:29" s="63" customFormat="1" ht="33.75" customHeight="1">
      <c r="B33" s="305"/>
      <c r="C33" s="137">
        <v>21</v>
      </c>
      <c r="D33" s="132" t="s">
        <v>319</v>
      </c>
      <c r="E33" s="85"/>
      <c r="F33" s="85"/>
      <c r="G33" s="121">
        <f>IF(VLOOKUP('Hide - Control'!A$3,'All practice data'!A:CA,C33+4,FALSE)=" "," ",VLOOKUP('Hide - Control'!A$3,'All practice data'!A:CA,C33+4,FALSE))</f>
        <v>133</v>
      </c>
      <c r="H33" s="122">
        <f>IF(VLOOKUP('Hide - Control'!A$3,'All practice data'!A:CA,C33+30,FALSE)=" "," ",VLOOKUP('Hide - Control'!A$3,'All practice data'!A:CA,C33+30,FALSE))</f>
        <v>1234.6825102116597</v>
      </c>
      <c r="I33" s="123">
        <f>IF(LEFT(G33,1)=" "," n/a",IF(G33&lt;5,100000*VLOOKUP(G33,'Hide - Calculation'!AQ:AR,2,FALSE)/$E$8,100000*(G33*(1-1/(9*G33)-1.96/(3*SQRT(G33)))^3)/$E$8))</f>
        <v>1033.7556290605796</v>
      </c>
      <c r="J33" s="123">
        <f>IF(LEFT(G33,1)=" "," n/a",IF(G33&lt;5,100000*VLOOKUP(G33,'Hide - Calculation'!AQ:AS,3,FALSE)/$E$8,100000*((G33+1)*(1-1/(9*(G33+1))+1.96/(3*SQRT(G33+1)))^3)/$E$8))</f>
        <v>1463.252274630014</v>
      </c>
      <c r="K33" s="122">
        <f>IF('Hide - Calculation'!N27="","",'Hide - Calculation'!N27)</f>
        <v>1055.5886609347067</v>
      </c>
      <c r="L33" s="156">
        <f>'Hide - Calculation'!O27</f>
        <v>1059.3522061277838</v>
      </c>
      <c r="M33" s="148">
        <f>IF(ISBLANK('Hide - Calculation'!K27),"",'Hide - Calculation'!U27)</f>
        <v>496.3726501464844</v>
      </c>
      <c r="N33" s="86"/>
      <c r="O33" s="87"/>
      <c r="P33" s="87"/>
      <c r="Q33" s="87"/>
      <c r="R33" s="84"/>
      <c r="S33" s="84"/>
      <c r="T33" s="84"/>
      <c r="U33" s="84"/>
      <c r="V33" s="84"/>
      <c r="W33" s="84"/>
      <c r="X33" s="84"/>
      <c r="Y33" s="84"/>
      <c r="Z33" s="88"/>
      <c r="AA33" s="148">
        <f>IF(ISBLANK('Hide - Calculation'!K27),"",'Hide - Calculation'!T27)</f>
        <v>1413.2354736328125</v>
      </c>
      <c r="AB33" s="234" t="s">
        <v>47</v>
      </c>
      <c r="AC33" s="131" t="s">
        <v>483</v>
      </c>
    </row>
    <row r="34" spans="2:29" s="63" customFormat="1" ht="33.75" customHeight="1">
      <c r="B34" s="305"/>
      <c r="C34" s="137">
        <v>22</v>
      </c>
      <c r="D34" s="132" t="s">
        <v>318</v>
      </c>
      <c r="E34" s="85"/>
      <c r="F34" s="85"/>
      <c r="G34" s="118">
        <f>IF(VLOOKUP('Hide - Control'!A$3,'All practice data'!A:CA,C34+4,FALSE)=" "," ",VLOOKUP('Hide - Control'!A$3,'All practice data'!A:CA,C34+4,FALSE))</f>
        <v>92</v>
      </c>
      <c r="H34" s="122">
        <f>IF(VLOOKUP('Hide - Control'!A$3,'All practice data'!A:CA,C34+30,FALSE)=" "," ",VLOOKUP('Hide - Control'!A$3,'All practice data'!A:CA,C34+30,FALSE))</f>
        <v>854.0660972892684</v>
      </c>
      <c r="I34" s="123">
        <f>IF(LEFT(G34,1)=" "," n/a",IF(G34&lt;5,100000*VLOOKUP(G34,'Hide - Calculation'!AQ:AR,2,FALSE)/$E$8,100000*(G34*(1-1/(9*G34)-1.96/(3*SQRT(G34)))^3)/$E$8))</f>
        <v>688.4766459765497</v>
      </c>
      <c r="J34" s="123">
        <f>IF(LEFT(G34,1)=" "," n/a",IF(G34&lt;5,100000*VLOOKUP(G34,'Hide - Calculation'!AQ:AS,3,FALSE)/$E$8,100000*((G34+1)*(1-1/(9*(G34+1))+1.96/(3*SQRT(G34+1)))^3)/$E$8))</f>
        <v>1047.4508289451496</v>
      </c>
      <c r="K34" s="122">
        <f>IF('Hide - Calculation'!N28="","",'Hide - Calculation'!N28)</f>
        <v>780.3410799920547</v>
      </c>
      <c r="L34" s="156">
        <f>'Hide - Calculation'!O28</f>
        <v>582.9390489900089</v>
      </c>
      <c r="M34" s="148">
        <f>IF(ISBLANK('Hide - Calculation'!K28),"",'Hide - Calculation'!U28)</f>
        <v>381.82513427734375</v>
      </c>
      <c r="N34" s="86"/>
      <c r="O34" s="87"/>
      <c r="P34" s="87"/>
      <c r="Q34" s="87"/>
      <c r="R34" s="84"/>
      <c r="S34" s="84"/>
      <c r="T34" s="84"/>
      <c r="U34" s="84"/>
      <c r="V34" s="84"/>
      <c r="W34" s="84"/>
      <c r="X34" s="84"/>
      <c r="Y34" s="84"/>
      <c r="Z34" s="88"/>
      <c r="AA34" s="148">
        <f>IF(ISBLANK('Hide - Calculation'!K28),"",'Hide - Calculation'!T28)</f>
        <v>1403.281494140625</v>
      </c>
      <c r="AB34" s="234" t="s">
        <v>47</v>
      </c>
      <c r="AC34" s="131" t="s">
        <v>483</v>
      </c>
    </row>
    <row r="35" spans="2:29" s="63" customFormat="1" ht="33.75" customHeight="1">
      <c r="B35" s="305"/>
      <c r="C35" s="137">
        <v>23</v>
      </c>
      <c r="D35" s="138" t="s">
        <v>443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304</v>
      </c>
      <c r="AC35" s="131">
        <v>2008</v>
      </c>
    </row>
    <row r="36" spans="2:29" ht="33.75" customHeight="1">
      <c r="B36" s="306"/>
      <c r="C36" s="137">
        <v>24</v>
      </c>
      <c r="D36" s="224" t="s">
        <v>444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304</v>
      </c>
      <c r="AC36" s="131">
        <v>2008</v>
      </c>
    </row>
    <row r="37" spans="2:29" ht="33.75" customHeight="1" thickBot="1">
      <c r="B37" s="307"/>
      <c r="C37" s="176">
        <v>25</v>
      </c>
      <c r="D37" s="177" t="s">
        <v>320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304</v>
      </c>
      <c r="AC37" s="149">
        <v>2008</v>
      </c>
    </row>
    <row r="38" spans="2:29" ht="16.5" customHeight="1">
      <c r="B38" s="69"/>
      <c r="C38" s="69"/>
      <c r="D38" s="65" t="s">
        <v>302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510</v>
      </c>
      <c r="C39" s="244"/>
      <c r="D39" s="244"/>
      <c r="E39" s="303" t="s">
        <v>514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468</v>
      </c>
      <c r="BE2" s="341"/>
      <c r="BF2" s="341"/>
      <c r="BG2" s="341"/>
      <c r="BH2" s="341"/>
      <c r="BI2" s="341"/>
      <c r="BJ2" s="342"/>
    </row>
    <row r="3" spans="1:82" s="72" customFormat="1" ht="76.5" customHeight="1">
      <c r="A3" s="266" t="s">
        <v>276</v>
      </c>
      <c r="B3" s="275" t="s">
        <v>277</v>
      </c>
      <c r="C3" s="276" t="s">
        <v>49</v>
      </c>
      <c r="D3" s="274" t="s">
        <v>453</v>
      </c>
      <c r="E3" s="267" t="s">
        <v>325</v>
      </c>
      <c r="F3" s="267" t="s">
        <v>436</v>
      </c>
      <c r="G3" s="267" t="s">
        <v>327</v>
      </c>
      <c r="H3" s="267" t="s">
        <v>328</v>
      </c>
      <c r="I3" s="267" t="s">
        <v>329</v>
      </c>
      <c r="J3" s="267" t="s">
        <v>477</v>
      </c>
      <c r="K3" s="267" t="s">
        <v>478</v>
      </c>
      <c r="L3" s="267" t="s">
        <v>479</v>
      </c>
      <c r="M3" s="267" t="s">
        <v>330</v>
      </c>
      <c r="N3" s="267" t="s">
        <v>331</v>
      </c>
      <c r="O3" s="267" t="s">
        <v>332</v>
      </c>
      <c r="P3" s="267" t="s">
        <v>467</v>
      </c>
      <c r="Q3" s="267" t="s">
        <v>333</v>
      </c>
      <c r="R3" s="267" t="s">
        <v>334</v>
      </c>
      <c r="S3" s="267" t="s">
        <v>335</v>
      </c>
      <c r="T3" s="267" t="s">
        <v>336</v>
      </c>
      <c r="U3" s="267" t="s">
        <v>337</v>
      </c>
      <c r="V3" s="267" t="s">
        <v>338</v>
      </c>
      <c r="W3" s="267" t="s">
        <v>339</v>
      </c>
      <c r="X3" s="267" t="s">
        <v>340</v>
      </c>
      <c r="Y3" s="267" t="s">
        <v>341</v>
      </c>
      <c r="Z3" s="267" t="s">
        <v>342</v>
      </c>
      <c r="AA3" s="267" t="s">
        <v>343</v>
      </c>
      <c r="AB3" s="267" t="s">
        <v>344</v>
      </c>
      <c r="AC3" s="267" t="s">
        <v>345</v>
      </c>
      <c r="AD3" s="268" t="s">
        <v>346</v>
      </c>
      <c r="AE3" s="268" t="s">
        <v>325</v>
      </c>
      <c r="AF3" s="269" t="s">
        <v>326</v>
      </c>
      <c r="AG3" s="268" t="s">
        <v>327</v>
      </c>
      <c r="AH3" s="268" t="s">
        <v>328</v>
      </c>
      <c r="AI3" s="268" t="s">
        <v>329</v>
      </c>
      <c r="AJ3" s="268" t="s">
        <v>477</v>
      </c>
      <c r="AK3" s="268" t="s">
        <v>478</v>
      </c>
      <c r="AL3" s="268" t="s">
        <v>479</v>
      </c>
      <c r="AM3" s="268" t="s">
        <v>330</v>
      </c>
      <c r="AN3" s="268" t="s">
        <v>331</v>
      </c>
      <c r="AO3" s="268" t="s">
        <v>332</v>
      </c>
      <c r="AP3" s="268" t="s">
        <v>467</v>
      </c>
      <c r="AQ3" s="268" t="s">
        <v>333</v>
      </c>
      <c r="AR3" s="268" t="s">
        <v>334</v>
      </c>
      <c r="AS3" s="268" t="s">
        <v>335</v>
      </c>
      <c r="AT3" s="268" t="s">
        <v>336</v>
      </c>
      <c r="AU3" s="268" t="s">
        <v>337</v>
      </c>
      <c r="AV3" s="268" t="s">
        <v>338</v>
      </c>
      <c r="AW3" s="268" t="s">
        <v>339</v>
      </c>
      <c r="AX3" s="268" t="s">
        <v>340</v>
      </c>
      <c r="AY3" s="270" t="s">
        <v>341</v>
      </c>
      <c r="AZ3" s="271" t="s">
        <v>342</v>
      </c>
      <c r="BA3" s="271" t="s">
        <v>343</v>
      </c>
      <c r="BB3" s="271" t="s">
        <v>344</v>
      </c>
      <c r="BC3" s="272" t="s">
        <v>345</v>
      </c>
      <c r="BD3" s="273" t="s">
        <v>465</v>
      </c>
      <c r="BE3" s="273" t="s">
        <v>466</v>
      </c>
      <c r="BF3" s="273" t="s">
        <v>473</v>
      </c>
      <c r="BG3" s="273" t="s">
        <v>474</v>
      </c>
      <c r="BH3" s="273" t="s">
        <v>472</v>
      </c>
      <c r="BI3" s="273" t="s">
        <v>475</v>
      </c>
      <c r="BJ3" s="273" t="s">
        <v>476</v>
      </c>
      <c r="BK3" s="73"/>
      <c r="BL3" s="73"/>
      <c r="BM3" s="73"/>
      <c r="BN3" s="73"/>
      <c r="BO3" s="73"/>
      <c r="BP3" s="73"/>
      <c r="BQ3" s="73"/>
      <c r="BR3" s="73"/>
      <c r="BS3" s="73"/>
      <c r="BT3" s="73"/>
      <c r="BU3" s="73"/>
      <c r="BV3" s="73"/>
      <c r="BW3" s="73"/>
      <c r="BX3" s="73"/>
      <c r="BY3" s="73"/>
      <c r="BZ3" s="73"/>
      <c r="CA3" s="73"/>
      <c r="CB3" s="73"/>
      <c r="CC3" s="73"/>
      <c r="CD3" s="73"/>
    </row>
    <row r="4" spans="1:66" ht="12.75">
      <c r="A4" s="79" t="s">
        <v>488</v>
      </c>
      <c r="B4" s="79" t="s">
        <v>285</v>
      </c>
      <c r="C4" s="79" t="s">
        <v>103</v>
      </c>
      <c r="D4" s="99">
        <v>10772</v>
      </c>
      <c r="E4" s="99">
        <v>1687</v>
      </c>
      <c r="F4" s="99" t="s">
        <v>323</v>
      </c>
      <c r="G4" s="99">
        <v>55</v>
      </c>
      <c r="H4" s="99">
        <v>34</v>
      </c>
      <c r="I4" s="99">
        <v>167</v>
      </c>
      <c r="J4" s="99">
        <v>801</v>
      </c>
      <c r="K4" s="99">
        <v>15</v>
      </c>
      <c r="L4" s="99">
        <v>1563</v>
      </c>
      <c r="M4" s="99">
        <v>534</v>
      </c>
      <c r="N4" s="99">
        <v>254</v>
      </c>
      <c r="O4" s="99">
        <v>307</v>
      </c>
      <c r="P4" s="159">
        <v>307</v>
      </c>
      <c r="Q4" s="99">
        <v>35</v>
      </c>
      <c r="R4" s="99">
        <v>70</v>
      </c>
      <c r="S4" s="99">
        <v>38</v>
      </c>
      <c r="T4" s="99">
        <v>42</v>
      </c>
      <c r="U4" s="99">
        <v>11</v>
      </c>
      <c r="V4" s="99">
        <v>56</v>
      </c>
      <c r="W4" s="99">
        <v>52</v>
      </c>
      <c r="X4" s="99">
        <v>49</v>
      </c>
      <c r="Y4" s="99">
        <v>133</v>
      </c>
      <c r="Z4" s="99">
        <v>92</v>
      </c>
      <c r="AA4" s="99" t="s">
        <v>513</v>
      </c>
      <c r="AB4" s="99" t="s">
        <v>513</v>
      </c>
      <c r="AC4" s="99" t="s">
        <v>513</v>
      </c>
      <c r="AD4" s="98" t="s">
        <v>302</v>
      </c>
      <c r="AE4" s="100">
        <v>0.15660972892684738</v>
      </c>
      <c r="AF4" s="100">
        <v>0.29</v>
      </c>
      <c r="AG4" s="98">
        <v>510.5829929446714</v>
      </c>
      <c r="AH4" s="98">
        <v>315.6331229112514</v>
      </c>
      <c r="AI4" s="100">
        <v>0.016</v>
      </c>
      <c r="AJ4" s="100">
        <v>0.663629</v>
      </c>
      <c r="AK4" s="100">
        <v>0.517241</v>
      </c>
      <c r="AL4" s="100">
        <v>0.650166</v>
      </c>
      <c r="AM4" s="100">
        <v>0.489459</v>
      </c>
      <c r="AN4" s="100">
        <v>0.520492</v>
      </c>
      <c r="AO4" s="98">
        <v>2849.981433345711</v>
      </c>
      <c r="AP4" s="158">
        <v>1.587449493</v>
      </c>
      <c r="AQ4" s="100">
        <v>0.11400651465798045</v>
      </c>
      <c r="AR4" s="100">
        <v>0.5</v>
      </c>
      <c r="AS4" s="98">
        <v>352.76643148904566</v>
      </c>
      <c r="AT4" s="98">
        <v>389.89974006683997</v>
      </c>
      <c r="AU4" s="98">
        <v>102.11659858893428</v>
      </c>
      <c r="AV4" s="98">
        <v>519.86632008912</v>
      </c>
      <c r="AW4" s="98">
        <v>482.7330115113257</v>
      </c>
      <c r="AX4" s="98">
        <v>454.8830300779799</v>
      </c>
      <c r="AY4" s="98">
        <v>1234.6825102116597</v>
      </c>
      <c r="AZ4" s="98">
        <v>854.0660972892684</v>
      </c>
      <c r="BA4" s="100" t="s">
        <v>513</v>
      </c>
      <c r="BB4" s="100" t="s">
        <v>513</v>
      </c>
      <c r="BC4" s="100" t="s">
        <v>513</v>
      </c>
      <c r="BD4" s="158">
        <v>1.414822845</v>
      </c>
      <c r="BE4" s="158">
        <v>1.775328979</v>
      </c>
      <c r="BF4" s="162">
        <v>1207</v>
      </c>
      <c r="BG4" s="162">
        <v>29</v>
      </c>
      <c r="BH4" s="162">
        <v>2404</v>
      </c>
      <c r="BI4" s="162">
        <v>1091</v>
      </c>
      <c r="BJ4" s="162">
        <v>488</v>
      </c>
      <c r="BK4" s="97"/>
      <c r="BL4" s="97"/>
      <c r="BM4" s="97"/>
      <c r="BN4" s="97"/>
    </row>
    <row r="5" spans="1:66" ht="12.75">
      <c r="A5" s="79" t="s">
        <v>503</v>
      </c>
      <c r="B5" s="79" t="s">
        <v>299</v>
      </c>
      <c r="C5" s="79" t="s">
        <v>103</v>
      </c>
      <c r="D5" s="99">
        <v>1765</v>
      </c>
      <c r="E5" s="99">
        <v>313</v>
      </c>
      <c r="F5" s="99" t="s">
        <v>322</v>
      </c>
      <c r="G5" s="99">
        <v>8</v>
      </c>
      <c r="H5" s="99" t="s">
        <v>513</v>
      </c>
      <c r="I5" s="99">
        <v>19</v>
      </c>
      <c r="J5" s="99">
        <v>110</v>
      </c>
      <c r="K5" s="99" t="s">
        <v>513</v>
      </c>
      <c r="L5" s="99">
        <v>305</v>
      </c>
      <c r="M5" s="99">
        <v>83</v>
      </c>
      <c r="N5" s="99">
        <v>38</v>
      </c>
      <c r="O5" s="99">
        <v>43</v>
      </c>
      <c r="P5" s="159">
        <v>43</v>
      </c>
      <c r="Q5" s="99">
        <v>6</v>
      </c>
      <c r="R5" s="99">
        <v>10</v>
      </c>
      <c r="S5" s="99">
        <v>8</v>
      </c>
      <c r="T5" s="99">
        <v>7</v>
      </c>
      <c r="U5" s="99" t="s">
        <v>513</v>
      </c>
      <c r="V5" s="99" t="s">
        <v>513</v>
      </c>
      <c r="W5" s="99">
        <v>9</v>
      </c>
      <c r="X5" s="99" t="s">
        <v>513</v>
      </c>
      <c r="Y5" s="99">
        <v>24</v>
      </c>
      <c r="Z5" s="99">
        <v>13</v>
      </c>
      <c r="AA5" s="99" t="s">
        <v>513</v>
      </c>
      <c r="AB5" s="99" t="s">
        <v>513</v>
      </c>
      <c r="AC5" s="99" t="s">
        <v>513</v>
      </c>
      <c r="AD5" s="98" t="s">
        <v>302</v>
      </c>
      <c r="AE5" s="100">
        <v>0.1773371104815864</v>
      </c>
      <c r="AF5" s="100">
        <v>0.2</v>
      </c>
      <c r="AG5" s="98">
        <v>453.25779036827197</v>
      </c>
      <c r="AH5" s="98" t="s">
        <v>513</v>
      </c>
      <c r="AI5" s="100">
        <v>0.011000000000000001</v>
      </c>
      <c r="AJ5" s="100">
        <v>0.582011</v>
      </c>
      <c r="AK5" s="100" t="s">
        <v>513</v>
      </c>
      <c r="AL5" s="100">
        <v>0.753086</v>
      </c>
      <c r="AM5" s="100">
        <v>0.446237</v>
      </c>
      <c r="AN5" s="100">
        <v>0.535211</v>
      </c>
      <c r="AO5" s="98">
        <v>2436.2606232294615</v>
      </c>
      <c r="AP5" s="158">
        <v>1.3072625729999998</v>
      </c>
      <c r="AQ5" s="100">
        <v>0.13953488372093023</v>
      </c>
      <c r="AR5" s="100">
        <v>0.6</v>
      </c>
      <c r="AS5" s="98">
        <v>453.25779036827197</v>
      </c>
      <c r="AT5" s="98">
        <v>396.60056657223794</v>
      </c>
      <c r="AU5" s="98" t="s">
        <v>513</v>
      </c>
      <c r="AV5" s="98" t="s">
        <v>513</v>
      </c>
      <c r="AW5" s="98">
        <v>509.91501416430594</v>
      </c>
      <c r="AX5" s="98" t="s">
        <v>513</v>
      </c>
      <c r="AY5" s="98">
        <v>1359.7733711048159</v>
      </c>
      <c r="AZ5" s="98">
        <v>736.543909348442</v>
      </c>
      <c r="BA5" s="100" t="s">
        <v>513</v>
      </c>
      <c r="BB5" s="100" t="s">
        <v>513</v>
      </c>
      <c r="BC5" s="100" t="s">
        <v>513</v>
      </c>
      <c r="BD5" s="158">
        <v>0.9460723876999999</v>
      </c>
      <c r="BE5" s="158">
        <v>1.7608740230000002</v>
      </c>
      <c r="BF5" s="162">
        <v>189</v>
      </c>
      <c r="BG5" s="162" t="s">
        <v>513</v>
      </c>
      <c r="BH5" s="162">
        <v>405</v>
      </c>
      <c r="BI5" s="162">
        <v>186</v>
      </c>
      <c r="BJ5" s="162">
        <v>71</v>
      </c>
      <c r="BK5" s="97"/>
      <c r="BL5" s="97"/>
      <c r="BM5" s="97"/>
      <c r="BN5" s="97"/>
    </row>
    <row r="6" spans="1:66" ht="12.75">
      <c r="A6" s="79" t="s">
        <v>496</v>
      </c>
      <c r="B6" s="79" t="s">
        <v>293</v>
      </c>
      <c r="C6" s="79" t="s">
        <v>103</v>
      </c>
      <c r="D6" s="99">
        <v>12205</v>
      </c>
      <c r="E6" s="99">
        <v>1702</v>
      </c>
      <c r="F6" s="99" t="s">
        <v>323</v>
      </c>
      <c r="G6" s="99">
        <v>62</v>
      </c>
      <c r="H6" s="99">
        <v>39</v>
      </c>
      <c r="I6" s="99">
        <v>174</v>
      </c>
      <c r="J6" s="99">
        <v>763</v>
      </c>
      <c r="K6" s="99">
        <v>49</v>
      </c>
      <c r="L6" s="99">
        <v>1963</v>
      </c>
      <c r="M6" s="99">
        <v>557</v>
      </c>
      <c r="N6" s="99">
        <v>266</v>
      </c>
      <c r="O6" s="99">
        <v>238</v>
      </c>
      <c r="P6" s="159">
        <v>238</v>
      </c>
      <c r="Q6" s="99">
        <v>37</v>
      </c>
      <c r="R6" s="99">
        <v>70</v>
      </c>
      <c r="S6" s="99">
        <v>39</v>
      </c>
      <c r="T6" s="99">
        <v>25</v>
      </c>
      <c r="U6" s="99">
        <v>16</v>
      </c>
      <c r="V6" s="99">
        <v>44</v>
      </c>
      <c r="W6" s="99">
        <v>52</v>
      </c>
      <c r="X6" s="99">
        <v>48</v>
      </c>
      <c r="Y6" s="99">
        <v>134</v>
      </c>
      <c r="Z6" s="99">
        <v>77</v>
      </c>
      <c r="AA6" s="99" t="s">
        <v>513</v>
      </c>
      <c r="AB6" s="99" t="s">
        <v>513</v>
      </c>
      <c r="AC6" s="99" t="s">
        <v>513</v>
      </c>
      <c r="AD6" s="98" t="s">
        <v>302</v>
      </c>
      <c r="AE6" s="100">
        <v>0.1394510446538304</v>
      </c>
      <c r="AF6" s="100">
        <v>0.28</v>
      </c>
      <c r="AG6" s="98">
        <v>507.98852929127406</v>
      </c>
      <c r="AH6" s="98">
        <v>319.5411716509627</v>
      </c>
      <c r="AI6" s="100">
        <v>0.013999999999999999</v>
      </c>
      <c r="AJ6" s="100">
        <v>0.575415</v>
      </c>
      <c r="AK6" s="100">
        <v>0.583333</v>
      </c>
      <c r="AL6" s="100">
        <v>0.695606</v>
      </c>
      <c r="AM6" s="100">
        <v>0.449194</v>
      </c>
      <c r="AN6" s="100">
        <v>0.499062</v>
      </c>
      <c r="AO6" s="98">
        <v>1950.020483408439</v>
      </c>
      <c r="AP6" s="158">
        <v>1.134206467</v>
      </c>
      <c r="AQ6" s="100">
        <v>0.15546218487394958</v>
      </c>
      <c r="AR6" s="100">
        <v>0.5285714285714286</v>
      </c>
      <c r="AS6" s="98">
        <v>319.5411716509627</v>
      </c>
      <c r="AT6" s="98">
        <v>204.83408439164276</v>
      </c>
      <c r="AU6" s="98">
        <v>131.09381401065139</v>
      </c>
      <c r="AV6" s="98">
        <v>360.50798852929125</v>
      </c>
      <c r="AW6" s="98">
        <v>426.05489553461695</v>
      </c>
      <c r="AX6" s="98">
        <v>393.2814420319541</v>
      </c>
      <c r="AY6" s="98">
        <v>1097.9106923392053</v>
      </c>
      <c r="AZ6" s="98">
        <v>630.8889799262597</v>
      </c>
      <c r="BA6" s="100" t="s">
        <v>513</v>
      </c>
      <c r="BB6" s="100" t="s">
        <v>513</v>
      </c>
      <c r="BC6" s="100" t="s">
        <v>513</v>
      </c>
      <c r="BD6" s="158">
        <v>0.9946759796000001</v>
      </c>
      <c r="BE6" s="158">
        <v>1.2878297420000002</v>
      </c>
      <c r="BF6" s="162">
        <v>1326</v>
      </c>
      <c r="BG6" s="162">
        <v>84</v>
      </c>
      <c r="BH6" s="162">
        <v>2822</v>
      </c>
      <c r="BI6" s="162">
        <v>1240</v>
      </c>
      <c r="BJ6" s="162">
        <v>533</v>
      </c>
      <c r="BK6" s="97"/>
      <c r="BL6" s="97"/>
      <c r="BM6" s="97"/>
      <c r="BN6" s="97"/>
    </row>
    <row r="7" spans="1:66" ht="12.75">
      <c r="A7" s="79" t="s">
        <v>499</v>
      </c>
      <c r="B7" s="79" t="s">
        <v>295</v>
      </c>
      <c r="C7" s="79" t="s">
        <v>103</v>
      </c>
      <c r="D7" s="99">
        <v>4416</v>
      </c>
      <c r="E7" s="99">
        <v>673</v>
      </c>
      <c r="F7" s="99" t="s">
        <v>323</v>
      </c>
      <c r="G7" s="99">
        <v>25</v>
      </c>
      <c r="H7" s="99">
        <v>9</v>
      </c>
      <c r="I7" s="99">
        <v>83</v>
      </c>
      <c r="J7" s="99">
        <v>399</v>
      </c>
      <c r="K7" s="99">
        <v>38</v>
      </c>
      <c r="L7" s="99">
        <v>755</v>
      </c>
      <c r="M7" s="99">
        <v>236</v>
      </c>
      <c r="N7" s="99">
        <v>124</v>
      </c>
      <c r="O7" s="99">
        <v>88</v>
      </c>
      <c r="P7" s="159">
        <v>88</v>
      </c>
      <c r="Q7" s="99" t="s">
        <v>513</v>
      </c>
      <c r="R7" s="99">
        <v>16</v>
      </c>
      <c r="S7" s="99">
        <v>17</v>
      </c>
      <c r="T7" s="99">
        <v>12</v>
      </c>
      <c r="U7" s="99" t="s">
        <v>513</v>
      </c>
      <c r="V7" s="99">
        <v>18</v>
      </c>
      <c r="W7" s="99">
        <v>16</v>
      </c>
      <c r="X7" s="99">
        <v>30</v>
      </c>
      <c r="Y7" s="99">
        <v>57</v>
      </c>
      <c r="Z7" s="99">
        <v>36</v>
      </c>
      <c r="AA7" s="99" t="s">
        <v>513</v>
      </c>
      <c r="AB7" s="99" t="s">
        <v>513</v>
      </c>
      <c r="AC7" s="99" t="s">
        <v>513</v>
      </c>
      <c r="AD7" s="98" t="s">
        <v>302</v>
      </c>
      <c r="AE7" s="100">
        <v>0.15240036231884058</v>
      </c>
      <c r="AF7" s="100">
        <v>0.26</v>
      </c>
      <c r="AG7" s="98">
        <v>566.1231884057971</v>
      </c>
      <c r="AH7" s="98">
        <v>203.80434782608697</v>
      </c>
      <c r="AI7" s="100">
        <v>0.019</v>
      </c>
      <c r="AJ7" s="100">
        <v>0.709964</v>
      </c>
      <c r="AK7" s="100">
        <v>0.808511</v>
      </c>
      <c r="AL7" s="100">
        <v>0.725962</v>
      </c>
      <c r="AM7" s="100">
        <v>0.444444</v>
      </c>
      <c r="AN7" s="100">
        <v>0.518828</v>
      </c>
      <c r="AO7" s="98">
        <v>1992.7536231884058</v>
      </c>
      <c r="AP7" s="158">
        <v>1.099488068</v>
      </c>
      <c r="AQ7" s="100" t="s">
        <v>513</v>
      </c>
      <c r="AR7" s="100" t="s">
        <v>513</v>
      </c>
      <c r="AS7" s="98">
        <v>384.963768115942</v>
      </c>
      <c r="AT7" s="98">
        <v>271.7391304347826</v>
      </c>
      <c r="AU7" s="98" t="s">
        <v>513</v>
      </c>
      <c r="AV7" s="98">
        <v>407.60869565217394</v>
      </c>
      <c r="AW7" s="98">
        <v>362.3188405797101</v>
      </c>
      <c r="AX7" s="98">
        <v>679.3478260869565</v>
      </c>
      <c r="AY7" s="98">
        <v>1290.7608695652175</v>
      </c>
      <c r="AZ7" s="98">
        <v>815.2173913043479</v>
      </c>
      <c r="BA7" s="100" t="s">
        <v>513</v>
      </c>
      <c r="BB7" s="100" t="s">
        <v>513</v>
      </c>
      <c r="BC7" s="100" t="s">
        <v>513</v>
      </c>
      <c r="BD7" s="158">
        <v>0.8818215942000001</v>
      </c>
      <c r="BE7" s="158">
        <v>1.354600067</v>
      </c>
      <c r="BF7" s="162">
        <v>562</v>
      </c>
      <c r="BG7" s="162">
        <v>47</v>
      </c>
      <c r="BH7" s="162">
        <v>1040</v>
      </c>
      <c r="BI7" s="162">
        <v>531</v>
      </c>
      <c r="BJ7" s="162">
        <v>239</v>
      </c>
      <c r="BK7" s="97"/>
      <c r="BL7" s="97"/>
      <c r="BM7" s="97"/>
      <c r="BN7" s="97"/>
    </row>
    <row r="8" spans="1:66" ht="12.75">
      <c r="A8" s="79" t="s">
        <v>500</v>
      </c>
      <c r="B8" s="79" t="s">
        <v>296</v>
      </c>
      <c r="C8" s="79" t="s">
        <v>103</v>
      </c>
      <c r="D8" s="99">
        <v>4632</v>
      </c>
      <c r="E8" s="99">
        <v>1138</v>
      </c>
      <c r="F8" s="99" t="s">
        <v>322</v>
      </c>
      <c r="G8" s="99">
        <v>33</v>
      </c>
      <c r="H8" s="99">
        <v>29</v>
      </c>
      <c r="I8" s="99">
        <v>100</v>
      </c>
      <c r="J8" s="99">
        <v>467</v>
      </c>
      <c r="K8" s="99">
        <v>6</v>
      </c>
      <c r="L8" s="99">
        <v>788</v>
      </c>
      <c r="M8" s="99">
        <v>374</v>
      </c>
      <c r="N8" s="99">
        <v>173</v>
      </c>
      <c r="O8" s="99">
        <v>59</v>
      </c>
      <c r="P8" s="159">
        <v>59</v>
      </c>
      <c r="Q8" s="99">
        <v>16</v>
      </c>
      <c r="R8" s="99">
        <v>27</v>
      </c>
      <c r="S8" s="99">
        <v>9</v>
      </c>
      <c r="T8" s="99" t="s">
        <v>513</v>
      </c>
      <c r="U8" s="99" t="s">
        <v>513</v>
      </c>
      <c r="V8" s="99" t="s">
        <v>513</v>
      </c>
      <c r="W8" s="99">
        <v>28</v>
      </c>
      <c r="X8" s="99">
        <v>18</v>
      </c>
      <c r="Y8" s="99">
        <v>51</v>
      </c>
      <c r="Z8" s="99">
        <v>65</v>
      </c>
      <c r="AA8" s="99" t="s">
        <v>513</v>
      </c>
      <c r="AB8" s="99" t="s">
        <v>513</v>
      </c>
      <c r="AC8" s="99" t="s">
        <v>513</v>
      </c>
      <c r="AD8" s="98" t="s">
        <v>302</v>
      </c>
      <c r="AE8" s="100">
        <v>0.24568221070811744</v>
      </c>
      <c r="AF8" s="100">
        <v>0.2</v>
      </c>
      <c r="AG8" s="98">
        <v>712.4352331606218</v>
      </c>
      <c r="AH8" s="98">
        <v>626.0794473229706</v>
      </c>
      <c r="AI8" s="100">
        <v>0.022000000000000002</v>
      </c>
      <c r="AJ8" s="100">
        <v>0.673882</v>
      </c>
      <c r="AK8" s="100">
        <v>0.5</v>
      </c>
      <c r="AL8" s="100">
        <v>0.724931</v>
      </c>
      <c r="AM8" s="100">
        <v>0.505405</v>
      </c>
      <c r="AN8" s="100">
        <v>0.550955</v>
      </c>
      <c r="AO8" s="98">
        <v>1273.7478411053542</v>
      </c>
      <c r="AP8" s="158">
        <v>0.5569121933000001</v>
      </c>
      <c r="AQ8" s="100">
        <v>0.2711864406779661</v>
      </c>
      <c r="AR8" s="100">
        <v>0.5925925925925926</v>
      </c>
      <c r="AS8" s="98">
        <v>194.30051813471502</v>
      </c>
      <c r="AT8" s="98" t="s">
        <v>513</v>
      </c>
      <c r="AU8" s="98" t="s">
        <v>513</v>
      </c>
      <c r="AV8" s="98" t="s">
        <v>513</v>
      </c>
      <c r="AW8" s="98">
        <v>604.4905008635578</v>
      </c>
      <c r="AX8" s="98">
        <v>388.60103626943004</v>
      </c>
      <c r="AY8" s="98">
        <v>1101.0362694300518</v>
      </c>
      <c r="AZ8" s="98">
        <v>1403.2815198618307</v>
      </c>
      <c r="BA8" s="100" t="s">
        <v>513</v>
      </c>
      <c r="BB8" s="100" t="s">
        <v>513</v>
      </c>
      <c r="BC8" s="100" t="s">
        <v>513</v>
      </c>
      <c r="BD8" s="158">
        <v>0.42394737239999997</v>
      </c>
      <c r="BE8" s="158">
        <v>0.7183761597</v>
      </c>
      <c r="BF8" s="162">
        <v>693</v>
      </c>
      <c r="BG8" s="162">
        <v>12</v>
      </c>
      <c r="BH8" s="162">
        <v>1087</v>
      </c>
      <c r="BI8" s="162">
        <v>740</v>
      </c>
      <c r="BJ8" s="162">
        <v>314</v>
      </c>
      <c r="BK8" s="97"/>
      <c r="BL8" s="97"/>
      <c r="BM8" s="97"/>
      <c r="BN8" s="97"/>
    </row>
    <row r="9" spans="1:66" ht="12.75">
      <c r="A9" s="79" t="s">
        <v>502</v>
      </c>
      <c r="B9" s="79" t="s">
        <v>298</v>
      </c>
      <c r="C9" s="79" t="s">
        <v>103</v>
      </c>
      <c r="D9" s="99">
        <v>3382</v>
      </c>
      <c r="E9" s="99">
        <v>675</v>
      </c>
      <c r="F9" s="99" t="s">
        <v>324</v>
      </c>
      <c r="G9" s="99">
        <v>23</v>
      </c>
      <c r="H9" s="99">
        <v>12</v>
      </c>
      <c r="I9" s="99">
        <v>67</v>
      </c>
      <c r="J9" s="99">
        <v>335</v>
      </c>
      <c r="K9" s="99">
        <v>289</v>
      </c>
      <c r="L9" s="99">
        <v>623</v>
      </c>
      <c r="M9" s="99">
        <v>213</v>
      </c>
      <c r="N9" s="99">
        <v>100</v>
      </c>
      <c r="O9" s="99">
        <v>61</v>
      </c>
      <c r="P9" s="159">
        <v>61</v>
      </c>
      <c r="Q9" s="99">
        <v>8</v>
      </c>
      <c r="R9" s="99">
        <v>25</v>
      </c>
      <c r="S9" s="99" t="s">
        <v>513</v>
      </c>
      <c r="T9" s="99">
        <v>9</v>
      </c>
      <c r="U9" s="99" t="s">
        <v>513</v>
      </c>
      <c r="V9" s="99">
        <v>14</v>
      </c>
      <c r="W9" s="99">
        <v>21</v>
      </c>
      <c r="X9" s="99">
        <v>21</v>
      </c>
      <c r="Y9" s="99">
        <v>43</v>
      </c>
      <c r="Z9" s="99">
        <v>26</v>
      </c>
      <c r="AA9" s="99" t="s">
        <v>513</v>
      </c>
      <c r="AB9" s="99" t="s">
        <v>513</v>
      </c>
      <c r="AC9" s="99" t="s">
        <v>513</v>
      </c>
      <c r="AD9" s="98" t="s">
        <v>302</v>
      </c>
      <c r="AE9" s="100">
        <v>0.1995860437610881</v>
      </c>
      <c r="AF9" s="100">
        <v>0.17</v>
      </c>
      <c r="AG9" s="98">
        <v>680.0709639266706</v>
      </c>
      <c r="AH9" s="98">
        <v>354.81963335304556</v>
      </c>
      <c r="AI9" s="100">
        <v>0.02</v>
      </c>
      <c r="AJ9" s="100">
        <v>0.763098</v>
      </c>
      <c r="AK9" s="100">
        <v>0.699758</v>
      </c>
      <c r="AL9" s="100">
        <v>0.751508</v>
      </c>
      <c r="AM9" s="100">
        <v>0.520782</v>
      </c>
      <c r="AN9" s="100">
        <v>0.561798</v>
      </c>
      <c r="AO9" s="98">
        <v>1803.6664695446482</v>
      </c>
      <c r="AP9" s="158">
        <v>0.8766998291</v>
      </c>
      <c r="AQ9" s="100">
        <v>0.13114754098360656</v>
      </c>
      <c r="AR9" s="100">
        <v>0.32</v>
      </c>
      <c r="AS9" s="98" t="s">
        <v>513</v>
      </c>
      <c r="AT9" s="98">
        <v>266.11472501478414</v>
      </c>
      <c r="AU9" s="98" t="s">
        <v>513</v>
      </c>
      <c r="AV9" s="98">
        <v>413.95623891188643</v>
      </c>
      <c r="AW9" s="98">
        <v>620.9343583678296</v>
      </c>
      <c r="AX9" s="98">
        <v>620.9343583678296</v>
      </c>
      <c r="AY9" s="98">
        <v>1271.4370195150798</v>
      </c>
      <c r="AZ9" s="98">
        <v>768.775872264932</v>
      </c>
      <c r="BA9" s="100" t="s">
        <v>513</v>
      </c>
      <c r="BB9" s="100" t="s">
        <v>513</v>
      </c>
      <c r="BC9" s="100" t="s">
        <v>513</v>
      </c>
      <c r="BD9" s="158">
        <v>0.6706059265000001</v>
      </c>
      <c r="BE9" s="158">
        <v>1.126157608</v>
      </c>
      <c r="BF9" s="162">
        <v>439</v>
      </c>
      <c r="BG9" s="162">
        <v>413</v>
      </c>
      <c r="BH9" s="162">
        <v>829</v>
      </c>
      <c r="BI9" s="162">
        <v>409</v>
      </c>
      <c r="BJ9" s="162">
        <v>178</v>
      </c>
      <c r="BK9" s="97"/>
      <c r="BL9" s="97"/>
      <c r="BM9" s="97"/>
      <c r="BN9" s="97"/>
    </row>
    <row r="10" spans="1:66" ht="12.75">
      <c r="A10" s="79" t="s">
        <v>501</v>
      </c>
      <c r="B10" s="79" t="s">
        <v>297</v>
      </c>
      <c r="C10" s="79" t="s">
        <v>103</v>
      </c>
      <c r="D10" s="99">
        <v>3198</v>
      </c>
      <c r="E10" s="99">
        <v>291</v>
      </c>
      <c r="F10" s="99" t="s">
        <v>323</v>
      </c>
      <c r="G10" s="99" t="s">
        <v>513</v>
      </c>
      <c r="H10" s="99" t="s">
        <v>513</v>
      </c>
      <c r="I10" s="99">
        <v>33</v>
      </c>
      <c r="J10" s="99">
        <v>141</v>
      </c>
      <c r="K10" s="99" t="s">
        <v>513</v>
      </c>
      <c r="L10" s="99">
        <v>465</v>
      </c>
      <c r="M10" s="99">
        <v>122</v>
      </c>
      <c r="N10" s="99">
        <v>62</v>
      </c>
      <c r="O10" s="99">
        <v>52</v>
      </c>
      <c r="P10" s="159">
        <v>52</v>
      </c>
      <c r="Q10" s="99">
        <v>12</v>
      </c>
      <c r="R10" s="99">
        <v>16</v>
      </c>
      <c r="S10" s="99">
        <v>11</v>
      </c>
      <c r="T10" s="99" t="s">
        <v>513</v>
      </c>
      <c r="U10" s="99" t="s">
        <v>513</v>
      </c>
      <c r="V10" s="99">
        <v>22</v>
      </c>
      <c r="W10" s="99" t="s">
        <v>513</v>
      </c>
      <c r="X10" s="99">
        <v>14</v>
      </c>
      <c r="Y10" s="99">
        <v>21</v>
      </c>
      <c r="Z10" s="99">
        <v>16</v>
      </c>
      <c r="AA10" s="99" t="s">
        <v>513</v>
      </c>
      <c r="AB10" s="99" t="s">
        <v>513</v>
      </c>
      <c r="AC10" s="99" t="s">
        <v>513</v>
      </c>
      <c r="AD10" s="98" t="s">
        <v>302</v>
      </c>
      <c r="AE10" s="100">
        <v>0.09099437148217636</v>
      </c>
      <c r="AF10" s="100">
        <v>0.34</v>
      </c>
      <c r="AG10" s="98" t="s">
        <v>513</v>
      </c>
      <c r="AH10" s="98" t="s">
        <v>513</v>
      </c>
      <c r="AI10" s="100">
        <v>0.01</v>
      </c>
      <c r="AJ10" s="100">
        <v>0.484536</v>
      </c>
      <c r="AK10" s="100" t="s">
        <v>513</v>
      </c>
      <c r="AL10" s="100">
        <v>0.670029</v>
      </c>
      <c r="AM10" s="100">
        <v>0.445255</v>
      </c>
      <c r="AN10" s="100">
        <v>0.521008</v>
      </c>
      <c r="AO10" s="98">
        <v>1626.0162601626016</v>
      </c>
      <c r="AP10" s="158">
        <v>1.19079567</v>
      </c>
      <c r="AQ10" s="100">
        <v>0.23076923076923078</v>
      </c>
      <c r="AR10" s="100">
        <v>0.75</v>
      </c>
      <c r="AS10" s="98">
        <v>343.96497811131957</v>
      </c>
      <c r="AT10" s="98" t="s">
        <v>513</v>
      </c>
      <c r="AU10" s="98" t="s">
        <v>513</v>
      </c>
      <c r="AV10" s="98">
        <v>687.9299562226391</v>
      </c>
      <c r="AW10" s="98" t="s">
        <v>513</v>
      </c>
      <c r="AX10" s="98">
        <v>437.77360850531585</v>
      </c>
      <c r="AY10" s="98">
        <v>656.6604127579737</v>
      </c>
      <c r="AZ10" s="98">
        <v>500.3126954346466</v>
      </c>
      <c r="BA10" s="100" t="s">
        <v>513</v>
      </c>
      <c r="BB10" s="100" t="s">
        <v>513</v>
      </c>
      <c r="BC10" s="100" t="s">
        <v>513</v>
      </c>
      <c r="BD10" s="158">
        <v>0.8893431854</v>
      </c>
      <c r="BE10" s="158">
        <v>1.5615701290000001</v>
      </c>
      <c r="BF10" s="162">
        <v>291</v>
      </c>
      <c r="BG10" s="162" t="s">
        <v>513</v>
      </c>
      <c r="BH10" s="162">
        <v>694</v>
      </c>
      <c r="BI10" s="162">
        <v>274</v>
      </c>
      <c r="BJ10" s="162">
        <v>119</v>
      </c>
      <c r="BK10" s="97"/>
      <c r="BL10" s="97"/>
      <c r="BM10" s="97"/>
      <c r="BN10" s="97"/>
    </row>
    <row r="11" spans="1:66" ht="12.75">
      <c r="A11" s="79" t="s">
        <v>494</v>
      </c>
      <c r="B11" s="79" t="s">
        <v>291</v>
      </c>
      <c r="C11" s="79" t="s">
        <v>103</v>
      </c>
      <c r="D11" s="99">
        <v>10174</v>
      </c>
      <c r="E11" s="99">
        <v>2154</v>
      </c>
      <c r="F11" s="99" t="s">
        <v>324</v>
      </c>
      <c r="G11" s="99">
        <v>72</v>
      </c>
      <c r="H11" s="99">
        <v>39</v>
      </c>
      <c r="I11" s="99">
        <v>228</v>
      </c>
      <c r="J11" s="99">
        <v>1030</v>
      </c>
      <c r="K11" s="99">
        <v>611</v>
      </c>
      <c r="L11" s="99">
        <v>1929</v>
      </c>
      <c r="M11" s="99">
        <v>739</v>
      </c>
      <c r="N11" s="99">
        <v>339</v>
      </c>
      <c r="O11" s="99">
        <v>235</v>
      </c>
      <c r="P11" s="159">
        <v>235</v>
      </c>
      <c r="Q11" s="99">
        <v>33</v>
      </c>
      <c r="R11" s="99">
        <v>71</v>
      </c>
      <c r="S11" s="99">
        <v>34</v>
      </c>
      <c r="T11" s="99">
        <v>29</v>
      </c>
      <c r="U11" s="99">
        <v>17</v>
      </c>
      <c r="V11" s="99">
        <v>38</v>
      </c>
      <c r="W11" s="99">
        <v>56</v>
      </c>
      <c r="X11" s="99">
        <v>69</v>
      </c>
      <c r="Y11" s="99">
        <v>106</v>
      </c>
      <c r="Z11" s="99">
        <v>86</v>
      </c>
      <c r="AA11" s="99" t="s">
        <v>513</v>
      </c>
      <c r="AB11" s="99" t="s">
        <v>513</v>
      </c>
      <c r="AC11" s="99" t="s">
        <v>513</v>
      </c>
      <c r="AD11" s="98" t="s">
        <v>302</v>
      </c>
      <c r="AE11" s="100">
        <v>0.21171613917829762</v>
      </c>
      <c r="AF11" s="100">
        <v>0.17</v>
      </c>
      <c r="AG11" s="98">
        <v>707.6862590918026</v>
      </c>
      <c r="AH11" s="98">
        <v>383.3300570080598</v>
      </c>
      <c r="AI11" s="100">
        <v>0.022000000000000002</v>
      </c>
      <c r="AJ11" s="100">
        <v>0.741541</v>
      </c>
      <c r="AK11" s="100">
        <v>0.830163</v>
      </c>
      <c r="AL11" s="100">
        <v>0.79025</v>
      </c>
      <c r="AM11" s="100">
        <v>0.581432</v>
      </c>
      <c r="AN11" s="100">
        <v>0.604278</v>
      </c>
      <c r="AO11" s="98">
        <v>2309.809317869078</v>
      </c>
      <c r="AP11" s="158">
        <v>1.099165878</v>
      </c>
      <c r="AQ11" s="100">
        <v>0.14042553191489363</v>
      </c>
      <c r="AR11" s="100">
        <v>0.4647887323943662</v>
      </c>
      <c r="AS11" s="98">
        <v>334.18517790446236</v>
      </c>
      <c r="AT11" s="98">
        <v>285.04029880086495</v>
      </c>
      <c r="AU11" s="98">
        <v>167.09258895223118</v>
      </c>
      <c r="AV11" s="98">
        <v>373.5010811873403</v>
      </c>
      <c r="AW11" s="98">
        <v>550.422645960291</v>
      </c>
      <c r="AX11" s="98">
        <v>678.1993316296442</v>
      </c>
      <c r="AY11" s="98">
        <v>1041.871436996265</v>
      </c>
      <c r="AZ11" s="98">
        <v>845.2919205818754</v>
      </c>
      <c r="BA11" s="100" t="s">
        <v>513</v>
      </c>
      <c r="BB11" s="100" t="s">
        <v>513</v>
      </c>
      <c r="BC11" s="100" t="s">
        <v>513</v>
      </c>
      <c r="BD11" s="158">
        <v>0.9631143188</v>
      </c>
      <c r="BE11" s="158">
        <v>1.24905098</v>
      </c>
      <c r="BF11" s="162">
        <v>1389</v>
      </c>
      <c r="BG11" s="162">
        <v>736</v>
      </c>
      <c r="BH11" s="162">
        <v>2441</v>
      </c>
      <c r="BI11" s="162">
        <v>1271</v>
      </c>
      <c r="BJ11" s="162">
        <v>561</v>
      </c>
      <c r="BK11" s="97"/>
      <c r="BL11" s="97"/>
      <c r="BM11" s="97"/>
      <c r="BN11" s="97"/>
    </row>
    <row r="12" spans="1:66" ht="12.75">
      <c r="A12" s="79" t="s">
        <v>495</v>
      </c>
      <c r="B12" s="79" t="s">
        <v>292</v>
      </c>
      <c r="C12" s="79" t="s">
        <v>103</v>
      </c>
      <c r="D12" s="99">
        <v>4346</v>
      </c>
      <c r="E12" s="99">
        <v>870</v>
      </c>
      <c r="F12" s="99" t="s">
        <v>322</v>
      </c>
      <c r="G12" s="99">
        <v>25</v>
      </c>
      <c r="H12" s="99">
        <v>13</v>
      </c>
      <c r="I12" s="99">
        <v>113</v>
      </c>
      <c r="J12" s="99">
        <v>388</v>
      </c>
      <c r="K12" s="99">
        <v>378</v>
      </c>
      <c r="L12" s="99">
        <v>882</v>
      </c>
      <c r="M12" s="99">
        <v>257</v>
      </c>
      <c r="N12" s="99">
        <v>121</v>
      </c>
      <c r="O12" s="99">
        <v>67</v>
      </c>
      <c r="P12" s="159">
        <v>67</v>
      </c>
      <c r="Q12" s="99">
        <v>11</v>
      </c>
      <c r="R12" s="99">
        <v>32</v>
      </c>
      <c r="S12" s="99">
        <v>14</v>
      </c>
      <c r="T12" s="99">
        <v>11</v>
      </c>
      <c r="U12" s="99" t="s">
        <v>513</v>
      </c>
      <c r="V12" s="99">
        <v>6</v>
      </c>
      <c r="W12" s="99">
        <v>23</v>
      </c>
      <c r="X12" s="99">
        <v>21</v>
      </c>
      <c r="Y12" s="99">
        <v>50</v>
      </c>
      <c r="Z12" s="99">
        <v>35</v>
      </c>
      <c r="AA12" s="99" t="s">
        <v>513</v>
      </c>
      <c r="AB12" s="99" t="s">
        <v>513</v>
      </c>
      <c r="AC12" s="99" t="s">
        <v>513</v>
      </c>
      <c r="AD12" s="98" t="s">
        <v>302</v>
      </c>
      <c r="AE12" s="100">
        <v>0.20018407731247123</v>
      </c>
      <c r="AF12" s="100">
        <v>0.19</v>
      </c>
      <c r="AG12" s="98">
        <v>575.2416014726185</v>
      </c>
      <c r="AH12" s="98">
        <v>299.1256327657616</v>
      </c>
      <c r="AI12" s="100">
        <v>0.026000000000000002</v>
      </c>
      <c r="AJ12" s="100">
        <v>0.708029</v>
      </c>
      <c r="AK12" s="100">
        <v>0.72</v>
      </c>
      <c r="AL12" s="100">
        <v>0.86811</v>
      </c>
      <c r="AM12" s="100">
        <v>0.512974</v>
      </c>
      <c r="AN12" s="100">
        <v>0.552511</v>
      </c>
      <c r="AO12" s="98">
        <v>1541.6474919466175</v>
      </c>
      <c r="AP12" s="158">
        <v>0.7698480225000001</v>
      </c>
      <c r="AQ12" s="100">
        <v>0.16417910447761194</v>
      </c>
      <c r="AR12" s="100">
        <v>0.34375</v>
      </c>
      <c r="AS12" s="98">
        <v>322.13529682466634</v>
      </c>
      <c r="AT12" s="98">
        <v>253.10630464795213</v>
      </c>
      <c r="AU12" s="98" t="s">
        <v>513</v>
      </c>
      <c r="AV12" s="98">
        <v>138.05798435342845</v>
      </c>
      <c r="AW12" s="98">
        <v>529.222273354809</v>
      </c>
      <c r="AX12" s="98">
        <v>483.20294523699954</v>
      </c>
      <c r="AY12" s="98">
        <v>1150.483202945237</v>
      </c>
      <c r="AZ12" s="98">
        <v>805.3382420616659</v>
      </c>
      <c r="BA12" s="100" t="s">
        <v>513</v>
      </c>
      <c r="BB12" s="100" t="s">
        <v>513</v>
      </c>
      <c r="BC12" s="100" t="s">
        <v>513</v>
      </c>
      <c r="BD12" s="158">
        <v>0.596621666</v>
      </c>
      <c r="BE12" s="158">
        <v>0.9776798248</v>
      </c>
      <c r="BF12" s="162">
        <v>548</v>
      </c>
      <c r="BG12" s="162">
        <v>525</v>
      </c>
      <c r="BH12" s="162">
        <v>1016</v>
      </c>
      <c r="BI12" s="162">
        <v>501</v>
      </c>
      <c r="BJ12" s="162">
        <v>219</v>
      </c>
      <c r="BK12" s="97"/>
      <c r="BL12" s="97"/>
      <c r="BM12" s="97"/>
      <c r="BN12" s="97"/>
    </row>
    <row r="13" spans="1:66" ht="12.75">
      <c r="A13" s="79" t="s">
        <v>486</v>
      </c>
      <c r="B13" s="79" t="s">
        <v>282</v>
      </c>
      <c r="C13" s="79" t="s">
        <v>103</v>
      </c>
      <c r="D13" s="99">
        <v>5435</v>
      </c>
      <c r="E13" s="99">
        <v>852</v>
      </c>
      <c r="F13" s="99" t="s">
        <v>323</v>
      </c>
      <c r="G13" s="99">
        <v>30</v>
      </c>
      <c r="H13" s="99">
        <v>14</v>
      </c>
      <c r="I13" s="99">
        <v>67</v>
      </c>
      <c r="J13" s="99">
        <v>350</v>
      </c>
      <c r="K13" s="99" t="s">
        <v>513</v>
      </c>
      <c r="L13" s="99">
        <v>876</v>
      </c>
      <c r="M13" s="99">
        <v>258</v>
      </c>
      <c r="N13" s="99">
        <v>115</v>
      </c>
      <c r="O13" s="99">
        <v>113</v>
      </c>
      <c r="P13" s="159">
        <v>113</v>
      </c>
      <c r="Q13" s="99">
        <v>12</v>
      </c>
      <c r="R13" s="99">
        <v>28</v>
      </c>
      <c r="S13" s="99">
        <v>28</v>
      </c>
      <c r="T13" s="99">
        <v>17</v>
      </c>
      <c r="U13" s="99" t="s">
        <v>513</v>
      </c>
      <c r="V13" s="99">
        <v>22</v>
      </c>
      <c r="W13" s="99">
        <v>26</v>
      </c>
      <c r="X13" s="99">
        <v>23</v>
      </c>
      <c r="Y13" s="99">
        <v>39</v>
      </c>
      <c r="Z13" s="99">
        <v>44</v>
      </c>
      <c r="AA13" s="99" t="s">
        <v>513</v>
      </c>
      <c r="AB13" s="99" t="s">
        <v>513</v>
      </c>
      <c r="AC13" s="99" t="s">
        <v>513</v>
      </c>
      <c r="AD13" s="98" t="s">
        <v>302</v>
      </c>
      <c r="AE13" s="100">
        <v>0.15676172953081877</v>
      </c>
      <c r="AF13" s="100">
        <v>0.29</v>
      </c>
      <c r="AG13" s="98">
        <v>551.9779208831646</v>
      </c>
      <c r="AH13" s="98">
        <v>257.5896964121435</v>
      </c>
      <c r="AI13" s="100">
        <v>0.012</v>
      </c>
      <c r="AJ13" s="100">
        <v>0.549451</v>
      </c>
      <c r="AK13" s="100" t="s">
        <v>513</v>
      </c>
      <c r="AL13" s="100">
        <v>0.666667</v>
      </c>
      <c r="AM13" s="100">
        <v>0.421569</v>
      </c>
      <c r="AN13" s="100">
        <v>0.425926</v>
      </c>
      <c r="AO13" s="98">
        <v>2079.116835326587</v>
      </c>
      <c r="AP13" s="158">
        <v>1.144654083</v>
      </c>
      <c r="AQ13" s="100">
        <v>0.10619469026548672</v>
      </c>
      <c r="AR13" s="100">
        <v>0.42857142857142855</v>
      </c>
      <c r="AS13" s="98">
        <v>515.179392824287</v>
      </c>
      <c r="AT13" s="98">
        <v>312.78748850046</v>
      </c>
      <c r="AU13" s="98" t="s">
        <v>513</v>
      </c>
      <c r="AV13" s="98">
        <v>404.7838086476541</v>
      </c>
      <c r="AW13" s="98">
        <v>478.3808647654094</v>
      </c>
      <c r="AX13" s="98">
        <v>423.1830726770929</v>
      </c>
      <c r="AY13" s="98">
        <v>717.5712971481141</v>
      </c>
      <c r="AZ13" s="98">
        <v>809.5676172953082</v>
      </c>
      <c r="BA13" s="100" t="s">
        <v>513</v>
      </c>
      <c r="BB13" s="100" t="s">
        <v>513</v>
      </c>
      <c r="BC13" s="100" t="s">
        <v>513</v>
      </c>
      <c r="BD13" s="158">
        <v>0.9433570099</v>
      </c>
      <c r="BE13" s="158">
        <v>1.37618988</v>
      </c>
      <c r="BF13" s="162">
        <v>637</v>
      </c>
      <c r="BG13" s="162" t="s">
        <v>513</v>
      </c>
      <c r="BH13" s="162">
        <v>1314</v>
      </c>
      <c r="BI13" s="162">
        <v>612</v>
      </c>
      <c r="BJ13" s="162">
        <v>270</v>
      </c>
      <c r="BK13" s="97"/>
      <c r="BL13" s="97"/>
      <c r="BM13" s="97"/>
      <c r="BN13" s="97"/>
    </row>
    <row r="14" spans="1:66" ht="12.75">
      <c r="A14" s="79" t="s">
        <v>493</v>
      </c>
      <c r="B14" s="79" t="s">
        <v>290</v>
      </c>
      <c r="C14" s="79" t="s">
        <v>103</v>
      </c>
      <c r="D14" s="99">
        <v>14468</v>
      </c>
      <c r="E14" s="99">
        <v>3012</v>
      </c>
      <c r="F14" s="99" t="s">
        <v>322</v>
      </c>
      <c r="G14" s="99">
        <v>82</v>
      </c>
      <c r="H14" s="99">
        <v>50</v>
      </c>
      <c r="I14" s="99">
        <v>365</v>
      </c>
      <c r="J14" s="99">
        <v>1403</v>
      </c>
      <c r="K14" s="99">
        <v>1343</v>
      </c>
      <c r="L14" s="99">
        <v>2775</v>
      </c>
      <c r="M14" s="99">
        <v>930</v>
      </c>
      <c r="N14" s="99">
        <v>467</v>
      </c>
      <c r="O14" s="99">
        <v>312</v>
      </c>
      <c r="P14" s="159">
        <v>312</v>
      </c>
      <c r="Q14" s="99">
        <v>54</v>
      </c>
      <c r="R14" s="99">
        <v>113</v>
      </c>
      <c r="S14" s="99">
        <v>55</v>
      </c>
      <c r="T14" s="99">
        <v>61</v>
      </c>
      <c r="U14" s="99">
        <v>14</v>
      </c>
      <c r="V14" s="99">
        <v>60</v>
      </c>
      <c r="W14" s="99">
        <v>81</v>
      </c>
      <c r="X14" s="99">
        <v>84</v>
      </c>
      <c r="Y14" s="99">
        <v>141</v>
      </c>
      <c r="Z14" s="99">
        <v>131</v>
      </c>
      <c r="AA14" s="99" t="s">
        <v>513</v>
      </c>
      <c r="AB14" s="99" t="s">
        <v>513</v>
      </c>
      <c r="AC14" s="99" t="s">
        <v>513</v>
      </c>
      <c r="AD14" s="98" t="s">
        <v>302</v>
      </c>
      <c r="AE14" s="100">
        <v>0.2081835775504562</v>
      </c>
      <c r="AF14" s="100">
        <v>0.18</v>
      </c>
      <c r="AG14" s="98">
        <v>566.7680398119988</v>
      </c>
      <c r="AH14" s="98">
        <v>345.5902681780481</v>
      </c>
      <c r="AI14" s="100">
        <v>0.025</v>
      </c>
      <c r="AJ14" s="100">
        <v>0.745484</v>
      </c>
      <c r="AK14" s="100">
        <v>0.748606</v>
      </c>
      <c r="AL14" s="100">
        <v>0.772981</v>
      </c>
      <c r="AM14" s="100">
        <v>0.553242</v>
      </c>
      <c r="AN14" s="100">
        <v>0.611257</v>
      </c>
      <c r="AO14" s="98">
        <v>2156.4832734310203</v>
      </c>
      <c r="AP14" s="158">
        <v>1.034988937</v>
      </c>
      <c r="AQ14" s="100">
        <v>0.17307692307692307</v>
      </c>
      <c r="AR14" s="100">
        <v>0.4778761061946903</v>
      </c>
      <c r="AS14" s="98">
        <v>380.1492949958529</v>
      </c>
      <c r="AT14" s="98">
        <v>421.6201271772187</v>
      </c>
      <c r="AU14" s="98">
        <v>96.76527508985347</v>
      </c>
      <c r="AV14" s="98">
        <v>414.70832181365773</v>
      </c>
      <c r="AW14" s="98">
        <v>559.8562344484379</v>
      </c>
      <c r="AX14" s="98">
        <v>580.5916505391208</v>
      </c>
      <c r="AY14" s="98">
        <v>974.5645562620956</v>
      </c>
      <c r="AZ14" s="98">
        <v>905.446502626486</v>
      </c>
      <c r="BA14" s="100" t="s">
        <v>513</v>
      </c>
      <c r="BB14" s="100" t="s">
        <v>513</v>
      </c>
      <c r="BC14" s="100" t="s">
        <v>513</v>
      </c>
      <c r="BD14" s="158">
        <v>0.9233189392</v>
      </c>
      <c r="BE14" s="158">
        <v>1.156442642</v>
      </c>
      <c r="BF14" s="162">
        <v>1882</v>
      </c>
      <c r="BG14" s="162">
        <v>1794</v>
      </c>
      <c r="BH14" s="162">
        <v>3590</v>
      </c>
      <c r="BI14" s="162">
        <v>1681</v>
      </c>
      <c r="BJ14" s="162">
        <v>764</v>
      </c>
      <c r="BK14" s="97"/>
      <c r="BL14" s="97"/>
      <c r="BM14" s="97"/>
      <c r="BN14" s="97"/>
    </row>
    <row r="15" spans="1:66" ht="12.75">
      <c r="A15" s="79" t="s">
        <v>505</v>
      </c>
      <c r="B15" s="79" t="s">
        <v>301</v>
      </c>
      <c r="C15" s="79" t="s">
        <v>103</v>
      </c>
      <c r="D15" s="99">
        <v>2631</v>
      </c>
      <c r="E15" s="99">
        <v>172</v>
      </c>
      <c r="F15" s="99" t="s">
        <v>323</v>
      </c>
      <c r="G15" s="99" t="s">
        <v>513</v>
      </c>
      <c r="H15" s="99" t="s">
        <v>513</v>
      </c>
      <c r="I15" s="99">
        <v>25</v>
      </c>
      <c r="J15" s="99">
        <v>73</v>
      </c>
      <c r="K15" s="99" t="s">
        <v>513</v>
      </c>
      <c r="L15" s="99">
        <v>404</v>
      </c>
      <c r="M15" s="99">
        <v>46</v>
      </c>
      <c r="N15" s="99">
        <v>24</v>
      </c>
      <c r="O15" s="99">
        <v>25</v>
      </c>
      <c r="P15" s="159">
        <v>25</v>
      </c>
      <c r="Q15" s="99" t="s">
        <v>513</v>
      </c>
      <c r="R15" s="99">
        <v>7</v>
      </c>
      <c r="S15" s="99">
        <v>7</v>
      </c>
      <c r="T15" s="99" t="s">
        <v>513</v>
      </c>
      <c r="U15" s="99" t="s">
        <v>513</v>
      </c>
      <c r="V15" s="99" t="s">
        <v>513</v>
      </c>
      <c r="W15" s="99" t="s">
        <v>513</v>
      </c>
      <c r="X15" s="99" t="s">
        <v>513</v>
      </c>
      <c r="Y15" s="99">
        <v>16</v>
      </c>
      <c r="Z15" s="99">
        <v>11</v>
      </c>
      <c r="AA15" s="99" t="s">
        <v>513</v>
      </c>
      <c r="AB15" s="99" t="s">
        <v>513</v>
      </c>
      <c r="AC15" s="99" t="s">
        <v>513</v>
      </c>
      <c r="AD15" s="98" t="s">
        <v>302</v>
      </c>
      <c r="AE15" s="100">
        <v>0.0653743823641201</v>
      </c>
      <c r="AF15" s="100">
        <v>0.38</v>
      </c>
      <c r="AG15" s="98" t="s">
        <v>513</v>
      </c>
      <c r="AH15" s="98" t="s">
        <v>513</v>
      </c>
      <c r="AI15" s="100">
        <v>0.01</v>
      </c>
      <c r="AJ15" s="100">
        <v>0.414773</v>
      </c>
      <c r="AK15" s="100" t="s">
        <v>513</v>
      </c>
      <c r="AL15" s="100">
        <v>0.696552</v>
      </c>
      <c r="AM15" s="100">
        <v>0.304636</v>
      </c>
      <c r="AN15" s="100">
        <v>0.352941</v>
      </c>
      <c r="AO15" s="98">
        <v>950.2090459901178</v>
      </c>
      <c r="AP15" s="158">
        <v>0.7675364684999999</v>
      </c>
      <c r="AQ15" s="100" t="s">
        <v>513</v>
      </c>
      <c r="AR15" s="100" t="s">
        <v>513</v>
      </c>
      <c r="AS15" s="98">
        <v>266.058532877233</v>
      </c>
      <c r="AT15" s="98" t="s">
        <v>513</v>
      </c>
      <c r="AU15" s="98" t="s">
        <v>513</v>
      </c>
      <c r="AV15" s="98" t="s">
        <v>513</v>
      </c>
      <c r="AW15" s="98" t="s">
        <v>513</v>
      </c>
      <c r="AX15" s="98" t="s">
        <v>513</v>
      </c>
      <c r="AY15" s="98">
        <v>608.1337894336754</v>
      </c>
      <c r="AZ15" s="98">
        <v>418.0919802356518</v>
      </c>
      <c r="BA15" s="100" t="s">
        <v>513</v>
      </c>
      <c r="BB15" s="100" t="s">
        <v>513</v>
      </c>
      <c r="BC15" s="100" t="s">
        <v>513</v>
      </c>
      <c r="BD15" s="158">
        <v>0.496709137</v>
      </c>
      <c r="BE15" s="158">
        <v>1.1330352019999999</v>
      </c>
      <c r="BF15" s="162">
        <v>176</v>
      </c>
      <c r="BG15" s="162" t="s">
        <v>513</v>
      </c>
      <c r="BH15" s="162">
        <v>580</v>
      </c>
      <c r="BI15" s="162">
        <v>151</v>
      </c>
      <c r="BJ15" s="162">
        <v>68</v>
      </c>
      <c r="BK15" s="97"/>
      <c r="BL15" s="97"/>
      <c r="BM15" s="97"/>
      <c r="BN15" s="97"/>
    </row>
    <row r="16" spans="1:66" ht="12.75">
      <c r="A16" s="79" t="s">
        <v>492</v>
      </c>
      <c r="B16" s="79" t="s">
        <v>289</v>
      </c>
      <c r="C16" s="79" t="s">
        <v>103</v>
      </c>
      <c r="D16" s="99">
        <v>6475</v>
      </c>
      <c r="E16" s="99">
        <v>1161</v>
      </c>
      <c r="F16" s="99" t="s">
        <v>323</v>
      </c>
      <c r="G16" s="99">
        <v>26</v>
      </c>
      <c r="H16" s="99">
        <v>22</v>
      </c>
      <c r="I16" s="99">
        <v>82</v>
      </c>
      <c r="J16" s="99">
        <v>523</v>
      </c>
      <c r="K16" s="99">
        <v>18</v>
      </c>
      <c r="L16" s="99">
        <v>1199</v>
      </c>
      <c r="M16" s="99">
        <v>430</v>
      </c>
      <c r="N16" s="99">
        <v>197</v>
      </c>
      <c r="O16" s="99">
        <v>144</v>
      </c>
      <c r="P16" s="159">
        <v>144</v>
      </c>
      <c r="Q16" s="99">
        <v>12</v>
      </c>
      <c r="R16" s="99">
        <v>32</v>
      </c>
      <c r="S16" s="99">
        <v>30</v>
      </c>
      <c r="T16" s="99">
        <v>24</v>
      </c>
      <c r="U16" s="99">
        <v>7</v>
      </c>
      <c r="V16" s="99">
        <v>14</v>
      </c>
      <c r="W16" s="99">
        <v>29</v>
      </c>
      <c r="X16" s="99">
        <v>30</v>
      </c>
      <c r="Y16" s="99">
        <v>81</v>
      </c>
      <c r="Z16" s="99">
        <v>51</v>
      </c>
      <c r="AA16" s="99" t="s">
        <v>513</v>
      </c>
      <c r="AB16" s="99" t="s">
        <v>513</v>
      </c>
      <c r="AC16" s="99" t="s">
        <v>513</v>
      </c>
      <c r="AD16" s="98" t="s">
        <v>302</v>
      </c>
      <c r="AE16" s="100">
        <v>0.1793050193050193</v>
      </c>
      <c r="AF16" s="100">
        <v>0.24</v>
      </c>
      <c r="AG16" s="98">
        <v>401.5444015444015</v>
      </c>
      <c r="AH16" s="98">
        <v>339.7683397683398</v>
      </c>
      <c r="AI16" s="100">
        <v>0.013000000000000001</v>
      </c>
      <c r="AJ16" s="100">
        <v>0.628606</v>
      </c>
      <c r="AK16" s="100">
        <v>0.529412</v>
      </c>
      <c r="AL16" s="100">
        <v>0.764181</v>
      </c>
      <c r="AM16" s="100">
        <v>0.547074</v>
      </c>
      <c r="AN16" s="100">
        <v>0.569364</v>
      </c>
      <c r="AO16" s="98">
        <v>2223.938223938224</v>
      </c>
      <c r="AP16" s="158">
        <v>1.168078537</v>
      </c>
      <c r="AQ16" s="100">
        <v>0.08333333333333333</v>
      </c>
      <c r="AR16" s="100">
        <v>0.375</v>
      </c>
      <c r="AS16" s="98">
        <v>463.3204633204633</v>
      </c>
      <c r="AT16" s="98">
        <v>370.65637065637065</v>
      </c>
      <c r="AU16" s="98">
        <v>108.10810810810811</v>
      </c>
      <c r="AV16" s="98">
        <v>216.21621621621622</v>
      </c>
      <c r="AW16" s="98">
        <v>447.87644787644786</v>
      </c>
      <c r="AX16" s="98">
        <v>463.3204633204633</v>
      </c>
      <c r="AY16" s="98">
        <v>1250.965250965251</v>
      </c>
      <c r="AZ16" s="98">
        <v>787.6447876447877</v>
      </c>
      <c r="BA16" s="100" t="s">
        <v>513</v>
      </c>
      <c r="BB16" s="100" t="s">
        <v>513</v>
      </c>
      <c r="BC16" s="100" t="s">
        <v>513</v>
      </c>
      <c r="BD16" s="158">
        <v>0.9850910949999999</v>
      </c>
      <c r="BE16" s="158">
        <v>1.3751976010000002</v>
      </c>
      <c r="BF16" s="162">
        <v>832</v>
      </c>
      <c r="BG16" s="162">
        <v>34</v>
      </c>
      <c r="BH16" s="162">
        <v>1569</v>
      </c>
      <c r="BI16" s="162">
        <v>786</v>
      </c>
      <c r="BJ16" s="162">
        <v>346</v>
      </c>
      <c r="BK16" s="97"/>
      <c r="BL16" s="97"/>
      <c r="BM16" s="97"/>
      <c r="BN16" s="97"/>
    </row>
    <row r="17" spans="1:66" ht="12.75">
      <c r="A17" s="79" t="s">
        <v>490</v>
      </c>
      <c r="B17" s="79" t="s">
        <v>287</v>
      </c>
      <c r="C17" s="79" t="s">
        <v>103</v>
      </c>
      <c r="D17" s="99">
        <v>8567</v>
      </c>
      <c r="E17" s="99">
        <v>1362</v>
      </c>
      <c r="F17" s="99" t="s">
        <v>322</v>
      </c>
      <c r="G17" s="99">
        <v>59</v>
      </c>
      <c r="H17" s="99">
        <v>27</v>
      </c>
      <c r="I17" s="99">
        <v>117</v>
      </c>
      <c r="J17" s="99">
        <v>699</v>
      </c>
      <c r="K17" s="99">
        <v>10</v>
      </c>
      <c r="L17" s="99">
        <v>1604</v>
      </c>
      <c r="M17" s="99">
        <v>527</v>
      </c>
      <c r="N17" s="99">
        <v>253</v>
      </c>
      <c r="O17" s="99">
        <v>102</v>
      </c>
      <c r="P17" s="159">
        <v>102</v>
      </c>
      <c r="Q17" s="99">
        <v>18</v>
      </c>
      <c r="R17" s="99">
        <v>58</v>
      </c>
      <c r="S17" s="99">
        <v>21</v>
      </c>
      <c r="T17" s="99">
        <v>18</v>
      </c>
      <c r="U17" s="99">
        <v>6</v>
      </c>
      <c r="V17" s="99">
        <v>16</v>
      </c>
      <c r="W17" s="99">
        <v>44</v>
      </c>
      <c r="X17" s="99">
        <v>29</v>
      </c>
      <c r="Y17" s="99">
        <v>86</v>
      </c>
      <c r="Z17" s="99">
        <v>83</v>
      </c>
      <c r="AA17" s="99" t="s">
        <v>513</v>
      </c>
      <c r="AB17" s="99" t="s">
        <v>513</v>
      </c>
      <c r="AC17" s="99" t="s">
        <v>513</v>
      </c>
      <c r="AD17" s="98" t="s">
        <v>302</v>
      </c>
      <c r="AE17" s="100">
        <v>0.15898214077273257</v>
      </c>
      <c r="AF17" s="100">
        <v>0.19</v>
      </c>
      <c r="AG17" s="98">
        <v>688.6891560639664</v>
      </c>
      <c r="AH17" s="98">
        <v>315.16283413096767</v>
      </c>
      <c r="AI17" s="100">
        <v>0.013999999999999999</v>
      </c>
      <c r="AJ17" s="100">
        <v>0.709645</v>
      </c>
      <c r="AK17" s="100">
        <v>0.555556</v>
      </c>
      <c r="AL17" s="100">
        <v>0.771154</v>
      </c>
      <c r="AM17" s="100">
        <v>0.566667</v>
      </c>
      <c r="AN17" s="100">
        <v>0.595294</v>
      </c>
      <c r="AO17" s="98">
        <v>1190.6151511614335</v>
      </c>
      <c r="AP17" s="158">
        <v>0.654181366</v>
      </c>
      <c r="AQ17" s="100">
        <v>0.17647058823529413</v>
      </c>
      <c r="AR17" s="100">
        <v>0.3103448275862069</v>
      </c>
      <c r="AS17" s="98">
        <v>245.1266487685304</v>
      </c>
      <c r="AT17" s="98">
        <v>210.10855608731177</v>
      </c>
      <c r="AU17" s="98">
        <v>70.03618536243727</v>
      </c>
      <c r="AV17" s="98">
        <v>186.76316096649936</v>
      </c>
      <c r="AW17" s="98">
        <v>513.5986926578732</v>
      </c>
      <c r="AX17" s="98">
        <v>338.5082292517801</v>
      </c>
      <c r="AY17" s="98">
        <v>1003.851990194934</v>
      </c>
      <c r="AZ17" s="98">
        <v>968.8338975137154</v>
      </c>
      <c r="BA17" s="100" t="s">
        <v>513</v>
      </c>
      <c r="BB17" s="100" t="s">
        <v>513</v>
      </c>
      <c r="BC17" s="100" t="s">
        <v>513</v>
      </c>
      <c r="BD17" s="158">
        <v>0.5334067535</v>
      </c>
      <c r="BE17" s="158">
        <v>0.7941316223</v>
      </c>
      <c r="BF17" s="162">
        <v>985</v>
      </c>
      <c r="BG17" s="162">
        <v>18</v>
      </c>
      <c r="BH17" s="162">
        <v>2080</v>
      </c>
      <c r="BI17" s="162">
        <v>930</v>
      </c>
      <c r="BJ17" s="162">
        <v>425</v>
      </c>
      <c r="BK17" s="97"/>
      <c r="BL17" s="97"/>
      <c r="BM17" s="97"/>
      <c r="BN17" s="97"/>
    </row>
    <row r="18" spans="1:66" ht="12.75">
      <c r="A18" s="79" t="s">
        <v>498</v>
      </c>
      <c r="B18" s="79" t="s">
        <v>294</v>
      </c>
      <c r="C18" s="79" t="s">
        <v>103</v>
      </c>
      <c r="D18" s="99">
        <v>7359</v>
      </c>
      <c r="E18" s="99">
        <v>1192</v>
      </c>
      <c r="F18" s="99" t="s">
        <v>322</v>
      </c>
      <c r="G18" s="99">
        <v>32</v>
      </c>
      <c r="H18" s="99">
        <v>19</v>
      </c>
      <c r="I18" s="99">
        <v>121</v>
      </c>
      <c r="J18" s="99">
        <v>603</v>
      </c>
      <c r="K18" s="99">
        <v>566</v>
      </c>
      <c r="L18" s="99">
        <v>1328</v>
      </c>
      <c r="M18" s="99">
        <v>437</v>
      </c>
      <c r="N18" s="99">
        <v>232</v>
      </c>
      <c r="O18" s="99">
        <v>174</v>
      </c>
      <c r="P18" s="159">
        <v>174</v>
      </c>
      <c r="Q18" s="99">
        <v>14</v>
      </c>
      <c r="R18" s="99">
        <v>37</v>
      </c>
      <c r="S18" s="99">
        <v>31</v>
      </c>
      <c r="T18" s="99">
        <v>32</v>
      </c>
      <c r="U18" s="99">
        <v>6</v>
      </c>
      <c r="V18" s="99">
        <v>21</v>
      </c>
      <c r="W18" s="99">
        <v>53</v>
      </c>
      <c r="X18" s="99">
        <v>41</v>
      </c>
      <c r="Y18" s="99">
        <v>104</v>
      </c>
      <c r="Z18" s="99">
        <v>60</v>
      </c>
      <c r="AA18" s="99" t="s">
        <v>513</v>
      </c>
      <c r="AB18" s="99" t="s">
        <v>513</v>
      </c>
      <c r="AC18" s="99" t="s">
        <v>513</v>
      </c>
      <c r="AD18" s="98" t="s">
        <v>302</v>
      </c>
      <c r="AE18" s="100">
        <v>0.16197852969153417</v>
      </c>
      <c r="AF18" s="100">
        <v>0.22</v>
      </c>
      <c r="AG18" s="98">
        <v>434.8416904470716</v>
      </c>
      <c r="AH18" s="98">
        <v>258.1872537029488</v>
      </c>
      <c r="AI18" s="100">
        <v>0.016</v>
      </c>
      <c r="AJ18" s="100">
        <v>0.689143</v>
      </c>
      <c r="AK18" s="100">
        <v>0.680288</v>
      </c>
      <c r="AL18" s="100">
        <v>0.711683</v>
      </c>
      <c r="AM18" s="100">
        <v>0.53423</v>
      </c>
      <c r="AN18" s="100">
        <v>0.58</v>
      </c>
      <c r="AO18" s="98">
        <v>2364.4516918059517</v>
      </c>
      <c r="AP18" s="158">
        <v>1.269649811</v>
      </c>
      <c r="AQ18" s="100">
        <v>0.08045977011494253</v>
      </c>
      <c r="AR18" s="100">
        <v>0.3783783783783784</v>
      </c>
      <c r="AS18" s="98">
        <v>421.25288762060063</v>
      </c>
      <c r="AT18" s="98">
        <v>434.8416904470716</v>
      </c>
      <c r="AU18" s="98">
        <v>81.53281695882593</v>
      </c>
      <c r="AV18" s="98">
        <v>285.36485935589076</v>
      </c>
      <c r="AW18" s="98">
        <v>720.2065498029624</v>
      </c>
      <c r="AX18" s="98">
        <v>557.1409158853105</v>
      </c>
      <c r="AY18" s="98">
        <v>1413.2354939529828</v>
      </c>
      <c r="AZ18" s="98">
        <v>815.3281695882592</v>
      </c>
      <c r="BA18" s="100" t="s">
        <v>513</v>
      </c>
      <c r="BB18" s="100" t="s">
        <v>513</v>
      </c>
      <c r="BC18" s="100" t="s">
        <v>513</v>
      </c>
      <c r="BD18" s="158">
        <v>1.08800293</v>
      </c>
      <c r="BE18" s="158">
        <v>1.4729518129999999</v>
      </c>
      <c r="BF18" s="162">
        <v>875</v>
      </c>
      <c r="BG18" s="162">
        <v>832</v>
      </c>
      <c r="BH18" s="162">
        <v>1866</v>
      </c>
      <c r="BI18" s="162">
        <v>818</v>
      </c>
      <c r="BJ18" s="162">
        <v>400</v>
      </c>
      <c r="BK18" s="97"/>
      <c r="BL18" s="97"/>
      <c r="BM18" s="97"/>
      <c r="BN18" s="97"/>
    </row>
    <row r="19" spans="1:66" ht="12.75">
      <c r="A19" s="79" t="s">
        <v>489</v>
      </c>
      <c r="B19" s="79" t="s">
        <v>286</v>
      </c>
      <c r="C19" s="79" t="s">
        <v>103</v>
      </c>
      <c r="D19" s="99">
        <v>7369</v>
      </c>
      <c r="E19" s="99">
        <v>1270</v>
      </c>
      <c r="F19" s="99" t="s">
        <v>323</v>
      </c>
      <c r="G19" s="99">
        <v>52</v>
      </c>
      <c r="H19" s="99">
        <v>20</v>
      </c>
      <c r="I19" s="99">
        <v>154</v>
      </c>
      <c r="J19" s="99">
        <v>589</v>
      </c>
      <c r="K19" s="99">
        <v>573</v>
      </c>
      <c r="L19" s="99">
        <v>1168</v>
      </c>
      <c r="M19" s="99">
        <v>405</v>
      </c>
      <c r="N19" s="99">
        <v>201</v>
      </c>
      <c r="O19" s="99">
        <v>162</v>
      </c>
      <c r="P19" s="159">
        <v>162</v>
      </c>
      <c r="Q19" s="99">
        <v>21</v>
      </c>
      <c r="R19" s="99">
        <v>49</v>
      </c>
      <c r="S19" s="99">
        <v>28</v>
      </c>
      <c r="T19" s="99">
        <v>21</v>
      </c>
      <c r="U19" s="99">
        <v>10</v>
      </c>
      <c r="V19" s="99">
        <v>20</v>
      </c>
      <c r="W19" s="99">
        <v>35</v>
      </c>
      <c r="X19" s="99">
        <v>22</v>
      </c>
      <c r="Y19" s="99">
        <v>71</v>
      </c>
      <c r="Z19" s="99">
        <v>49</v>
      </c>
      <c r="AA19" s="99" t="s">
        <v>513</v>
      </c>
      <c r="AB19" s="99" t="s">
        <v>513</v>
      </c>
      <c r="AC19" s="99" t="s">
        <v>513</v>
      </c>
      <c r="AD19" s="98" t="s">
        <v>302</v>
      </c>
      <c r="AE19" s="100">
        <v>0.17234360157416204</v>
      </c>
      <c r="AF19" s="100">
        <v>0.28</v>
      </c>
      <c r="AG19" s="98">
        <v>705.6588410910572</v>
      </c>
      <c r="AH19" s="98">
        <v>271.4072465734835</v>
      </c>
      <c r="AI19" s="100">
        <v>0.021</v>
      </c>
      <c r="AJ19" s="100">
        <v>0.645833</v>
      </c>
      <c r="AK19" s="100">
        <v>0.643098</v>
      </c>
      <c r="AL19" s="100">
        <v>0.694825</v>
      </c>
      <c r="AM19" s="100">
        <v>0.477032</v>
      </c>
      <c r="AN19" s="100">
        <v>0.530343</v>
      </c>
      <c r="AO19" s="98">
        <v>2198.398697245216</v>
      </c>
      <c r="AP19" s="158">
        <v>1.1543988040000002</v>
      </c>
      <c r="AQ19" s="100">
        <v>0.12962962962962962</v>
      </c>
      <c r="AR19" s="100">
        <v>0.42857142857142855</v>
      </c>
      <c r="AS19" s="98">
        <v>379.9701452028769</v>
      </c>
      <c r="AT19" s="98">
        <v>284.97760890215767</v>
      </c>
      <c r="AU19" s="98">
        <v>135.70362328674176</v>
      </c>
      <c r="AV19" s="98">
        <v>271.4072465734835</v>
      </c>
      <c r="AW19" s="98">
        <v>474.9626815035962</v>
      </c>
      <c r="AX19" s="98">
        <v>298.5479712308319</v>
      </c>
      <c r="AY19" s="98">
        <v>963.4957253358665</v>
      </c>
      <c r="AZ19" s="98">
        <v>664.9477541050346</v>
      </c>
      <c r="BA19" s="100" t="s">
        <v>513</v>
      </c>
      <c r="BB19" s="100" t="s">
        <v>513</v>
      </c>
      <c r="BC19" s="100" t="s">
        <v>513</v>
      </c>
      <c r="BD19" s="158">
        <v>0.983476181</v>
      </c>
      <c r="BE19" s="158">
        <v>1.346488037</v>
      </c>
      <c r="BF19" s="162">
        <v>912</v>
      </c>
      <c r="BG19" s="162">
        <v>891</v>
      </c>
      <c r="BH19" s="162">
        <v>1681</v>
      </c>
      <c r="BI19" s="162">
        <v>849</v>
      </c>
      <c r="BJ19" s="162">
        <v>379</v>
      </c>
      <c r="BK19" s="97"/>
      <c r="BL19" s="97"/>
      <c r="BM19" s="97"/>
      <c r="BN19" s="97"/>
    </row>
    <row r="20" spans="1:66" ht="12.75">
      <c r="A20" s="79" t="s">
        <v>491</v>
      </c>
      <c r="B20" s="79" t="s">
        <v>288</v>
      </c>
      <c r="C20" s="79" t="s">
        <v>103</v>
      </c>
      <c r="D20" s="99">
        <v>11857</v>
      </c>
      <c r="E20" s="99">
        <v>2114</v>
      </c>
      <c r="F20" s="99" t="s">
        <v>323</v>
      </c>
      <c r="G20" s="99">
        <v>52</v>
      </c>
      <c r="H20" s="99">
        <v>33</v>
      </c>
      <c r="I20" s="99">
        <v>158</v>
      </c>
      <c r="J20" s="99">
        <v>816</v>
      </c>
      <c r="K20" s="99">
        <v>18</v>
      </c>
      <c r="L20" s="99">
        <v>1722</v>
      </c>
      <c r="M20" s="99">
        <v>658</v>
      </c>
      <c r="N20" s="99">
        <v>314</v>
      </c>
      <c r="O20" s="99">
        <v>229</v>
      </c>
      <c r="P20" s="159">
        <v>229</v>
      </c>
      <c r="Q20" s="99">
        <v>31</v>
      </c>
      <c r="R20" s="99">
        <v>63</v>
      </c>
      <c r="S20" s="99">
        <v>37</v>
      </c>
      <c r="T20" s="99">
        <v>27</v>
      </c>
      <c r="U20" s="99">
        <v>7</v>
      </c>
      <c r="V20" s="99">
        <v>37</v>
      </c>
      <c r="W20" s="99">
        <v>61</v>
      </c>
      <c r="X20" s="99">
        <v>60</v>
      </c>
      <c r="Y20" s="99">
        <v>106</v>
      </c>
      <c r="Z20" s="99">
        <v>78</v>
      </c>
      <c r="AA20" s="99" t="s">
        <v>513</v>
      </c>
      <c r="AB20" s="99" t="s">
        <v>513</v>
      </c>
      <c r="AC20" s="99" t="s">
        <v>513</v>
      </c>
      <c r="AD20" s="98" t="s">
        <v>302</v>
      </c>
      <c r="AE20" s="100">
        <v>0.17829130471451463</v>
      </c>
      <c r="AF20" s="100">
        <v>0.26</v>
      </c>
      <c r="AG20" s="98">
        <v>438.55950071687613</v>
      </c>
      <c r="AH20" s="98">
        <v>278.3166062241714</v>
      </c>
      <c r="AI20" s="100">
        <v>0.013000000000000001</v>
      </c>
      <c r="AJ20" s="100">
        <v>0.625287</v>
      </c>
      <c r="AK20" s="100">
        <v>0.45</v>
      </c>
      <c r="AL20" s="100">
        <v>0.665122</v>
      </c>
      <c r="AM20" s="100">
        <v>0.492147</v>
      </c>
      <c r="AN20" s="100">
        <v>0.544194</v>
      </c>
      <c r="AO20" s="98">
        <v>1931.3485704647044</v>
      </c>
      <c r="AP20" s="158">
        <v>1.033319702</v>
      </c>
      <c r="AQ20" s="100">
        <v>0.13537117903930132</v>
      </c>
      <c r="AR20" s="100">
        <v>0.49206349206349204</v>
      </c>
      <c r="AS20" s="98">
        <v>312.05195243316183</v>
      </c>
      <c r="AT20" s="98">
        <v>227.71358691068568</v>
      </c>
      <c r="AU20" s="98">
        <v>59.03685586573332</v>
      </c>
      <c r="AV20" s="98">
        <v>312.05195243316183</v>
      </c>
      <c r="AW20" s="98">
        <v>514.4640296871047</v>
      </c>
      <c r="AX20" s="98">
        <v>506.03019313485703</v>
      </c>
      <c r="AY20" s="98">
        <v>893.9866745382475</v>
      </c>
      <c r="AZ20" s="98">
        <v>657.8392510753141</v>
      </c>
      <c r="BA20" s="100" t="s">
        <v>513</v>
      </c>
      <c r="BB20" s="100" t="s">
        <v>513</v>
      </c>
      <c r="BC20" s="100" t="s">
        <v>513</v>
      </c>
      <c r="BD20" s="158">
        <v>0.9038098907</v>
      </c>
      <c r="BE20" s="158">
        <v>1.176178894</v>
      </c>
      <c r="BF20" s="162">
        <v>1305</v>
      </c>
      <c r="BG20" s="162">
        <v>40</v>
      </c>
      <c r="BH20" s="162">
        <v>2589</v>
      </c>
      <c r="BI20" s="162">
        <v>1337</v>
      </c>
      <c r="BJ20" s="162">
        <v>577</v>
      </c>
      <c r="BK20" s="97"/>
      <c r="BL20" s="97"/>
      <c r="BM20" s="97"/>
      <c r="BN20" s="97"/>
    </row>
    <row r="21" spans="1:66" ht="12.75">
      <c r="A21" s="79" t="s">
        <v>497</v>
      </c>
      <c r="B21" s="79" t="s">
        <v>482</v>
      </c>
      <c r="C21" s="79" t="s">
        <v>103</v>
      </c>
      <c r="D21" s="99">
        <v>9268</v>
      </c>
      <c r="E21" s="99">
        <v>1740</v>
      </c>
      <c r="F21" s="99" t="s">
        <v>322</v>
      </c>
      <c r="G21" s="99">
        <v>61</v>
      </c>
      <c r="H21" s="99">
        <v>41</v>
      </c>
      <c r="I21" s="99">
        <v>180</v>
      </c>
      <c r="J21" s="99">
        <v>847</v>
      </c>
      <c r="K21" s="99">
        <v>716</v>
      </c>
      <c r="L21" s="99">
        <v>1542</v>
      </c>
      <c r="M21" s="99">
        <v>563</v>
      </c>
      <c r="N21" s="99">
        <v>262</v>
      </c>
      <c r="O21" s="99">
        <v>183</v>
      </c>
      <c r="P21" s="159">
        <v>183</v>
      </c>
      <c r="Q21" s="99">
        <v>29</v>
      </c>
      <c r="R21" s="99">
        <v>56</v>
      </c>
      <c r="S21" s="99">
        <v>43</v>
      </c>
      <c r="T21" s="99">
        <v>28</v>
      </c>
      <c r="U21" s="99">
        <v>8</v>
      </c>
      <c r="V21" s="99">
        <v>35</v>
      </c>
      <c r="W21" s="99">
        <v>49</v>
      </c>
      <c r="X21" s="99">
        <v>36</v>
      </c>
      <c r="Y21" s="99">
        <v>109</v>
      </c>
      <c r="Z21" s="99">
        <v>79</v>
      </c>
      <c r="AA21" s="99" t="s">
        <v>513</v>
      </c>
      <c r="AB21" s="99" t="s">
        <v>513</v>
      </c>
      <c r="AC21" s="99" t="s">
        <v>513</v>
      </c>
      <c r="AD21" s="98" t="s">
        <v>302</v>
      </c>
      <c r="AE21" s="100">
        <v>0.18774277082434182</v>
      </c>
      <c r="AF21" s="100">
        <v>0.23</v>
      </c>
      <c r="AG21" s="98">
        <v>658.1786793267156</v>
      </c>
      <c r="AH21" s="98">
        <v>442.3823910228744</v>
      </c>
      <c r="AI21" s="100">
        <v>0.019</v>
      </c>
      <c r="AJ21" s="100">
        <v>0.719015</v>
      </c>
      <c r="AK21" s="100">
        <v>0.699219</v>
      </c>
      <c r="AL21" s="100">
        <v>0.720561</v>
      </c>
      <c r="AM21" s="100">
        <v>0.507665</v>
      </c>
      <c r="AN21" s="100">
        <v>0.522954</v>
      </c>
      <c r="AO21" s="98">
        <v>1974.5360379801468</v>
      </c>
      <c r="AP21" s="158">
        <v>0.9968755341000001</v>
      </c>
      <c r="AQ21" s="100">
        <v>0.15846994535519127</v>
      </c>
      <c r="AR21" s="100">
        <v>0.5178571428571429</v>
      </c>
      <c r="AS21" s="98">
        <v>463.96201985325854</v>
      </c>
      <c r="AT21" s="98">
        <v>302.11480362537765</v>
      </c>
      <c r="AU21" s="98">
        <v>86.31851532153647</v>
      </c>
      <c r="AV21" s="98">
        <v>377.64350453172204</v>
      </c>
      <c r="AW21" s="98">
        <v>528.7009063444109</v>
      </c>
      <c r="AX21" s="98">
        <v>388.4333189469141</v>
      </c>
      <c r="AY21" s="98">
        <v>1176.0897712559345</v>
      </c>
      <c r="AZ21" s="98">
        <v>852.3953388001727</v>
      </c>
      <c r="BA21" s="100" t="s">
        <v>513</v>
      </c>
      <c r="BB21" s="100" t="s">
        <v>513</v>
      </c>
      <c r="BC21" s="100" t="s">
        <v>513</v>
      </c>
      <c r="BD21" s="158">
        <v>0.8576701355</v>
      </c>
      <c r="BE21" s="158">
        <v>1.152237549</v>
      </c>
      <c r="BF21" s="162">
        <v>1178</v>
      </c>
      <c r="BG21" s="162">
        <v>1024</v>
      </c>
      <c r="BH21" s="162">
        <v>2140</v>
      </c>
      <c r="BI21" s="162">
        <v>1109</v>
      </c>
      <c r="BJ21" s="162">
        <v>501</v>
      </c>
      <c r="BK21" s="97"/>
      <c r="BL21" s="97"/>
      <c r="BM21" s="97"/>
      <c r="BN21" s="97"/>
    </row>
    <row r="22" spans="1:66" ht="12.75">
      <c r="A22" s="79" t="s">
        <v>504</v>
      </c>
      <c r="B22" s="79" t="s">
        <v>300</v>
      </c>
      <c r="C22" s="79" t="s">
        <v>103</v>
      </c>
      <c r="D22" s="99">
        <v>2619</v>
      </c>
      <c r="E22" s="99">
        <v>323</v>
      </c>
      <c r="F22" s="99" t="s">
        <v>322</v>
      </c>
      <c r="G22" s="99">
        <v>14</v>
      </c>
      <c r="H22" s="99" t="s">
        <v>513</v>
      </c>
      <c r="I22" s="99">
        <v>21</v>
      </c>
      <c r="J22" s="99">
        <v>137</v>
      </c>
      <c r="K22" s="99">
        <v>7</v>
      </c>
      <c r="L22" s="99">
        <v>430</v>
      </c>
      <c r="M22" s="99">
        <v>99</v>
      </c>
      <c r="N22" s="99">
        <v>48</v>
      </c>
      <c r="O22" s="99">
        <v>13</v>
      </c>
      <c r="P22" s="159">
        <v>13</v>
      </c>
      <c r="Q22" s="99" t="s">
        <v>513</v>
      </c>
      <c r="R22" s="99">
        <v>10</v>
      </c>
      <c r="S22" s="99" t="s">
        <v>513</v>
      </c>
      <c r="T22" s="99" t="s">
        <v>513</v>
      </c>
      <c r="U22" s="99">
        <v>6</v>
      </c>
      <c r="V22" s="99" t="s">
        <v>513</v>
      </c>
      <c r="W22" s="99" t="s">
        <v>513</v>
      </c>
      <c r="X22" s="99">
        <v>16</v>
      </c>
      <c r="Y22" s="99">
        <v>13</v>
      </c>
      <c r="Z22" s="99">
        <v>10</v>
      </c>
      <c r="AA22" s="99" t="s">
        <v>513</v>
      </c>
      <c r="AB22" s="99" t="s">
        <v>513</v>
      </c>
      <c r="AC22" s="99" t="s">
        <v>513</v>
      </c>
      <c r="AD22" s="98" t="s">
        <v>302</v>
      </c>
      <c r="AE22" s="100">
        <v>0.1233295150820924</v>
      </c>
      <c r="AF22" s="100">
        <v>0.23</v>
      </c>
      <c r="AG22" s="98">
        <v>534.5551737304314</v>
      </c>
      <c r="AH22" s="98" t="s">
        <v>513</v>
      </c>
      <c r="AI22" s="100">
        <v>0.008</v>
      </c>
      <c r="AJ22" s="100">
        <v>0.568465</v>
      </c>
      <c r="AK22" s="100">
        <v>0.583333</v>
      </c>
      <c r="AL22" s="100">
        <v>0.713101</v>
      </c>
      <c r="AM22" s="100">
        <v>0.485294</v>
      </c>
      <c r="AN22" s="100">
        <v>0.545455</v>
      </c>
      <c r="AO22" s="98">
        <v>496.37266132111495</v>
      </c>
      <c r="AP22" s="158">
        <v>0.3211235809</v>
      </c>
      <c r="AQ22" s="100" t="s">
        <v>513</v>
      </c>
      <c r="AR22" s="100" t="s">
        <v>513</v>
      </c>
      <c r="AS22" s="98" t="s">
        <v>513</v>
      </c>
      <c r="AT22" s="98" t="s">
        <v>513</v>
      </c>
      <c r="AU22" s="98">
        <v>229.0950744558992</v>
      </c>
      <c r="AV22" s="98" t="s">
        <v>513</v>
      </c>
      <c r="AW22" s="98" t="s">
        <v>513</v>
      </c>
      <c r="AX22" s="98">
        <v>610.9201985490645</v>
      </c>
      <c r="AY22" s="98">
        <v>496.37266132111495</v>
      </c>
      <c r="AZ22" s="98">
        <v>381.82512409316536</v>
      </c>
      <c r="BA22" s="100" t="s">
        <v>513</v>
      </c>
      <c r="BB22" s="100" t="s">
        <v>513</v>
      </c>
      <c r="BC22" s="100" t="s">
        <v>513</v>
      </c>
      <c r="BD22" s="158">
        <v>0.17098478320000002</v>
      </c>
      <c r="BE22" s="158">
        <v>0.5491311264000001</v>
      </c>
      <c r="BF22" s="162">
        <v>241</v>
      </c>
      <c r="BG22" s="162">
        <v>12</v>
      </c>
      <c r="BH22" s="162">
        <v>603</v>
      </c>
      <c r="BI22" s="162">
        <v>204</v>
      </c>
      <c r="BJ22" s="162">
        <v>88</v>
      </c>
      <c r="BK22" s="97"/>
      <c r="BL22" s="97"/>
      <c r="BM22" s="97"/>
      <c r="BN22" s="97"/>
    </row>
    <row r="23" spans="1:66" ht="12.75">
      <c r="A23" s="79" t="s">
        <v>487</v>
      </c>
      <c r="B23" s="79" t="s">
        <v>284</v>
      </c>
      <c r="C23" s="79" t="s">
        <v>103</v>
      </c>
      <c r="D23" s="99">
        <v>10026</v>
      </c>
      <c r="E23" s="99">
        <v>1617</v>
      </c>
      <c r="F23" s="99" t="s">
        <v>323</v>
      </c>
      <c r="G23" s="99">
        <v>47</v>
      </c>
      <c r="H23" s="99">
        <v>31</v>
      </c>
      <c r="I23" s="99">
        <v>130</v>
      </c>
      <c r="J23" s="99">
        <v>715</v>
      </c>
      <c r="K23" s="99">
        <v>11</v>
      </c>
      <c r="L23" s="99">
        <v>1644</v>
      </c>
      <c r="M23" s="99">
        <v>525</v>
      </c>
      <c r="N23" s="99">
        <v>257</v>
      </c>
      <c r="O23" s="99">
        <v>170</v>
      </c>
      <c r="P23" s="159">
        <v>170</v>
      </c>
      <c r="Q23" s="99">
        <v>19</v>
      </c>
      <c r="R23" s="99">
        <v>55</v>
      </c>
      <c r="S23" s="99">
        <v>27</v>
      </c>
      <c r="T23" s="99">
        <v>31</v>
      </c>
      <c r="U23" s="99">
        <v>10</v>
      </c>
      <c r="V23" s="99">
        <v>34</v>
      </c>
      <c r="W23" s="99">
        <v>44</v>
      </c>
      <c r="X23" s="99">
        <v>45</v>
      </c>
      <c r="Y23" s="99">
        <v>103</v>
      </c>
      <c r="Z23" s="99">
        <v>58</v>
      </c>
      <c r="AA23" s="99" t="s">
        <v>513</v>
      </c>
      <c r="AB23" s="99" t="s">
        <v>513</v>
      </c>
      <c r="AC23" s="99" t="s">
        <v>513</v>
      </c>
      <c r="AD23" s="98" t="s">
        <v>302</v>
      </c>
      <c r="AE23" s="100">
        <v>0.16128067025733095</v>
      </c>
      <c r="AF23" s="100">
        <v>0.26</v>
      </c>
      <c r="AG23" s="98">
        <v>468.7811689607022</v>
      </c>
      <c r="AH23" s="98">
        <v>309.1960901655695</v>
      </c>
      <c r="AI23" s="100">
        <v>0.013000000000000001</v>
      </c>
      <c r="AJ23" s="100">
        <v>0.598827</v>
      </c>
      <c r="AK23" s="100">
        <v>0.578947</v>
      </c>
      <c r="AL23" s="100">
        <v>0.726469</v>
      </c>
      <c r="AM23" s="100">
        <v>0.447189</v>
      </c>
      <c r="AN23" s="100">
        <v>0.503922</v>
      </c>
      <c r="AO23" s="98">
        <v>1695.5914621982845</v>
      </c>
      <c r="AP23" s="158">
        <v>0.9277236938</v>
      </c>
      <c r="AQ23" s="100">
        <v>0.11176470588235295</v>
      </c>
      <c r="AR23" s="100">
        <v>0.34545454545454546</v>
      </c>
      <c r="AS23" s="98">
        <v>269.29982046678634</v>
      </c>
      <c r="AT23" s="98">
        <v>309.1960901655695</v>
      </c>
      <c r="AU23" s="98">
        <v>99.74067424695791</v>
      </c>
      <c r="AV23" s="98">
        <v>339.1182924396569</v>
      </c>
      <c r="AW23" s="98">
        <v>438.8589666866148</v>
      </c>
      <c r="AX23" s="98">
        <v>448.8330341113106</v>
      </c>
      <c r="AY23" s="98">
        <v>1027.3289447436664</v>
      </c>
      <c r="AZ23" s="98">
        <v>578.4959106323558</v>
      </c>
      <c r="BA23" s="100" t="s">
        <v>513</v>
      </c>
      <c r="BB23" s="100" t="s">
        <v>513</v>
      </c>
      <c r="BC23" s="100" t="s">
        <v>513</v>
      </c>
      <c r="BD23" s="158">
        <v>0.7935045624</v>
      </c>
      <c r="BE23" s="158">
        <v>1.078143082</v>
      </c>
      <c r="BF23" s="162">
        <v>1194</v>
      </c>
      <c r="BG23" s="162">
        <v>19</v>
      </c>
      <c r="BH23" s="162">
        <v>2263</v>
      </c>
      <c r="BI23" s="162">
        <v>1174</v>
      </c>
      <c r="BJ23" s="162">
        <v>510</v>
      </c>
      <c r="BK23" s="97"/>
      <c r="BL23" s="97"/>
      <c r="BM23" s="97"/>
      <c r="BN23" s="97"/>
    </row>
    <row r="24" spans="1:66" ht="12.75">
      <c r="A24" s="79" t="s">
        <v>104</v>
      </c>
      <c r="B24" s="94" t="s">
        <v>103</v>
      </c>
      <c r="C24" s="94" t="s">
        <v>7</v>
      </c>
      <c r="D24" s="99">
        <v>140964</v>
      </c>
      <c r="E24" s="99">
        <v>24318</v>
      </c>
      <c r="F24" s="99">
        <v>33654.21</v>
      </c>
      <c r="G24" s="99">
        <v>768</v>
      </c>
      <c r="H24" s="99">
        <v>449</v>
      </c>
      <c r="I24" s="99">
        <v>2404</v>
      </c>
      <c r="J24" s="99">
        <v>11189</v>
      </c>
      <c r="K24" s="99">
        <v>4663</v>
      </c>
      <c r="L24" s="99">
        <v>23965</v>
      </c>
      <c r="M24" s="99">
        <v>7993</v>
      </c>
      <c r="N24" s="99">
        <v>3847</v>
      </c>
      <c r="O24" s="99">
        <v>2777</v>
      </c>
      <c r="P24" s="99">
        <v>2777</v>
      </c>
      <c r="Q24" s="99">
        <v>381</v>
      </c>
      <c r="R24" s="99">
        <v>845</v>
      </c>
      <c r="S24" s="99">
        <v>486</v>
      </c>
      <c r="T24" s="99">
        <v>405</v>
      </c>
      <c r="U24" s="99">
        <v>144</v>
      </c>
      <c r="V24" s="99">
        <v>470</v>
      </c>
      <c r="W24" s="99">
        <v>690</v>
      </c>
      <c r="X24" s="99">
        <v>670</v>
      </c>
      <c r="Y24" s="99">
        <v>1488</v>
      </c>
      <c r="Z24" s="99">
        <v>1100</v>
      </c>
      <c r="AA24" s="99">
        <v>0</v>
      </c>
      <c r="AB24" s="99">
        <v>0</v>
      </c>
      <c r="AC24" s="99">
        <v>0</v>
      </c>
      <c r="AD24" s="98">
        <v>0</v>
      </c>
      <c r="AE24" s="101">
        <v>0.17251213075678898</v>
      </c>
      <c r="AF24" s="101">
        <v>0.23874329616072187</v>
      </c>
      <c r="AG24" s="98">
        <v>544.8199540308163</v>
      </c>
      <c r="AH24" s="98">
        <v>318.52104083312054</v>
      </c>
      <c r="AI24" s="101">
        <v>0.01705399960273545</v>
      </c>
      <c r="AJ24" s="101">
        <v>0.6636023960619181</v>
      </c>
      <c r="AK24" s="101">
        <v>0.7112568639414277</v>
      </c>
      <c r="AL24" s="101">
        <v>0.7259261503044255</v>
      </c>
      <c r="AM24" s="101">
        <v>0.5028941739021014</v>
      </c>
      <c r="AN24" s="101">
        <v>0.5456737588652483</v>
      </c>
      <c r="AO24" s="98">
        <v>1970.0065264890327</v>
      </c>
      <c r="AP24" s="98">
        <v>0</v>
      </c>
      <c r="AQ24" s="101">
        <v>0.13719841555635579</v>
      </c>
      <c r="AR24" s="101">
        <v>0.450887573964497</v>
      </c>
      <c r="AS24" s="98">
        <v>344.768877160126</v>
      </c>
      <c r="AT24" s="98">
        <v>287.3073976334383</v>
      </c>
      <c r="AU24" s="98">
        <v>102.15374138077807</v>
      </c>
      <c r="AV24" s="98">
        <v>333.4184614511507</v>
      </c>
      <c r="AW24" s="98">
        <v>489.48667744956157</v>
      </c>
      <c r="AX24" s="98">
        <v>475.2986578133424</v>
      </c>
      <c r="AY24" s="98">
        <v>1055.5886609347067</v>
      </c>
      <c r="AZ24" s="98">
        <v>780.3410799920547</v>
      </c>
      <c r="BA24" s="101">
        <v>0</v>
      </c>
      <c r="BB24" s="101">
        <v>0</v>
      </c>
      <c r="BC24" s="101">
        <v>0</v>
      </c>
      <c r="BD24" s="98">
        <v>0</v>
      </c>
      <c r="BE24" s="98">
        <v>0</v>
      </c>
      <c r="BF24" s="99">
        <v>16861</v>
      </c>
      <c r="BG24" s="99">
        <v>6556</v>
      </c>
      <c r="BH24" s="99">
        <v>33013</v>
      </c>
      <c r="BI24" s="99">
        <v>15894</v>
      </c>
      <c r="BJ24" s="99">
        <v>7050</v>
      </c>
      <c r="BK24" s="97"/>
      <c r="BL24" s="97"/>
      <c r="BM24" s="97"/>
      <c r="BN24" s="97"/>
    </row>
    <row r="25" spans="1:66" ht="12.75">
      <c r="A25" s="79" t="s">
        <v>24</v>
      </c>
      <c r="B25" s="94" t="s">
        <v>7</v>
      </c>
      <c r="C25" s="94" t="s">
        <v>7</v>
      </c>
      <c r="D25" s="99">
        <v>54615830</v>
      </c>
      <c r="E25" s="99">
        <v>8737890</v>
      </c>
      <c r="F25" s="99">
        <v>8198344.169999988</v>
      </c>
      <c r="G25" s="99">
        <v>243379</v>
      </c>
      <c r="H25" s="99">
        <v>127868</v>
      </c>
      <c r="I25" s="99">
        <v>870616</v>
      </c>
      <c r="J25" s="99">
        <v>4592627</v>
      </c>
      <c r="K25" s="99">
        <v>1679592</v>
      </c>
      <c r="L25" s="99">
        <v>10150944</v>
      </c>
      <c r="M25" s="99">
        <v>2959539</v>
      </c>
      <c r="N25" s="99">
        <v>1629320</v>
      </c>
      <c r="O25" s="99">
        <v>989730</v>
      </c>
      <c r="P25" s="99">
        <v>989730</v>
      </c>
      <c r="Q25" s="99">
        <v>108072</v>
      </c>
      <c r="R25" s="99">
        <v>238330</v>
      </c>
      <c r="S25" s="99">
        <v>206300</v>
      </c>
      <c r="T25" s="99">
        <v>154264</v>
      </c>
      <c r="U25" s="99">
        <v>38486</v>
      </c>
      <c r="V25" s="99">
        <v>176535</v>
      </c>
      <c r="W25" s="99">
        <v>307276</v>
      </c>
      <c r="X25" s="99">
        <v>221506</v>
      </c>
      <c r="Y25" s="99">
        <v>578574</v>
      </c>
      <c r="Z25" s="99">
        <v>318377</v>
      </c>
      <c r="AA25" s="99">
        <v>0</v>
      </c>
      <c r="AB25" s="99">
        <v>0</v>
      </c>
      <c r="AC25" s="99">
        <v>0</v>
      </c>
      <c r="AD25" s="98">
        <v>0</v>
      </c>
      <c r="AE25" s="101">
        <v>0.1599882305185145</v>
      </c>
      <c r="AF25" s="101">
        <v>0.15010930292554353</v>
      </c>
      <c r="AG25" s="98">
        <v>445.6198871279627</v>
      </c>
      <c r="AH25" s="98">
        <v>234.12259778895606</v>
      </c>
      <c r="AI25" s="101">
        <v>0.015940726342527432</v>
      </c>
      <c r="AJ25" s="101">
        <v>0.7248631360507991</v>
      </c>
      <c r="AK25" s="101">
        <v>0.7467412166569077</v>
      </c>
      <c r="AL25" s="101">
        <v>0.7559681673907895</v>
      </c>
      <c r="AM25" s="101">
        <v>0.5147293797466616</v>
      </c>
      <c r="AN25" s="101">
        <v>0.5752927626212945</v>
      </c>
      <c r="AO25" s="98">
        <v>1812.1669120472948</v>
      </c>
      <c r="AP25" s="98">
        <v>1</v>
      </c>
      <c r="AQ25" s="101">
        <v>0.10919341638628717</v>
      </c>
      <c r="AR25" s="101">
        <v>0.4534552930810221</v>
      </c>
      <c r="AS25" s="98">
        <v>377.7293140102421</v>
      </c>
      <c r="AT25" s="98">
        <v>282.45290788403287</v>
      </c>
      <c r="AU25" s="98">
        <v>70.46674929228394</v>
      </c>
      <c r="AV25" s="98">
        <v>323.23046266988894</v>
      </c>
      <c r="AW25" s="98">
        <v>562.6134400960308</v>
      </c>
      <c r="AX25" s="98">
        <v>405.57105879375996</v>
      </c>
      <c r="AY25" s="98">
        <v>1059.3522061277838</v>
      </c>
      <c r="AZ25" s="98">
        <v>582.9390489900089</v>
      </c>
      <c r="BA25" s="101">
        <v>0</v>
      </c>
      <c r="BB25" s="101">
        <v>0</v>
      </c>
      <c r="BC25" s="101">
        <v>0</v>
      </c>
      <c r="BD25" s="98">
        <v>0</v>
      </c>
      <c r="BE25" s="98">
        <v>0</v>
      </c>
      <c r="BF25" s="99">
        <v>6335854</v>
      </c>
      <c r="BG25" s="99">
        <v>2249229</v>
      </c>
      <c r="BH25" s="99">
        <v>13427740</v>
      </c>
      <c r="BI25" s="99">
        <v>5749699</v>
      </c>
      <c r="BJ25" s="99">
        <v>2832158</v>
      </c>
      <c r="BK25" s="97"/>
      <c r="BL25" s="97"/>
      <c r="BM25" s="97"/>
      <c r="BN25" s="97"/>
    </row>
    <row r="26" spans="1:66" ht="12.75">
      <c r="A26" s="8"/>
      <c r="B26" s="8"/>
      <c r="C26" s="8"/>
      <c r="D26" s="299"/>
      <c r="E26" s="299"/>
      <c r="F26" s="299"/>
      <c r="G26" s="299"/>
      <c r="H26" s="299"/>
      <c r="I26" s="299"/>
      <c r="J26" s="299"/>
      <c r="K26" s="299"/>
      <c r="L26" s="299"/>
      <c r="M26" s="299"/>
      <c r="N26" s="299"/>
      <c r="O26" s="299"/>
      <c r="P26" s="300"/>
      <c r="Q26" s="299"/>
      <c r="R26" s="299"/>
      <c r="S26" s="299"/>
      <c r="T26" s="299"/>
      <c r="U26" s="299"/>
      <c r="V26" s="299"/>
      <c r="W26" s="299"/>
      <c r="X26" s="299"/>
      <c r="Y26" s="299"/>
      <c r="Z26" s="299"/>
      <c r="AA26" s="299"/>
      <c r="AB26" s="299"/>
      <c r="AC26" s="299"/>
      <c r="AD26" s="295"/>
      <c r="AE26" s="301"/>
      <c r="AF26" s="301"/>
      <c r="AG26" s="295"/>
      <c r="AH26" s="295"/>
      <c r="AI26" s="301"/>
      <c r="AJ26" s="301"/>
      <c r="AK26" s="301"/>
      <c r="AL26" s="301"/>
      <c r="AM26" s="301"/>
      <c r="AN26" s="301"/>
      <c r="AO26" s="295"/>
      <c r="AP26" s="296"/>
      <c r="AQ26" s="301"/>
      <c r="AR26" s="301"/>
      <c r="AS26" s="295"/>
      <c r="AT26" s="295"/>
      <c r="AU26" s="295"/>
      <c r="AV26" s="295"/>
      <c r="AW26" s="295"/>
      <c r="AX26" s="295"/>
      <c r="AY26" s="295"/>
      <c r="AZ26" s="295"/>
      <c r="BA26" s="301"/>
      <c r="BB26" s="301"/>
      <c r="BC26" s="301"/>
      <c r="BD26" s="296"/>
      <c r="BE26" s="296"/>
      <c r="BF26" s="297"/>
      <c r="BG26" s="297"/>
      <c r="BH26" s="297"/>
      <c r="BI26" s="297"/>
      <c r="BJ26" s="297"/>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1"/>
      <c r="BB28" s="301"/>
      <c r="BC28" s="301"/>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2"/>
      <c r="BB50" s="302"/>
      <c r="BC50" s="302"/>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298"/>
      <c r="C66" s="298"/>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5"/>
      <c r="AE66" s="302"/>
      <c r="AF66" s="302"/>
      <c r="AG66" s="295"/>
      <c r="AH66" s="295"/>
      <c r="AI66" s="302"/>
      <c r="AJ66" s="302"/>
      <c r="AK66" s="302"/>
      <c r="AL66" s="302"/>
      <c r="AM66" s="302"/>
      <c r="AN66" s="302"/>
      <c r="AO66" s="295"/>
      <c r="AP66" s="295"/>
      <c r="AQ66" s="302"/>
      <c r="AR66" s="302"/>
      <c r="AS66" s="295"/>
      <c r="AT66" s="295"/>
      <c r="AU66" s="295"/>
      <c r="AV66" s="295"/>
      <c r="AW66" s="295"/>
      <c r="AX66" s="295"/>
      <c r="AY66" s="295"/>
      <c r="AZ66" s="295"/>
      <c r="BA66" s="302"/>
      <c r="BB66" s="302"/>
      <c r="BC66" s="302"/>
      <c r="BD66" s="295"/>
      <c r="BE66" s="295"/>
      <c r="BF66" s="299"/>
      <c r="BG66" s="299"/>
      <c r="BH66" s="299"/>
      <c r="BI66" s="299"/>
      <c r="BJ66" s="299"/>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307</v>
      </c>
      <c r="O4" s="75" t="s">
        <v>306</v>
      </c>
      <c r="P4" s="75" t="s">
        <v>432</v>
      </c>
      <c r="Q4" s="75" t="s">
        <v>433</v>
      </c>
      <c r="R4" s="75" t="s">
        <v>434</v>
      </c>
      <c r="S4" s="75" t="s">
        <v>435</v>
      </c>
      <c r="T4" s="39" t="s">
        <v>278</v>
      </c>
      <c r="U4" s="40" t="s">
        <v>279</v>
      </c>
      <c r="V4" s="41" t="s">
        <v>7</v>
      </c>
      <c r="W4" s="24" t="s">
        <v>2</v>
      </c>
      <c r="X4" s="24" t="s">
        <v>3</v>
      </c>
      <c r="Y4" s="75" t="s">
        <v>517</v>
      </c>
      <c r="Z4" s="75" t="s">
        <v>516</v>
      </c>
      <c r="AA4" s="26" t="s">
        <v>280</v>
      </c>
      <c r="AB4" s="24" t="s">
        <v>5</v>
      </c>
      <c r="AC4" s="75" t="s">
        <v>35</v>
      </c>
      <c r="AD4" s="24" t="s">
        <v>6</v>
      </c>
      <c r="AE4" s="24" t="s">
        <v>281</v>
      </c>
      <c r="AF4" s="24" t="s">
        <v>16</v>
      </c>
      <c r="AG4" s="24" t="s">
        <v>15</v>
      </c>
      <c r="AH4" s="24" t="s">
        <v>14</v>
      </c>
      <c r="AI4" s="25" t="s">
        <v>30</v>
      </c>
      <c r="AJ4" s="47" t="s">
        <v>10</v>
      </c>
      <c r="AK4" s="26" t="s">
        <v>21</v>
      </c>
      <c r="AL4" s="25" t="s">
        <v>22</v>
      </c>
      <c r="AQ4" s="102" t="s">
        <v>347</v>
      </c>
      <c r="AR4" s="102" t="s">
        <v>349</v>
      </c>
      <c r="AS4" s="102" t="s">
        <v>348</v>
      </c>
      <c r="AY4" s="102" t="s">
        <v>429</v>
      </c>
      <c r="AZ4" s="102" t="s">
        <v>430</v>
      </c>
      <c r="BA4" s="102" t="s">
        <v>431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370</v>
      </c>
      <c r="BA5" s="103" t="s">
        <v>302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355</v>
      </c>
      <c r="BA6" s="103" t="s">
        <v>302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1687</v>
      </c>
      <c r="E7" s="38">
        <f>IF(LEFT(VLOOKUP($B7,'Indicator chart'!$D$1:$J$36,5,FALSE),1)=" "," ",VLOOKUP($B7,'Indicator chart'!$D$1:$J$36,5,FALSE))</f>
        <v>0.15660972892684738</v>
      </c>
      <c r="F7" s="38">
        <f>IF(LEFT(VLOOKUP($B7,'Indicator chart'!$D$1:$J$36,6,FALSE),1)=" "," ",VLOOKUP($B7,'Indicator chart'!$D$1:$J$36,6,FALSE))</f>
        <v>0.14986900201828443</v>
      </c>
      <c r="G7" s="38">
        <f>IF(LEFT(VLOOKUP($B7,'Indicator chart'!$D$1:$J$36,7,FALSE),1)=" "," ",VLOOKUP($B7,'Indicator chart'!$D$1:$J$36,7,FALSE))</f>
        <v>0.16359529389341496</v>
      </c>
      <c r="H7" s="50">
        <f aca="true" t="shared" si="0" ref="H7:H31">IF(LEFT(F7,1)=" ",4,IF(AND(ABS(N7-E7)&gt;SQRT((E7-G7)^2+(N7-R7)^2),E7&lt;N7),1,IF(AND(ABS(N7-E7)&gt;SQRT((E7-F7)^2+(N7-S7)^2),E7&gt;N7),3,2)))</f>
        <v>1</v>
      </c>
      <c r="I7" s="38">
        <v>0.06537438184022903</v>
      </c>
      <c r="J7" s="38">
        <v>0.15555739402770996</v>
      </c>
      <c r="K7" s="38">
        <v>0.16716106235980988</v>
      </c>
      <c r="L7" s="38">
        <v>0.1907035857439041</v>
      </c>
      <c r="M7" s="38">
        <v>0.24568220973014832</v>
      </c>
      <c r="N7" s="80">
        <f>VLOOKUP('Hide - Control'!B$3,'All practice data'!A:CA,A7+29,FALSE)</f>
        <v>0.17251213075678898</v>
      </c>
      <c r="O7" s="80">
        <f>VLOOKUP('Hide - Control'!C$3,'All practice data'!A:CA,A7+29,FALSE)</f>
        <v>0.1599882305185145</v>
      </c>
      <c r="P7" s="38">
        <f>VLOOKUP('Hide - Control'!$B$4,'All practice data'!B:BC,A7+2,FALSE)</f>
        <v>24318</v>
      </c>
      <c r="Q7" s="38">
        <f>VLOOKUP('Hide - Control'!$B$4,'All practice data'!B:BC,3,FALSE)</f>
        <v>140964</v>
      </c>
      <c r="R7" s="38">
        <f>+((2*P7+1.96^2-1.96*SQRT(1.96^2+4*P7*(1-P7/Q7)))/(2*(Q7+1.96^2)))</f>
        <v>0.17054867287660913</v>
      </c>
      <c r="S7" s="38">
        <f>+((2*P7+1.96^2+1.96*SQRT(1.96^2+4*P7*(1-P7/Q7)))/(2*(Q7+1.96^2)))</f>
        <v>0.17449343777737136</v>
      </c>
      <c r="T7" s="53">
        <f>IF($C7=1,M7,I7)</f>
        <v>0.24568220973014832</v>
      </c>
      <c r="U7" s="51">
        <f aca="true" t="shared" si="1" ref="U7:U15">IF($C7=1,I7,M7)</f>
        <v>0.06537438184022903</v>
      </c>
      <c r="V7" s="7">
        <v>1</v>
      </c>
      <c r="W7" s="27">
        <f aca="true" t="shared" si="2" ref="W7:W31">IF((K7-I7)&gt;(M7-K7),I7,(K7-(M7-K7)))</f>
        <v>0.06537438184022903</v>
      </c>
      <c r="X7" s="27">
        <f aca="true" t="shared" si="3" ref="X7:X31">IF(W7=I7,K7+(K7-I7),M7)</f>
        <v>0.2689477428793907</v>
      </c>
      <c r="Y7" s="27">
        <f aca="true" t="shared" si="4" ref="Y7:Y31">IF(C7=1,W7,X7)</f>
        <v>0.06537438184022903</v>
      </c>
      <c r="Z7" s="27">
        <f aca="true" t="shared" si="5" ref="Z7:Z31">IF(C7=1,X7,W7)</f>
        <v>0.2689477428793907</v>
      </c>
      <c r="AA7" s="32">
        <f aca="true" t="shared" si="6" ref="AA7:AA31">IF(ISERROR(IF(C7=1,(I7-$Y7)/($Z7-$Y7),(U7-$Y7)/($Z7-$Y7))),"",IF(C7=1,(I7-$Y7)/($Z7-$Y7),(U7-$Y7)/($Z7-$Y7)))</f>
        <v>0</v>
      </c>
      <c r="AB7" s="33">
        <f aca="true" t="shared" si="7" ref="AB7:AB31">IF(ISERROR(IF(C7=1,(J7-$Y7)/($Z7-$Y7),(L7-$Y7)/($Z7-$Y7))),"",IF(C7=1,(J7-$Y7)/($Z7-$Y7),(L7-$Y7)/($Z7-$Y7)))</f>
        <v>0.44300006507301465</v>
      </c>
      <c r="AC7" s="33">
        <v>0.5</v>
      </c>
      <c r="AD7" s="33">
        <f aca="true" t="shared" si="8" ref="AD7:AD31">IF(ISERROR(IF(C7=1,(L7-$Y7)/($Z7-$Y7),(J7-$Y7)/($Z7-$Y7))),"",IF(C7=1,(L7-$Y7)/($Z7-$Y7),(J7-$Y7)/($Z7-$Y7)))</f>
        <v>0.6156463854795095</v>
      </c>
      <c r="AE7" s="33">
        <f aca="true" t="shared" si="9" ref="AE7:AE31">IF(ISERROR(IF(C7=1,(M7-$Y7)/($Z7-$Y7),(I7-$Y7)/($Z7-$Y7))),"",IF(C7=1,(M7-$Y7)/($Z7-$Y7),(I7-$Y7)/($Z7-$Y7)))</f>
        <v>0.8857142553894034</v>
      </c>
      <c r="AF7" s="33">
        <f aca="true" t="shared" si="10" ref="AF7:AF30">IF(E7=" ",-999,IF(H7=4,(E7-$Y7)/($Z7-$Y7),-999))</f>
        <v>-999</v>
      </c>
      <c r="AG7" s="33">
        <f aca="true" t="shared" si="11" ref="AG7:AG31">IF(E7=" ",-999,IF(H7=2,(E7-$Y7)/($Z7-$Y7),-999))</f>
        <v>-999</v>
      </c>
      <c r="AH7" s="33">
        <f aca="true" t="shared" si="12" ref="AH7:AH31">IF(E7=" ",-999,IF(MAX(AK7:AL7)&gt;-999,MAX(AK7:AL7),-999))</f>
        <v>0.4481693804184295</v>
      </c>
      <c r="AI7" s="34">
        <f aca="true" t="shared" si="13" ref="AI7:AI31">IF(ISERROR((O7-$Y7)/($Z7-$Y7)),-999,(O7-$Y7)/($Z7-$Y7))</f>
        <v>0.464765371045205</v>
      </c>
      <c r="AJ7" s="4">
        <v>2.7020512924389086</v>
      </c>
      <c r="AK7" s="32">
        <f aca="true" t="shared" si="14" ref="AK7:AK31">IF(H7=1,(E7-$Y7)/($Z7-$Y7),-999)</f>
        <v>0.4481693804184295</v>
      </c>
      <c r="AL7" s="34">
        <f aca="true" t="shared" si="15" ref="AL7:AL31">IF(H7=3,(E7-$Y7)/($Z7-$Y7),-999)</f>
        <v>-999</v>
      </c>
      <c r="AQ7" s="103">
        <v>2</v>
      </c>
      <c r="AR7" s="103">
        <v>0.2422</v>
      </c>
      <c r="AS7" s="103">
        <v>7.2247</v>
      </c>
      <c r="AY7" s="103" t="s">
        <v>68</v>
      </c>
      <c r="AZ7" s="103" t="s">
        <v>354</v>
      </c>
      <c r="BA7" s="103" t="s">
        <v>302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0.29</v>
      </c>
      <c r="F8" s="38">
        <f>IF(LEFT(VLOOKUP($B8,'Indicator chart'!$D$1:$J$36,6,FALSE),1)=" "," ",VLOOKUP($B8,'Indicator chart'!$D$1:$J$36,6,FALSE))</f>
        <v>0.28150694874783866</v>
      </c>
      <c r="G8" s="38">
        <f>IF(LEFT(VLOOKUP($B8,'Indicator chart'!$D$1:$J$36,7,FALSE),1)=" "," ",VLOOKUP($B8,'Indicator chart'!$D$1:$J$36,7,FALSE))</f>
        <v>0.2986427817381773</v>
      </c>
      <c r="H8" s="50">
        <f t="shared" si="0"/>
        <v>3</v>
      </c>
      <c r="I8" s="38">
        <v>0.17000000178813934</v>
      </c>
      <c r="J8" s="38">
        <v>0.19750000536441803</v>
      </c>
      <c r="K8" s="38">
        <v>0.23499999940395355</v>
      </c>
      <c r="L8" s="38">
        <v>0.2800000011920929</v>
      </c>
      <c r="M8" s="38">
        <v>0.3799999952316284</v>
      </c>
      <c r="N8" s="80">
        <f>VLOOKUP('Hide - Control'!B$3,'All practice data'!A:CA,A8+29,FALSE)</f>
        <v>0.23874329616072187</v>
      </c>
      <c r="O8" s="80">
        <f>VLOOKUP('Hide - Control'!C$3,'All practice data'!A:CA,A8+29,FALSE)</f>
        <v>0.15010930292554353</v>
      </c>
      <c r="P8" s="38">
        <f>VLOOKUP('Hide - Control'!$B$4,'All practice data'!B:BC,A8+2,FALSE)</f>
        <v>33654.21</v>
      </c>
      <c r="Q8" s="38">
        <f>VLOOKUP('Hide - Control'!$B$4,'All practice data'!B:BC,3,FALSE)</f>
        <v>140964</v>
      </c>
      <c r="R8" s="38">
        <f>+((2*P8+1.96^2-1.96*SQRT(1.96^2+4*P8*(1-P8/Q8)))/(2*(Q8+1.96^2)))</f>
        <v>0.23652490645846325</v>
      </c>
      <c r="S8" s="38">
        <f>+((2*P8+1.96^2+1.96*SQRT(1.96^2+4*P8*(1-P8/Q8)))/(2*(Q8+1.96^2)))</f>
        <v>0.24097592519220729</v>
      </c>
      <c r="T8" s="53">
        <f aca="true" t="shared" si="16" ref="T8:T15">IF($C8=1,M8,I8)</f>
        <v>0.3799999952316284</v>
      </c>
      <c r="U8" s="51">
        <f t="shared" si="1"/>
        <v>0.17000000178813934</v>
      </c>
      <c r="V8" s="7"/>
      <c r="W8" s="27">
        <f t="shared" si="2"/>
        <v>0.09000000357627869</v>
      </c>
      <c r="X8" s="27">
        <f t="shared" si="3"/>
        <v>0.3799999952316284</v>
      </c>
      <c r="Y8" s="27">
        <f t="shared" si="4"/>
        <v>0.09000000357627869</v>
      </c>
      <c r="Z8" s="27">
        <f t="shared" si="5"/>
        <v>0.3799999952316284</v>
      </c>
      <c r="AA8" s="32">
        <f t="shared" si="6"/>
        <v>0.27586207073735575</v>
      </c>
      <c r="AB8" s="33">
        <f t="shared" si="7"/>
        <v>0.37068967200487934</v>
      </c>
      <c r="AC8" s="33">
        <v>0.5</v>
      </c>
      <c r="AD8" s="33">
        <f t="shared" si="8"/>
        <v>0.6551724244241344</v>
      </c>
      <c r="AE8" s="33">
        <f t="shared" si="9"/>
        <v>1</v>
      </c>
      <c r="AF8" s="33">
        <f t="shared" si="10"/>
        <v>-999</v>
      </c>
      <c r="AG8" s="33">
        <f t="shared" si="11"/>
        <v>-999</v>
      </c>
      <c r="AH8" s="33">
        <f t="shared" si="12"/>
        <v>0.6896551799263881</v>
      </c>
      <c r="AI8" s="34">
        <f t="shared" si="13"/>
        <v>0.20727345199617003</v>
      </c>
      <c r="AJ8" s="4">
        <v>3.778046717820832</v>
      </c>
      <c r="AK8" s="32">
        <f t="shared" si="14"/>
        <v>-999</v>
      </c>
      <c r="AL8" s="34">
        <f t="shared" si="15"/>
        <v>0.6896551799263881</v>
      </c>
      <c r="AQ8" s="103">
        <v>3</v>
      </c>
      <c r="AR8" s="103">
        <v>0.6187</v>
      </c>
      <c r="AS8" s="103">
        <v>8.7673</v>
      </c>
      <c r="AY8" s="103" t="s">
        <v>118</v>
      </c>
      <c r="AZ8" s="103" t="s">
        <v>119</v>
      </c>
      <c r="BA8" s="103" t="s">
        <v>302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55</v>
      </c>
      <c r="E9" s="38">
        <f>IF(LEFT(VLOOKUP($B9,'Indicator chart'!$D$1:$J$36,5,FALSE),1)=" "," ",VLOOKUP($B9,'Indicator chart'!$D$1:$J$36,5,FALSE))</f>
        <v>510.5829929446714</v>
      </c>
      <c r="F9" s="38">
        <f>IF(LEFT(VLOOKUP($B9,'Indicator chart'!$D$1:$J$36,6,FALSE),1)=" "," ",VLOOKUP($B9,'Indicator chart'!$D$1:$J$36,6,FALSE))</f>
        <v>384.61385907175804</v>
      </c>
      <c r="G9" s="38">
        <f>IF(LEFT(VLOOKUP($B9,'Indicator chart'!$D$1:$J$36,7,FALSE),1)=" "," ",VLOOKUP($B9,'Indicator chart'!$D$1:$J$36,7,FALSE))</f>
        <v>664.6095166623311</v>
      </c>
      <c r="H9" s="50">
        <f t="shared" si="0"/>
        <v>2</v>
      </c>
      <c r="I9" s="38">
        <v>92.60600280761719</v>
      </c>
      <c r="J9" s="38">
        <v>449.5832214355469</v>
      </c>
      <c r="K9" s="38">
        <v>543.2665405273438</v>
      </c>
      <c r="L9" s="38">
        <v>663.6517333984375</v>
      </c>
      <c r="M9" s="38">
        <v>712.4352416992188</v>
      </c>
      <c r="N9" s="80">
        <f>VLOOKUP('Hide - Control'!B$3,'All practice data'!A:CA,A9+29,FALSE)</f>
        <v>544.8199540308163</v>
      </c>
      <c r="O9" s="80">
        <f>VLOOKUP('Hide - Control'!C$3,'All practice data'!A:CA,A9+29,FALSE)</f>
        <v>445.6198871279627</v>
      </c>
      <c r="P9" s="38">
        <f>VLOOKUP('Hide - Control'!$B$4,'All practice data'!B:BC,A9+2,FALSE)</f>
        <v>768</v>
      </c>
      <c r="Q9" s="38">
        <f>VLOOKUP('Hide - Control'!$B$4,'All practice data'!B:BC,3,FALSE)</f>
        <v>140964</v>
      </c>
      <c r="R9" s="38">
        <f>100000*(P9*(1-1/(9*P9)-1.96/(3*SQRT(P9)))^3)/Q9</f>
        <v>506.9631979369639</v>
      </c>
      <c r="S9" s="38">
        <f>100000*((P9+1)*(1-1/(9*(P9+1))+1.96/(3*SQRT(P9+1)))^3)/Q9</f>
        <v>584.7548868043459</v>
      </c>
      <c r="T9" s="53">
        <f t="shared" si="16"/>
        <v>712.4352416992188</v>
      </c>
      <c r="U9" s="51">
        <f t="shared" si="1"/>
        <v>92.60600280761719</v>
      </c>
      <c r="V9" s="7"/>
      <c r="W9" s="27">
        <f t="shared" si="2"/>
        <v>92.60600280761719</v>
      </c>
      <c r="X9" s="27">
        <f t="shared" si="3"/>
        <v>993.9270782470703</v>
      </c>
      <c r="Y9" s="27">
        <f t="shared" si="4"/>
        <v>92.60600280761719</v>
      </c>
      <c r="Z9" s="27">
        <f t="shared" si="5"/>
        <v>993.9270782470703</v>
      </c>
      <c r="AA9" s="32">
        <f t="shared" si="6"/>
        <v>0</v>
      </c>
      <c r="AB9" s="33">
        <f t="shared" si="7"/>
        <v>0.3960599927765806</v>
      </c>
      <c r="AC9" s="33">
        <v>0.5</v>
      </c>
      <c r="AD9" s="33">
        <f t="shared" si="8"/>
        <v>0.6335652700813615</v>
      </c>
      <c r="AE9" s="33">
        <f t="shared" si="9"/>
        <v>0.6876897209902633</v>
      </c>
      <c r="AF9" s="33">
        <f t="shared" si="10"/>
        <v>-999</v>
      </c>
      <c r="AG9" s="33">
        <f t="shared" si="11"/>
        <v>0.46373817447158105</v>
      </c>
      <c r="AH9" s="33">
        <f t="shared" si="12"/>
        <v>-999</v>
      </c>
      <c r="AI9" s="34">
        <f t="shared" si="13"/>
        <v>0.39166274254513367</v>
      </c>
      <c r="AJ9" s="4">
        <v>4.854042143202755</v>
      </c>
      <c r="AK9" s="32">
        <f t="shared" si="14"/>
        <v>-999</v>
      </c>
      <c r="AL9" s="34">
        <f t="shared" si="15"/>
        <v>-999</v>
      </c>
      <c r="AQ9" s="103">
        <v>4</v>
      </c>
      <c r="AR9" s="103">
        <v>1.0899</v>
      </c>
      <c r="AS9" s="103">
        <v>10.2416</v>
      </c>
      <c r="AY9" s="103" t="s">
        <v>90</v>
      </c>
      <c r="AZ9" s="103" t="s">
        <v>364</v>
      </c>
      <c r="BA9" s="103" t="s">
        <v>302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34</v>
      </c>
      <c r="E10" s="38">
        <f>IF(LEFT(VLOOKUP($B10,'Indicator chart'!$D$1:$J$36,5,FALSE),1)=" "," ",VLOOKUP($B10,'Indicator chart'!$D$1:$J$36,5,FALSE))</f>
        <v>315.6331229112514</v>
      </c>
      <c r="F10" s="38">
        <f>IF(LEFT(VLOOKUP($B10,'Indicator chart'!$D$1:$J$36,6,FALSE),1)=" "," ",VLOOKUP($B10,'Indicator chart'!$D$1:$J$36,6,FALSE))</f>
        <v>218.54982064018066</v>
      </c>
      <c r="G10" s="38">
        <f>IF(LEFT(VLOOKUP($B10,'Indicator chart'!$D$1:$J$36,7,FALSE),1)=" "," ",VLOOKUP($B10,'Indicator chart'!$D$1:$J$36,7,FALSE))</f>
        <v>441.0818856942633</v>
      </c>
      <c r="H10" s="50">
        <f t="shared" si="0"/>
        <v>2</v>
      </c>
      <c r="I10" s="38">
        <v>44.173431396484375</v>
      </c>
      <c r="J10" s="38">
        <v>249.84950256347656</v>
      </c>
      <c r="K10" s="38">
        <v>304.1608581542969</v>
      </c>
      <c r="L10" s="38">
        <v>341.22381591796875</v>
      </c>
      <c r="M10" s="38">
        <v>626.0794677734375</v>
      </c>
      <c r="N10" s="80">
        <f>VLOOKUP('Hide - Control'!B$3,'All practice data'!A:CA,A10+29,FALSE)</f>
        <v>318.52104083312054</v>
      </c>
      <c r="O10" s="80">
        <f>VLOOKUP('Hide - Control'!C$3,'All practice data'!A:CA,A10+29,FALSE)</f>
        <v>234.12259778895606</v>
      </c>
      <c r="P10" s="38">
        <f>VLOOKUP('Hide - Control'!$B$4,'All practice data'!B:BC,A10+2,FALSE)</f>
        <v>449</v>
      </c>
      <c r="Q10" s="38">
        <f>VLOOKUP('Hide - Control'!$B$4,'All practice data'!B:BC,3,FALSE)</f>
        <v>140964</v>
      </c>
      <c r="R10" s="38">
        <f>100000*(P10*(1-1/(9*P10)-1.96/(3*SQRT(P10)))^3)/Q10</f>
        <v>289.73546580954905</v>
      </c>
      <c r="S10" s="38">
        <f>100000*((P10+1)*(1-1/(9*(P10+1))+1.96/(3*SQRT(P10+1)))^3)/Q10</f>
        <v>349.39237056105975</v>
      </c>
      <c r="T10" s="53">
        <f t="shared" si="16"/>
        <v>626.0794677734375</v>
      </c>
      <c r="U10" s="51">
        <f t="shared" si="1"/>
        <v>44.173431396484375</v>
      </c>
      <c r="V10" s="7"/>
      <c r="W10" s="27">
        <f t="shared" si="2"/>
        <v>-17.75775146484375</v>
      </c>
      <c r="X10" s="27">
        <f t="shared" si="3"/>
        <v>626.0794677734375</v>
      </c>
      <c r="Y10" s="27">
        <f t="shared" si="4"/>
        <v>-17.75775146484375</v>
      </c>
      <c r="Z10" s="27">
        <f t="shared" si="5"/>
        <v>626.0794677734375</v>
      </c>
      <c r="AA10" s="32">
        <f t="shared" si="6"/>
        <v>0.09619074668376336</v>
      </c>
      <c r="AB10" s="33">
        <f t="shared" si="7"/>
        <v>0.41564427472043997</v>
      </c>
      <c r="AC10" s="33">
        <v>0.5</v>
      </c>
      <c r="AD10" s="33">
        <f t="shared" si="8"/>
        <v>0.5575657272618082</v>
      </c>
      <c r="AE10" s="33">
        <f t="shared" si="9"/>
        <v>1</v>
      </c>
      <c r="AF10" s="33">
        <f t="shared" si="10"/>
        <v>-999</v>
      </c>
      <c r="AG10" s="33">
        <f t="shared" si="11"/>
        <v>0.5178185796256503</v>
      </c>
      <c r="AH10" s="33">
        <f t="shared" si="12"/>
        <v>-999</v>
      </c>
      <c r="AI10" s="34">
        <f t="shared" si="13"/>
        <v>0.3912174408801614</v>
      </c>
      <c r="AJ10" s="4">
        <v>5.930037568584676</v>
      </c>
      <c r="AK10" s="32">
        <f t="shared" si="14"/>
        <v>-999</v>
      </c>
      <c r="AL10" s="34">
        <f t="shared" si="15"/>
        <v>-999</v>
      </c>
      <c r="AY10" s="103" t="s">
        <v>96</v>
      </c>
      <c r="AZ10" s="103" t="s">
        <v>97</v>
      </c>
      <c r="BA10" s="103" t="s">
        <v>481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167</v>
      </c>
      <c r="E11" s="38">
        <f>IF(LEFT(VLOOKUP($B11,'Indicator chart'!$D$1:$J$36,5,FALSE),1)=" "," ",VLOOKUP($B11,'Indicator chart'!$D$1:$J$36,5,FALSE))</f>
        <v>0.016</v>
      </c>
      <c r="F11" s="38">
        <f>IF(LEFT(VLOOKUP($B11,'Indicator chart'!$D$1:$J$36,6,FALSE),1)=" "," ",VLOOKUP($B11,'Indicator chart'!$D$1:$J$36,6,FALSE))</f>
        <v>0.013336854075219274</v>
      </c>
      <c r="G11" s="38">
        <f>IF(LEFT(VLOOKUP($B11,'Indicator chart'!$D$1:$J$36,7,FALSE),1)=" "," ",VLOOKUP($B11,'Indicator chart'!$D$1:$J$36,7,FALSE))</f>
        <v>0.018014905958075943</v>
      </c>
      <c r="H11" s="50">
        <f t="shared" si="0"/>
        <v>2</v>
      </c>
      <c r="I11" s="38">
        <v>0.00800000037997961</v>
      </c>
      <c r="J11" s="38">
        <v>0.012749999761581421</v>
      </c>
      <c r="K11" s="38">
        <v>0.014999999664723873</v>
      </c>
      <c r="L11" s="38">
        <v>0.020250000059604645</v>
      </c>
      <c r="M11" s="38">
        <v>0.026000000536441803</v>
      </c>
      <c r="N11" s="80">
        <f>VLOOKUP('Hide - Control'!B$3,'All practice data'!A:CA,A11+29,FALSE)</f>
        <v>0.01705399960273545</v>
      </c>
      <c r="O11" s="80">
        <f>VLOOKUP('Hide - Control'!C$3,'All practice data'!A:CA,A11+29,FALSE)</f>
        <v>0.015940726342527432</v>
      </c>
      <c r="P11" s="38">
        <f>VLOOKUP('Hide - Control'!$B$4,'All practice data'!B:BC,A11+2,FALSE)</f>
        <v>2404</v>
      </c>
      <c r="Q11" s="38">
        <f>VLOOKUP('Hide - Control'!$B$4,'All practice data'!B:BC,3,FALSE)</f>
        <v>140964</v>
      </c>
      <c r="R11" s="80">
        <f aca="true" t="shared" si="17" ref="R11:R16">+((2*P11+1.96^2-1.96*SQRT(1.96^2+4*P11*(1-P11/Q11)))/(2*(Q11+1.96^2)))</f>
        <v>0.016391145675404714</v>
      </c>
      <c r="S11" s="80">
        <f aca="true" t="shared" si="18" ref="S11:S16">+((2*P11+1.96^2+1.96*SQRT(1.96^2+4*P11*(1-P11/Q11)))/(2*(Q11+1.96^2)))</f>
        <v>0.01774317563777626</v>
      </c>
      <c r="T11" s="53">
        <f t="shared" si="16"/>
        <v>0.026000000536441803</v>
      </c>
      <c r="U11" s="51">
        <f t="shared" si="1"/>
        <v>0.00800000037997961</v>
      </c>
      <c r="V11" s="7"/>
      <c r="W11" s="27">
        <f t="shared" si="2"/>
        <v>0.003999998793005943</v>
      </c>
      <c r="X11" s="27">
        <f t="shared" si="3"/>
        <v>0.026000000536441803</v>
      </c>
      <c r="Y11" s="27">
        <f t="shared" si="4"/>
        <v>0.003999998793005943</v>
      </c>
      <c r="Z11" s="27">
        <f t="shared" si="5"/>
        <v>0.026000000536441803</v>
      </c>
      <c r="AA11" s="32">
        <f t="shared" si="6"/>
        <v>0.1818182395447831</v>
      </c>
      <c r="AB11" s="33">
        <f t="shared" si="7"/>
        <v>0.397727285234703</v>
      </c>
      <c r="AC11" s="33">
        <v>0.5</v>
      </c>
      <c r="AD11" s="33">
        <f t="shared" si="8"/>
        <v>0.7386363626742536</v>
      </c>
      <c r="AE11" s="33">
        <f t="shared" si="9"/>
        <v>1</v>
      </c>
      <c r="AF11" s="33">
        <f t="shared" si="10"/>
        <v>-999</v>
      </c>
      <c r="AG11" s="33">
        <f t="shared" si="11"/>
        <v>0.5454545570922283</v>
      </c>
      <c r="AH11" s="33">
        <f t="shared" si="12"/>
        <v>-999</v>
      </c>
      <c r="AI11" s="34">
        <f t="shared" si="13"/>
        <v>0.5427603001478963</v>
      </c>
      <c r="AJ11" s="4">
        <v>7.0060329939666</v>
      </c>
      <c r="AK11" s="32">
        <f t="shared" si="14"/>
        <v>-999</v>
      </c>
      <c r="AL11" s="34">
        <f t="shared" si="15"/>
        <v>-999</v>
      </c>
      <c r="AY11" s="103" t="s">
        <v>214</v>
      </c>
      <c r="AZ11" s="103" t="s">
        <v>215</v>
      </c>
      <c r="BA11" s="103" t="s">
        <v>481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801</v>
      </c>
      <c r="E12" s="38">
        <f>IF(LEFT(VLOOKUP($B12,'Indicator chart'!$D$1:$J$36,5,FALSE),1)=" "," ",VLOOKUP($B12,'Indicator chart'!$D$1:$J$36,5,FALSE))</f>
        <v>0.663629</v>
      </c>
      <c r="F12" s="38">
        <f>IF(LEFT(VLOOKUP($B12,'Indicator chart'!$D$1:$J$36,6,FALSE),1)=" "," ",VLOOKUP($B12,'Indicator chart'!$D$1:$J$36,6,FALSE))</f>
        <v>0.6364922060893118</v>
      </c>
      <c r="G12" s="38">
        <f>IF(LEFT(VLOOKUP($B12,'Indicator chart'!$D$1:$J$36,7,FALSE),1)=" "," ",VLOOKUP($B12,'Indicator chart'!$D$1:$J$36,7,FALSE))</f>
        <v>0.6897271771892277</v>
      </c>
      <c r="H12" s="50">
        <f t="shared" si="0"/>
        <v>2</v>
      </c>
      <c r="I12" s="38">
        <v>0.41477298736572266</v>
      </c>
      <c r="J12" s="38">
        <v>0.5803620219230652</v>
      </c>
      <c r="K12" s="38">
        <v>0.6547309756278992</v>
      </c>
      <c r="L12" s="38">
        <v>0.7097247242927551</v>
      </c>
      <c r="M12" s="38">
        <v>0.7630980014801025</v>
      </c>
      <c r="N12" s="80">
        <f>VLOOKUP('Hide - Control'!B$3,'All practice data'!A:CA,A12+29,FALSE)</f>
        <v>0.6636023960619181</v>
      </c>
      <c r="O12" s="80">
        <f>VLOOKUP('Hide - Control'!C$3,'All practice data'!A:CA,A12+29,FALSE)</f>
        <v>0.7248631360507991</v>
      </c>
      <c r="P12" s="38">
        <f>VLOOKUP('Hide - Control'!$B$4,'All practice data'!B:BC,A12+2,FALSE)</f>
        <v>11189</v>
      </c>
      <c r="Q12" s="38">
        <f>VLOOKUP('Hide - Control'!$B$4,'All practice data'!B:BJ,57,FALSE)</f>
        <v>16861</v>
      </c>
      <c r="R12" s="38">
        <f t="shared" si="17"/>
        <v>0.6564341154950227</v>
      </c>
      <c r="S12" s="38">
        <f t="shared" si="18"/>
        <v>0.6706961434692832</v>
      </c>
      <c r="T12" s="53">
        <f t="shared" si="16"/>
        <v>0.7630980014801025</v>
      </c>
      <c r="U12" s="51">
        <f t="shared" si="1"/>
        <v>0.41477298736572266</v>
      </c>
      <c r="V12" s="7"/>
      <c r="W12" s="27">
        <f t="shared" si="2"/>
        <v>0.41477298736572266</v>
      </c>
      <c r="X12" s="27">
        <f t="shared" si="3"/>
        <v>0.8946889638900757</v>
      </c>
      <c r="Y12" s="27">
        <f t="shared" si="4"/>
        <v>0.41477298736572266</v>
      </c>
      <c r="Z12" s="27">
        <f t="shared" si="5"/>
        <v>0.8946889638900757</v>
      </c>
      <c r="AA12" s="32">
        <f t="shared" si="6"/>
        <v>0</v>
      </c>
      <c r="AB12" s="33">
        <f t="shared" si="7"/>
        <v>0.34503755377466544</v>
      </c>
      <c r="AC12" s="33">
        <v>0.5</v>
      </c>
      <c r="AD12" s="33">
        <f t="shared" si="8"/>
        <v>0.6145903686373011</v>
      </c>
      <c r="AE12" s="33">
        <f t="shared" si="9"/>
        <v>0.7258041639643233</v>
      </c>
      <c r="AF12" s="33">
        <f t="shared" si="10"/>
        <v>-999</v>
      </c>
      <c r="AG12" s="33">
        <f t="shared" si="11"/>
        <v>0.5185407963213522</v>
      </c>
      <c r="AH12" s="33">
        <f t="shared" si="12"/>
        <v>-999</v>
      </c>
      <c r="AI12" s="34">
        <f t="shared" si="13"/>
        <v>0.6461342481882162</v>
      </c>
      <c r="AJ12" s="4">
        <v>8.082028419348523</v>
      </c>
      <c r="AK12" s="32">
        <f t="shared" si="14"/>
        <v>-999</v>
      </c>
      <c r="AL12" s="34">
        <f t="shared" si="15"/>
        <v>-999</v>
      </c>
      <c r="AY12" s="103" t="s">
        <v>261</v>
      </c>
      <c r="AZ12" s="103" t="s">
        <v>417</v>
      </c>
      <c r="BA12" s="103" t="s">
        <v>302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v>
      </c>
      <c r="E13" s="38">
        <f>IF(LEFT(VLOOKUP($B13,'Indicator chart'!$D$1:$J$36,5,FALSE),1)=" "," ",VLOOKUP($B13,'Indicator chart'!$D$1:$J$36,5,FALSE))</f>
        <v>0.517241</v>
      </c>
      <c r="F13" s="38">
        <f>IF(LEFT(VLOOKUP($B13,'Indicator chart'!$D$1:$J$36,6,FALSE),1)=" "," ",VLOOKUP($B13,'Indicator chart'!$D$1:$J$36,6,FALSE))</f>
        <v>0.3443073797056916</v>
      </c>
      <c r="G13" s="38">
        <f>IF(LEFT(VLOOKUP($B13,'Indicator chart'!$D$1:$J$36,7,FALSE),1)=" "," ",VLOOKUP($B13,'Indicator chart'!$D$1:$J$36,7,FALSE))</f>
        <v>0.6861418066920479</v>
      </c>
      <c r="H13" s="50">
        <f t="shared" si="0"/>
        <v>1</v>
      </c>
      <c r="I13" s="38">
        <v>0.1875</v>
      </c>
      <c r="J13" s="38">
        <v>0.5</v>
      </c>
      <c r="K13" s="38">
        <v>0.5811399817466736</v>
      </c>
      <c r="L13" s="38">
        <v>0.6993537545204163</v>
      </c>
      <c r="M13" s="38">
        <v>0.8301630020141602</v>
      </c>
      <c r="N13" s="80">
        <f>VLOOKUP('Hide - Control'!B$3,'All practice data'!A:CA,A13+29,FALSE)</f>
        <v>0.7112568639414277</v>
      </c>
      <c r="O13" s="80">
        <f>VLOOKUP('Hide - Control'!C$3,'All practice data'!A:CA,A13+29,FALSE)</f>
        <v>0.7467412166569077</v>
      </c>
      <c r="P13" s="38">
        <f>VLOOKUP('Hide - Control'!$B$4,'All practice data'!B:BC,A13+2,FALSE)</f>
        <v>4663</v>
      </c>
      <c r="Q13" s="38">
        <f>VLOOKUP('Hide - Control'!$B$4,'All practice data'!B:BJ,58,FALSE)</f>
        <v>6556</v>
      </c>
      <c r="R13" s="38">
        <f t="shared" si="17"/>
        <v>0.7001656858943908</v>
      </c>
      <c r="S13" s="38">
        <f t="shared" si="18"/>
        <v>0.7221006078527021</v>
      </c>
      <c r="T13" s="53">
        <f t="shared" si="16"/>
        <v>0.8301630020141602</v>
      </c>
      <c r="U13" s="51">
        <f t="shared" si="1"/>
        <v>0.1875</v>
      </c>
      <c r="V13" s="7"/>
      <c r="W13" s="27">
        <f t="shared" si="2"/>
        <v>0.1875</v>
      </c>
      <c r="X13" s="27">
        <f t="shared" si="3"/>
        <v>0.9747799634933472</v>
      </c>
      <c r="Y13" s="27">
        <f t="shared" si="4"/>
        <v>0.1875</v>
      </c>
      <c r="Z13" s="27">
        <f t="shared" si="5"/>
        <v>0.9747799634933472</v>
      </c>
      <c r="AA13" s="32">
        <f t="shared" si="6"/>
        <v>0</v>
      </c>
      <c r="AB13" s="33">
        <f t="shared" si="7"/>
        <v>0.39693630536888513</v>
      </c>
      <c r="AC13" s="33">
        <v>0.5</v>
      </c>
      <c r="AD13" s="33">
        <f t="shared" si="8"/>
        <v>0.6501546822672842</v>
      </c>
      <c r="AE13" s="33">
        <f t="shared" si="9"/>
        <v>0.8163080883736868</v>
      </c>
      <c r="AF13" s="33">
        <f t="shared" si="10"/>
        <v>-999</v>
      </c>
      <c r="AG13" s="33">
        <f t="shared" si="11"/>
        <v>-999</v>
      </c>
      <c r="AH13" s="33">
        <f t="shared" si="12"/>
        <v>0.4188357576596529</v>
      </c>
      <c r="AI13" s="34">
        <f t="shared" si="13"/>
        <v>0.7103460555193382</v>
      </c>
      <c r="AJ13" s="4">
        <v>9.158023844730446</v>
      </c>
      <c r="AK13" s="32">
        <f t="shared" si="14"/>
        <v>0.4188357576596529</v>
      </c>
      <c r="AL13" s="34">
        <f t="shared" si="15"/>
        <v>-999</v>
      </c>
      <c r="AY13" s="103" t="s">
        <v>260</v>
      </c>
      <c r="AZ13" s="103" t="s">
        <v>416</v>
      </c>
      <c r="BA13" s="103" t="s">
        <v>302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1563</v>
      </c>
      <c r="E14" s="38">
        <f>IF(LEFT(VLOOKUP($B14,'Indicator chart'!$D$1:$J$36,5,FALSE),1)=" "," ",VLOOKUP($B14,'Indicator chart'!$D$1:$J$36,5,FALSE))</f>
        <v>0.650166</v>
      </c>
      <c r="F14" s="38">
        <f>IF(LEFT(VLOOKUP($B14,'Indicator chart'!$D$1:$J$36,6,FALSE),1)=" "," ",VLOOKUP($B14,'Indicator chart'!$D$1:$J$36,6,FALSE))</f>
        <v>0.630875730971202</v>
      </c>
      <c r="G14" s="38">
        <f>IF(LEFT(VLOOKUP($B14,'Indicator chart'!$D$1:$J$36,7,FALSE),1)=" "," ",VLOOKUP($B14,'Indicator chart'!$D$1:$J$36,7,FALSE))</f>
        <v>0.6689778806617227</v>
      </c>
      <c r="H14" s="50">
        <f t="shared" si="0"/>
        <v>1</v>
      </c>
      <c r="I14" s="38">
        <v>0.6501659750938416</v>
      </c>
      <c r="J14" s="38">
        <v>0.6954107284545898</v>
      </c>
      <c r="K14" s="38">
        <v>0.7227460145950317</v>
      </c>
      <c r="L14" s="38">
        <v>0.7558597326278687</v>
      </c>
      <c r="M14" s="38">
        <v>0.8681100010871887</v>
      </c>
      <c r="N14" s="80">
        <f>VLOOKUP('Hide - Control'!B$3,'All practice data'!A:CA,A14+29,FALSE)</f>
        <v>0.7259261503044255</v>
      </c>
      <c r="O14" s="80">
        <f>VLOOKUP('Hide - Control'!C$3,'All practice data'!A:CA,A14+29,FALSE)</f>
        <v>0.7559681673907895</v>
      </c>
      <c r="P14" s="38">
        <f>VLOOKUP('Hide - Control'!$B$4,'All practice data'!B:BC,A14+2,FALSE)</f>
        <v>23965</v>
      </c>
      <c r="Q14" s="38">
        <f>VLOOKUP('Hide - Control'!$B$4,'All practice data'!B:BJ,59,FALSE)</f>
        <v>33013</v>
      </c>
      <c r="R14" s="38">
        <f t="shared" si="17"/>
        <v>0.7210884260977404</v>
      </c>
      <c r="S14" s="38">
        <f t="shared" si="18"/>
        <v>0.7307113002576722</v>
      </c>
      <c r="T14" s="53">
        <f t="shared" si="16"/>
        <v>0.8681100010871887</v>
      </c>
      <c r="U14" s="51">
        <f t="shared" si="1"/>
        <v>0.6501659750938416</v>
      </c>
      <c r="V14" s="7"/>
      <c r="W14" s="27">
        <f t="shared" si="2"/>
        <v>0.5773820281028748</v>
      </c>
      <c r="X14" s="27">
        <f t="shared" si="3"/>
        <v>0.8681100010871887</v>
      </c>
      <c r="Y14" s="27">
        <f t="shared" si="4"/>
        <v>0.5773820281028748</v>
      </c>
      <c r="Z14" s="27">
        <f t="shared" si="5"/>
        <v>0.8681100010871887</v>
      </c>
      <c r="AA14" s="32">
        <f t="shared" si="6"/>
        <v>0.2503506843316168</v>
      </c>
      <c r="AB14" s="33">
        <f t="shared" si="7"/>
        <v>0.4059764154792331</v>
      </c>
      <c r="AC14" s="33">
        <v>0.5</v>
      </c>
      <c r="AD14" s="33">
        <f t="shared" si="8"/>
        <v>0.6138993186411531</v>
      </c>
      <c r="AE14" s="33">
        <f t="shared" si="9"/>
        <v>1</v>
      </c>
      <c r="AF14" s="33">
        <f t="shared" si="10"/>
        <v>-999</v>
      </c>
      <c r="AG14" s="33">
        <f t="shared" si="11"/>
        <v>-999</v>
      </c>
      <c r="AH14" s="33">
        <f t="shared" si="12"/>
        <v>0.250350769999873</v>
      </c>
      <c r="AI14" s="34">
        <f t="shared" si="13"/>
        <v>0.6142722953513327</v>
      </c>
      <c r="AJ14" s="4">
        <v>10.234019270112368</v>
      </c>
      <c r="AK14" s="32">
        <f t="shared" si="14"/>
        <v>0.250350769999873</v>
      </c>
      <c r="AL14" s="34">
        <f t="shared" si="15"/>
        <v>-999</v>
      </c>
      <c r="AY14" s="103" t="s">
        <v>53</v>
      </c>
      <c r="AZ14" s="103" t="s">
        <v>424</v>
      </c>
      <c r="BA14" s="103" t="s">
        <v>481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534</v>
      </c>
      <c r="E15" s="38">
        <f>IF(LEFT(VLOOKUP($B15,'Indicator chart'!$D$1:$J$36,5,FALSE),1)=" "," ",VLOOKUP($B15,'Indicator chart'!$D$1:$J$36,5,FALSE))</f>
        <v>0.489459</v>
      </c>
      <c r="F15" s="38">
        <f>IF(LEFT(VLOOKUP($B15,'Indicator chart'!$D$1:$J$36,6,FALSE),1)=" "," ",VLOOKUP($B15,'Indicator chart'!$D$1:$J$36,6,FALSE))</f>
        <v>0.4598851179394593</v>
      </c>
      <c r="G15" s="38">
        <f>IF(LEFT(VLOOKUP($B15,'Indicator chart'!$D$1:$J$36,7,FALSE),1)=" "," ",VLOOKUP($B15,'Indicator chart'!$D$1:$J$36,7,FALSE))</f>
        <v>0.5191072769421382</v>
      </c>
      <c r="H15" s="50">
        <f t="shared" si="0"/>
        <v>2</v>
      </c>
      <c r="I15" s="38">
        <v>0.30463600158691406</v>
      </c>
      <c r="J15" s="38">
        <v>0.4469510018825531</v>
      </c>
      <c r="K15" s="38">
        <v>0.4908030033111572</v>
      </c>
      <c r="L15" s="38">
        <v>0.5241439938545227</v>
      </c>
      <c r="M15" s="38">
        <v>0.5814319849014282</v>
      </c>
      <c r="N15" s="80">
        <f>VLOOKUP('Hide - Control'!B$3,'All practice data'!A:CA,A15+29,FALSE)</f>
        <v>0.5028941739021014</v>
      </c>
      <c r="O15" s="80">
        <f>VLOOKUP('Hide - Control'!C$3,'All practice data'!A:CA,A15+29,FALSE)</f>
        <v>0.5147293797466616</v>
      </c>
      <c r="P15" s="38">
        <f>VLOOKUP('Hide - Control'!$B$4,'All practice data'!B:BC,A15+2,FALSE)</f>
        <v>7993</v>
      </c>
      <c r="Q15" s="38">
        <f>VLOOKUP('Hide - Control'!$B$4,'All practice data'!B:BJ,60,FALSE)</f>
        <v>15894</v>
      </c>
      <c r="R15" s="38">
        <f t="shared" si="17"/>
        <v>0.49512117161709385</v>
      </c>
      <c r="S15" s="38">
        <f t="shared" si="18"/>
        <v>0.5106657774741589</v>
      </c>
      <c r="T15" s="53">
        <f t="shared" si="16"/>
        <v>0.5814319849014282</v>
      </c>
      <c r="U15" s="51">
        <f t="shared" si="1"/>
        <v>0.30463600158691406</v>
      </c>
      <c r="V15" s="7"/>
      <c r="W15" s="27">
        <f t="shared" si="2"/>
        <v>0.30463600158691406</v>
      </c>
      <c r="X15" s="27">
        <f t="shared" si="3"/>
        <v>0.6769700050354004</v>
      </c>
      <c r="Y15" s="27">
        <f t="shared" si="4"/>
        <v>0.30463600158691406</v>
      </c>
      <c r="Z15" s="27">
        <f t="shared" si="5"/>
        <v>0.6769700050354004</v>
      </c>
      <c r="AA15" s="32">
        <f t="shared" si="6"/>
        <v>0</v>
      </c>
      <c r="AB15" s="33">
        <f t="shared" si="7"/>
        <v>0.3822240219199555</v>
      </c>
      <c r="AC15" s="33">
        <v>0.5</v>
      </c>
      <c r="AD15" s="33">
        <f t="shared" si="8"/>
        <v>0.5895459190795566</v>
      </c>
      <c r="AE15" s="33">
        <f t="shared" si="9"/>
        <v>0.7434077488246646</v>
      </c>
      <c r="AF15" s="33">
        <f t="shared" si="10"/>
        <v>-999</v>
      </c>
      <c r="AG15" s="33">
        <f t="shared" si="11"/>
        <v>0.49639032884799844</v>
      </c>
      <c r="AH15" s="33">
        <f t="shared" si="12"/>
        <v>-999</v>
      </c>
      <c r="AI15" s="34">
        <f t="shared" si="13"/>
        <v>0.5642605193560158</v>
      </c>
      <c r="AJ15" s="4">
        <v>11.310014695494289</v>
      </c>
      <c r="AK15" s="32">
        <f t="shared" si="14"/>
        <v>-999</v>
      </c>
      <c r="AL15" s="34">
        <f t="shared" si="15"/>
        <v>-999</v>
      </c>
      <c r="AY15" s="103" t="s">
        <v>229</v>
      </c>
      <c r="AZ15" s="103" t="s">
        <v>230</v>
      </c>
      <c r="BA15" s="103" t="s">
        <v>302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254</v>
      </c>
      <c r="E16" s="38">
        <f>IF(LEFT(VLOOKUP($B16,'Indicator chart'!$D$1:$J$36,5,FALSE),1)=" "," ",VLOOKUP($B16,'Indicator chart'!$D$1:$J$36,5,FALSE))</f>
        <v>0.520492</v>
      </c>
      <c r="F16" s="38">
        <f>IF(LEFT(VLOOKUP($B16,'Indicator chart'!$D$1:$J$36,6,FALSE),1)=" "," ",VLOOKUP($B16,'Indicator chart'!$D$1:$J$36,6,FALSE))</f>
        <v>0.47617965966248316</v>
      </c>
      <c r="G16" s="38">
        <f>IF(LEFT(VLOOKUP($B16,'Indicator chart'!$D$1:$J$36,7,FALSE),1)=" "," ",VLOOKUP($B16,'Indicator chart'!$D$1:$J$36,7,FALSE))</f>
        <v>0.5644838385044063</v>
      </c>
      <c r="H16" s="50">
        <f t="shared" si="0"/>
        <v>2</v>
      </c>
      <c r="I16" s="38">
        <v>0.35294100642204285</v>
      </c>
      <c r="J16" s="38">
        <v>0.5200759768486023</v>
      </c>
      <c r="K16" s="38">
        <v>0.5397024750709534</v>
      </c>
      <c r="L16" s="38">
        <v>0.5636894702911377</v>
      </c>
      <c r="M16" s="38">
        <v>0.611257016658783</v>
      </c>
      <c r="N16" s="80">
        <f>VLOOKUP('Hide - Control'!B$3,'All practice data'!A:CA,A16+29,FALSE)</f>
        <v>0.5456737588652483</v>
      </c>
      <c r="O16" s="80">
        <f>VLOOKUP('Hide - Control'!C$3,'All practice data'!A:CA,A16+29,FALSE)</f>
        <v>0.5752927626212945</v>
      </c>
      <c r="P16" s="38">
        <f>VLOOKUP('Hide - Control'!$B$4,'All practice data'!B:BC,A16+2,FALSE)</f>
        <v>3847</v>
      </c>
      <c r="Q16" s="38">
        <f>VLOOKUP('Hide - Control'!$B$4,'All practice data'!B:BJ,61,FALSE)</f>
        <v>7050</v>
      </c>
      <c r="R16" s="38">
        <f t="shared" si="17"/>
        <v>0.534029191255116</v>
      </c>
      <c r="S16" s="38">
        <f t="shared" si="18"/>
        <v>0.5572685776088743</v>
      </c>
      <c r="T16" s="53">
        <f aca="true" t="shared" si="19" ref="T16:T31">IF($C16=1,M16,I16)</f>
        <v>0.611257016658783</v>
      </c>
      <c r="U16" s="51">
        <f aca="true" t="shared" si="20" ref="U16:U31">IF($C16=1,I16,M16)</f>
        <v>0.35294100642204285</v>
      </c>
      <c r="V16" s="7"/>
      <c r="W16" s="27">
        <f t="shared" si="2"/>
        <v>0.35294100642204285</v>
      </c>
      <c r="X16" s="27">
        <f t="shared" si="3"/>
        <v>0.7264639437198639</v>
      </c>
      <c r="Y16" s="27">
        <f t="shared" si="4"/>
        <v>0.35294100642204285</v>
      </c>
      <c r="Z16" s="27">
        <f t="shared" si="5"/>
        <v>0.7264639437198639</v>
      </c>
      <c r="AA16" s="32">
        <f t="shared" si="6"/>
        <v>0</v>
      </c>
      <c r="AB16" s="33">
        <f t="shared" si="7"/>
        <v>0.4474557081706008</v>
      </c>
      <c r="AC16" s="33">
        <v>0.5</v>
      </c>
      <c r="AD16" s="33">
        <f t="shared" si="8"/>
        <v>0.5642182656671999</v>
      </c>
      <c r="AE16" s="33">
        <f t="shared" si="9"/>
        <v>0.6915666601507179</v>
      </c>
      <c r="AF16" s="33">
        <f t="shared" si="10"/>
        <v>-999</v>
      </c>
      <c r="AG16" s="33">
        <f t="shared" si="11"/>
        <v>0.4485694902435501</v>
      </c>
      <c r="AH16" s="33">
        <f t="shared" si="12"/>
        <v>-999</v>
      </c>
      <c r="AI16" s="34">
        <f t="shared" si="13"/>
        <v>0.5952827363369224</v>
      </c>
      <c r="AJ16" s="4">
        <v>12.386010120876215</v>
      </c>
      <c r="AK16" s="32">
        <f t="shared" si="14"/>
        <v>-999</v>
      </c>
      <c r="AL16" s="34">
        <f t="shared" si="15"/>
        <v>-999</v>
      </c>
      <c r="AY16" s="103" t="s">
        <v>283</v>
      </c>
      <c r="AZ16" s="103" t="s">
        <v>321</v>
      </c>
      <c r="BA16" s="103" t="s">
        <v>481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307</v>
      </c>
      <c r="E17" s="38">
        <f>IF(LEFT(VLOOKUP($B17,'Indicator chart'!$D$1:$J$36,5,FALSE),1)=" "," ",VLOOKUP($B17,'Indicator chart'!$D$1:$J$36,5,FALSE))</f>
        <v>2849.981433345711</v>
      </c>
      <c r="F17" s="38">
        <f>IF(LEFT(VLOOKUP($B17,'Indicator chart'!$D$1:$J$36,6,FALSE),1)=" "," ",VLOOKUP($B17,'Indicator chart'!$D$1:$J$36,6,FALSE))</f>
        <v>2540.046609485829</v>
      </c>
      <c r="G17" s="38">
        <f>IF(LEFT(VLOOKUP($B17,'Indicator chart'!$D$1:$J$36,7,FALSE),1)=" "," ",VLOOKUP($B17,'Indicator chart'!$D$1:$J$36,7,FALSE))</f>
        <v>3187.298507862065</v>
      </c>
      <c r="H17" s="50">
        <f t="shared" si="0"/>
        <v>3</v>
      </c>
      <c r="I17" s="38">
        <v>496.3726501464844</v>
      </c>
      <c r="J17" s="38">
        <v>1604.924072265625</v>
      </c>
      <c r="K17" s="38">
        <v>1962.2783203125</v>
      </c>
      <c r="L17" s="38">
        <v>2204.78369140625</v>
      </c>
      <c r="M17" s="38">
        <v>2849.9814453125</v>
      </c>
      <c r="N17" s="80">
        <f>VLOOKUP('Hide - Control'!B$3,'All practice data'!A:CA,A17+29,FALSE)</f>
        <v>1970.0065264890327</v>
      </c>
      <c r="O17" s="80">
        <f>VLOOKUP('Hide - Control'!C$3,'All practice data'!A:CA,A17+29,FALSE)</f>
        <v>1812.1669120472948</v>
      </c>
      <c r="P17" s="38">
        <f>VLOOKUP('Hide - Control'!$B$4,'All practice data'!B:BC,A17+2,FALSE)</f>
        <v>2777</v>
      </c>
      <c r="Q17" s="38">
        <f>VLOOKUP('Hide - Control'!$B$4,'All practice data'!B:BC,3,FALSE)</f>
        <v>140964</v>
      </c>
      <c r="R17" s="38">
        <f>100000*(P17*(1-1/(9*P17)-1.96/(3*SQRT(P17)))^3)/Q17</f>
        <v>1897.4089328831278</v>
      </c>
      <c r="S17" s="38">
        <f>100000*((P17+1)*(1-1/(9*(P17+1))+1.96/(3*SQRT(P17+1)))^3)/Q17</f>
        <v>2044.6705483132532</v>
      </c>
      <c r="T17" s="53">
        <f t="shared" si="19"/>
        <v>2849.9814453125</v>
      </c>
      <c r="U17" s="51">
        <f t="shared" si="20"/>
        <v>496.3726501464844</v>
      </c>
      <c r="V17" s="7"/>
      <c r="W17" s="27">
        <f t="shared" si="2"/>
        <v>496.3726501464844</v>
      </c>
      <c r="X17" s="27">
        <f t="shared" si="3"/>
        <v>3428.1839904785156</v>
      </c>
      <c r="Y17" s="27">
        <f t="shared" si="4"/>
        <v>496.3726501464844</v>
      </c>
      <c r="Z17" s="27">
        <f t="shared" si="5"/>
        <v>3428.1839904785156</v>
      </c>
      <c r="AA17" s="32">
        <f t="shared" si="6"/>
        <v>0</v>
      </c>
      <c r="AB17" s="33">
        <f t="shared" si="7"/>
        <v>0.3781114449177333</v>
      </c>
      <c r="AC17" s="33">
        <v>0.5</v>
      </c>
      <c r="AD17" s="33">
        <f t="shared" si="8"/>
        <v>0.5827152033139642</v>
      </c>
      <c r="AE17" s="33">
        <f t="shared" si="9"/>
        <v>0.8027831677939641</v>
      </c>
      <c r="AF17" s="33">
        <f t="shared" si="10"/>
        <v>-999</v>
      </c>
      <c r="AG17" s="33">
        <f t="shared" si="11"/>
        <v>-999</v>
      </c>
      <c r="AH17" s="33">
        <f t="shared" si="12"/>
        <v>0.8027831637122591</v>
      </c>
      <c r="AI17" s="34">
        <f t="shared" si="13"/>
        <v>0.44879909010509356</v>
      </c>
      <c r="AJ17" s="4">
        <v>13.462005546258133</v>
      </c>
      <c r="AK17" s="32">
        <f t="shared" si="14"/>
        <v>-999</v>
      </c>
      <c r="AL17" s="34">
        <f t="shared" si="15"/>
        <v>0.8027831637122591</v>
      </c>
      <c r="AY17" s="103" t="s">
        <v>103</v>
      </c>
      <c r="AZ17" s="103" t="s">
        <v>104</v>
      </c>
      <c r="BA17" s="103" t="s">
        <v>302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307</v>
      </c>
      <c r="E18" s="80">
        <f>IF(LEFT(VLOOKUP($B18,'Indicator chart'!$D$1:$J$36,5,FALSE),1)=" "," ",VLOOKUP($B18,'Indicator chart'!$D$1:$J$36,5,FALSE))</f>
        <v>1.587449493</v>
      </c>
      <c r="F18" s="81">
        <f>IF(LEFT(VLOOKUP($B18,'Indicator chart'!$D$1:$J$36,6,FALSE),1)=" "," ",VLOOKUP($B18,'Indicator chart'!$D$1:$J$36,6,FALSE))</f>
        <v>1.414822845</v>
      </c>
      <c r="G18" s="38">
        <f>IF(LEFT(VLOOKUP($B18,'Indicator chart'!$D$1:$J$36,7,FALSE),1)=" "," ",VLOOKUP($B18,'Indicator chart'!$D$1:$J$36,7,FALSE))</f>
        <v>1.775328979</v>
      </c>
      <c r="H18" s="50">
        <f>IF(LEFT(F18,1)=" ",4,IF(AND(ABS(N18-E18)&gt;SQRT((E18-G18)^2+(N18-R18)^2),E18&lt;N18),1,IF(AND(ABS(N18-E18)&gt;SQRT((E18-F18)^2+(N18-S18)^2),E18&gt;N18),3,2)))</f>
        <v>3</v>
      </c>
      <c r="I18" s="38">
        <v>0.32112357020378113</v>
      </c>
      <c r="J18" s="38"/>
      <c r="K18" s="38">
        <v>1</v>
      </c>
      <c r="L18" s="38"/>
      <c r="M18" s="38">
        <v>1.587449550628662</v>
      </c>
      <c r="N18" s="80">
        <v>1</v>
      </c>
      <c r="O18" s="80">
        <f>VLOOKUP('Hide - Control'!C$3,'All practice data'!A:CA,A18+29,FALSE)</f>
        <v>1</v>
      </c>
      <c r="P18" s="38">
        <f>VLOOKUP('Hide - Control'!$B$4,'All practice data'!B:BC,A18+2,FALSE)</f>
        <v>2777</v>
      </c>
      <c r="Q18" s="38">
        <f>VLOOKUP('Hide - Control'!$B$4,'All practice data'!B:BC,14,FALSE)</f>
        <v>2777</v>
      </c>
      <c r="R18" s="81">
        <v>1</v>
      </c>
      <c r="S18" s="38">
        <v>1</v>
      </c>
      <c r="T18" s="53">
        <f t="shared" si="19"/>
        <v>1.587449550628662</v>
      </c>
      <c r="U18" s="51">
        <f t="shared" si="20"/>
        <v>0.32112357020378113</v>
      </c>
      <c r="V18" s="7"/>
      <c r="W18" s="27">
        <f>IF((K18-I18)&gt;(M18-K18),I18,(K18-(M18-K18)))</f>
        <v>0.32112357020378113</v>
      </c>
      <c r="X18" s="27">
        <f t="shared" si="3"/>
        <v>1.6788764297962189</v>
      </c>
      <c r="Y18" s="27">
        <f t="shared" si="4"/>
        <v>0.32112357020378113</v>
      </c>
      <c r="Z18" s="27">
        <f t="shared" si="5"/>
        <v>1.6788764297962189</v>
      </c>
      <c r="AA18" s="32" t="s">
        <v>302</v>
      </c>
      <c r="AB18" s="33" t="s">
        <v>302</v>
      </c>
      <c r="AC18" s="33">
        <v>0.5</v>
      </c>
      <c r="AD18" s="33" t="s">
        <v>302</v>
      </c>
      <c r="AE18" s="33" t="s">
        <v>302</v>
      </c>
      <c r="AF18" s="33">
        <f t="shared" si="10"/>
        <v>-999</v>
      </c>
      <c r="AG18" s="33">
        <f t="shared" si="11"/>
        <v>-999</v>
      </c>
      <c r="AH18" s="33">
        <f t="shared" si="12"/>
        <v>0.9326630497219776</v>
      </c>
      <c r="AI18" s="34">
        <v>0.5</v>
      </c>
      <c r="AJ18" s="4">
        <v>14.538000971640056</v>
      </c>
      <c r="AK18" s="32">
        <f t="shared" si="14"/>
        <v>-999</v>
      </c>
      <c r="AL18" s="34">
        <f t="shared" si="15"/>
        <v>0.9326630497219776</v>
      </c>
      <c r="AY18" s="103" t="s">
        <v>105</v>
      </c>
      <c r="AZ18" s="103" t="s">
        <v>106</v>
      </c>
      <c r="BA18" s="103" t="s">
        <v>302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35</v>
      </c>
      <c r="E19" s="38">
        <f>IF(LEFT(VLOOKUP($B19,'Indicator chart'!$D$1:$J$36,5,FALSE),1)=" "," ",VLOOKUP($B19,'Indicator chart'!$D$1:$J$36,5,FALSE))</f>
        <v>0.11400651465798045</v>
      </c>
      <c r="F19" s="38">
        <f>IF(LEFT(VLOOKUP($B19,'Indicator chart'!$D$1:$J$36,6,FALSE),1)=" "," ",VLOOKUP($B19,'Indicator chart'!$D$1:$J$36,6,FALSE))</f>
        <v>0.08312444124387179</v>
      </c>
      <c r="G19" s="38">
        <f>IF(LEFT(VLOOKUP($B19,'Indicator chart'!$D$1:$J$36,7,FALSE),1)=" "," ",VLOOKUP($B19,'Indicator chart'!$D$1:$J$36,7,FALSE))</f>
        <v>0.15442934821030682</v>
      </c>
      <c r="H19" s="50">
        <f t="shared" si="0"/>
        <v>2</v>
      </c>
      <c r="I19" s="38">
        <v>0.02070442959666252</v>
      </c>
      <c r="J19" s="38">
        <v>0.11344606429338455</v>
      </c>
      <c r="K19" s="38">
        <v>0.13998021185398102</v>
      </c>
      <c r="L19" s="38">
        <v>0.17392534017562866</v>
      </c>
      <c r="M19" s="38">
        <v>0.2711864411830902</v>
      </c>
      <c r="N19" s="80">
        <f>VLOOKUP('Hide - Control'!B$3,'All practice data'!A:CA,A19+29,FALSE)</f>
        <v>0.13719841555635579</v>
      </c>
      <c r="O19" s="80">
        <f>VLOOKUP('Hide - Control'!C$3,'All practice data'!A:CA,A19+29,FALSE)</f>
        <v>0.10919341638628717</v>
      </c>
      <c r="P19" s="38">
        <f>VLOOKUP('Hide - Control'!$B$4,'All practice data'!B:BC,A19+2,FALSE)</f>
        <v>381</v>
      </c>
      <c r="Q19" s="38">
        <f>VLOOKUP('Hide - Control'!$B$4,'All practice data'!B:BC,15,FALSE)</f>
        <v>2777</v>
      </c>
      <c r="R19" s="38">
        <f>+((2*P19+1.96^2-1.96*SQRT(1.96^2+4*P19*(1-P19/Q19)))/(2*(Q19+1.96^2)))</f>
        <v>0.12490192823151315</v>
      </c>
      <c r="S19" s="38">
        <f>+((2*P19+1.96^2+1.96*SQRT(1.96^2+4*P19*(1-P19/Q19)))/(2*(Q19+1.96^2)))</f>
        <v>0.150497289041416</v>
      </c>
      <c r="T19" s="53">
        <f t="shared" si="19"/>
        <v>0.2711864411830902</v>
      </c>
      <c r="U19" s="51">
        <f t="shared" si="20"/>
        <v>0.02070442959666252</v>
      </c>
      <c r="V19" s="7"/>
      <c r="W19" s="27">
        <f t="shared" si="2"/>
        <v>0.008773982524871826</v>
      </c>
      <c r="X19" s="27">
        <f t="shared" si="3"/>
        <v>0.2711864411830902</v>
      </c>
      <c r="Y19" s="27">
        <f t="shared" si="4"/>
        <v>0.008773982524871826</v>
      </c>
      <c r="Z19" s="27">
        <f t="shared" si="5"/>
        <v>0.2711864411830902</v>
      </c>
      <c r="AA19" s="32">
        <f t="shared" si="6"/>
        <v>0.04546448416662115</v>
      </c>
      <c r="AB19" s="33">
        <f t="shared" si="7"/>
        <v>0.3988838117813754</v>
      </c>
      <c r="AC19" s="33">
        <v>0.5</v>
      </c>
      <c r="AD19" s="33">
        <f t="shared" si="8"/>
        <v>0.6293579142363046</v>
      </c>
      <c r="AE19" s="33">
        <f t="shared" si="9"/>
        <v>1</v>
      </c>
      <c r="AF19" s="33">
        <f t="shared" si="10"/>
        <v>-999</v>
      </c>
      <c r="AG19" s="33">
        <f t="shared" si="11"/>
        <v>0.4010195730461477</v>
      </c>
      <c r="AH19" s="33">
        <f t="shared" si="12"/>
        <v>-999</v>
      </c>
      <c r="AI19" s="34">
        <f t="shared" si="13"/>
        <v>0.38267784378411546</v>
      </c>
      <c r="AJ19" s="4">
        <v>15.61399639702198</v>
      </c>
      <c r="AK19" s="32">
        <f t="shared" si="14"/>
        <v>-999</v>
      </c>
      <c r="AL19" s="34">
        <f t="shared" si="15"/>
        <v>-999</v>
      </c>
      <c r="AY19" s="103" t="s">
        <v>270</v>
      </c>
      <c r="AZ19" s="103" t="s">
        <v>420</v>
      </c>
      <c r="BA19" s="103" t="s">
        <v>302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70</v>
      </c>
      <c r="E20" s="38">
        <f>IF(LEFT(VLOOKUP($B20,'Indicator chart'!$D$1:$J$36,5,FALSE),1)=" "," ",VLOOKUP($B20,'Indicator chart'!$D$1:$J$36,5,FALSE))</f>
        <v>0.5</v>
      </c>
      <c r="F20" s="38">
        <f>IF(LEFT(VLOOKUP($B20,'Indicator chart'!$D$1:$J$36,6,FALSE),1)=" "," ",VLOOKUP($B20,'Indicator chart'!$D$1:$J$36,6,FALSE))</f>
        <v>0.3859551898733622</v>
      </c>
      <c r="G20" s="38">
        <f>IF(LEFT(VLOOKUP($B20,'Indicator chart'!$D$1:$J$36,7,FALSE),1)=" "," ",VLOOKUP($B20,'Indicator chart'!$D$1:$J$36,7,FALSE))</f>
        <v>0.6140448101266378</v>
      </c>
      <c r="H20" s="50">
        <f t="shared" si="0"/>
        <v>2</v>
      </c>
      <c r="I20" s="38">
        <v>0.09238772839307785</v>
      </c>
      <c r="J20" s="38">
        <v>0.3450284004211426</v>
      </c>
      <c r="K20" s="38">
        <v>0.44668006896972656</v>
      </c>
      <c r="L20" s="38">
        <v>0.5205357074737549</v>
      </c>
      <c r="M20" s="38">
        <v>0.75</v>
      </c>
      <c r="N20" s="80">
        <f>VLOOKUP('Hide - Control'!B$3,'All practice data'!A:CA,A20+29,FALSE)</f>
        <v>0.450887573964497</v>
      </c>
      <c r="O20" s="80">
        <f>VLOOKUP('Hide - Control'!C$3,'All practice data'!A:CA,A20+29,FALSE)</f>
        <v>0.4534552930810221</v>
      </c>
      <c r="P20" s="38">
        <f>VLOOKUP('Hide - Control'!$B$4,'All practice data'!B:BC,A20+1,FALSE)</f>
        <v>381</v>
      </c>
      <c r="Q20" s="38">
        <f>VLOOKUP('Hide - Control'!$B$4,'All practice data'!B:BC,A20+2,FALSE)</f>
        <v>845</v>
      </c>
      <c r="R20" s="38">
        <f>+((2*P20+1.96^2-1.96*SQRT(1.96^2+4*P20*(1-P20/Q20)))/(2*(Q20+1.96^2)))</f>
        <v>0.41763511163150085</v>
      </c>
      <c r="S20" s="38">
        <f>+((2*P20+1.96^2+1.96*SQRT(1.96^2+4*P20*(1-P20/Q20)))/(2*(Q20+1.96^2)))</f>
        <v>0.4845845722294221</v>
      </c>
      <c r="T20" s="53">
        <f t="shared" si="19"/>
        <v>0.75</v>
      </c>
      <c r="U20" s="51">
        <f t="shared" si="20"/>
        <v>0.09238772839307785</v>
      </c>
      <c r="V20" s="7"/>
      <c r="W20" s="27">
        <f t="shared" si="2"/>
        <v>0.09238772839307785</v>
      </c>
      <c r="X20" s="27">
        <f t="shared" si="3"/>
        <v>0.8009724095463753</v>
      </c>
      <c r="Y20" s="27">
        <f t="shared" si="4"/>
        <v>0.09238772839307785</v>
      </c>
      <c r="Z20" s="27">
        <f t="shared" si="5"/>
        <v>0.8009724095463753</v>
      </c>
      <c r="AA20" s="32">
        <f t="shared" si="6"/>
        <v>0</v>
      </c>
      <c r="AB20" s="33">
        <f t="shared" si="7"/>
        <v>0.35654266702021414</v>
      </c>
      <c r="AC20" s="33">
        <v>0.5</v>
      </c>
      <c r="AD20" s="33">
        <f t="shared" si="8"/>
        <v>0.6042297984537577</v>
      </c>
      <c r="AE20" s="33">
        <f t="shared" si="9"/>
        <v>0.9280644771159712</v>
      </c>
      <c r="AF20" s="33">
        <f t="shared" si="10"/>
        <v>-999</v>
      </c>
      <c r="AG20" s="33">
        <f t="shared" si="11"/>
        <v>0.5752484952729849</v>
      </c>
      <c r="AH20" s="33">
        <f t="shared" si="12"/>
        <v>-999</v>
      </c>
      <c r="AI20" s="34">
        <f t="shared" si="13"/>
        <v>0.5095616293881321</v>
      </c>
      <c r="AJ20" s="4">
        <v>16.689991822403904</v>
      </c>
      <c r="AK20" s="32">
        <f t="shared" si="14"/>
        <v>-999</v>
      </c>
      <c r="AL20" s="34">
        <f t="shared" si="15"/>
        <v>-999</v>
      </c>
      <c r="AY20" s="103" t="s">
        <v>211</v>
      </c>
      <c r="AZ20" s="103" t="s">
        <v>401</v>
      </c>
      <c r="BA20" s="103" t="s">
        <v>302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38</v>
      </c>
      <c r="E21" s="38">
        <f>IF(LEFT(VLOOKUP($B21,'Indicator chart'!$D$1:$J$36,5,FALSE),1)=" "," ",VLOOKUP($B21,'Indicator chart'!$D$1:$J$36,5,FALSE))</f>
        <v>352.76643148904566</v>
      </c>
      <c r="F21" s="38">
        <f>IF(LEFT(VLOOKUP($B21,'Indicator chart'!$D$1:$J$36,6,FALSE),1)=" "," ",VLOOKUP($B21,'Indicator chart'!$D$1:$J$36,6,FALSE))</f>
        <v>249.60538611031026</v>
      </c>
      <c r="G21" s="38">
        <f>IF(LEFT(VLOOKUP($B21,'Indicator chart'!$D$1:$J$36,7,FALSE),1)=" "," ",VLOOKUP($B21,'Indicator chart'!$D$1:$J$36,7,FALSE))</f>
        <v>484.2156187801714</v>
      </c>
      <c r="H21" s="50">
        <f t="shared" si="0"/>
        <v>2</v>
      </c>
      <c r="I21" s="38">
        <v>61.46357345581055</v>
      </c>
      <c r="J21" s="38">
        <v>268.489501953125</v>
      </c>
      <c r="K21" s="38">
        <v>339.0750732421875</v>
      </c>
      <c r="L21" s="38">
        <v>394.0360412597656</v>
      </c>
      <c r="M21" s="38">
        <v>515.1793823242188</v>
      </c>
      <c r="N21" s="80">
        <f>VLOOKUP('Hide - Control'!B$3,'All practice data'!A:CA,A21+29,FALSE)</f>
        <v>344.768877160126</v>
      </c>
      <c r="O21" s="80">
        <f>VLOOKUP('Hide - Control'!C$3,'All practice data'!A:CA,A21+29,FALSE)</f>
        <v>377.7293140102421</v>
      </c>
      <c r="P21" s="38">
        <f>VLOOKUP('Hide - Control'!$B$4,'All practice data'!B:BC,A21+2,FALSE)</f>
        <v>486</v>
      </c>
      <c r="Q21" s="38">
        <f>VLOOKUP('Hide - Control'!$B$4,'All practice data'!B:BC,3,FALSE)</f>
        <v>140964</v>
      </c>
      <c r="R21" s="38">
        <f aca="true" t="shared" si="21" ref="R21:R27">100000*(P21*(1-1/(9*P21)-1.96/(3*SQRT(P21)))^3)/Q21</f>
        <v>314.79320212572827</v>
      </c>
      <c r="S21" s="38">
        <f aca="true" t="shared" si="22" ref="S21:S27">100000*((P21+1)*(1-1/(9*(P21+1))+1.96/(3*SQRT(P21+1)))^3)/Q21</f>
        <v>376.82905992792587</v>
      </c>
      <c r="T21" s="53">
        <f t="shared" si="19"/>
        <v>515.1793823242188</v>
      </c>
      <c r="U21" s="51">
        <f t="shared" si="20"/>
        <v>61.46357345581055</v>
      </c>
      <c r="V21" s="7"/>
      <c r="W21" s="27">
        <f t="shared" si="2"/>
        <v>61.46357345581055</v>
      </c>
      <c r="X21" s="27">
        <f t="shared" si="3"/>
        <v>616.6865730285645</v>
      </c>
      <c r="Y21" s="27">
        <f t="shared" si="4"/>
        <v>61.46357345581055</v>
      </c>
      <c r="Z21" s="27">
        <f t="shared" si="5"/>
        <v>616.6865730285645</v>
      </c>
      <c r="AA21" s="32">
        <f t="shared" si="6"/>
        <v>0</v>
      </c>
      <c r="AB21" s="33">
        <f t="shared" si="7"/>
        <v>0.3728698714869911</v>
      </c>
      <c r="AC21" s="33">
        <v>0.5</v>
      </c>
      <c r="AD21" s="33">
        <f t="shared" si="8"/>
        <v>0.5989889973215641</v>
      </c>
      <c r="AE21" s="33">
        <f t="shared" si="9"/>
        <v>0.8171776191143814</v>
      </c>
      <c r="AF21" s="33">
        <f t="shared" si="10"/>
        <v>-999</v>
      </c>
      <c r="AG21" s="33">
        <f t="shared" si="11"/>
        <v>0.5246592058639389</v>
      </c>
      <c r="AH21" s="33">
        <f t="shared" si="12"/>
        <v>-999</v>
      </c>
      <c r="AI21" s="34">
        <f t="shared" si="13"/>
        <v>0.5696193075535401</v>
      </c>
      <c r="AJ21" s="4">
        <v>17.765987247785823</v>
      </c>
      <c r="AK21" s="32">
        <f t="shared" si="14"/>
        <v>-999</v>
      </c>
      <c r="AL21" s="34">
        <f t="shared" si="15"/>
        <v>-999</v>
      </c>
      <c r="AY21" s="103" t="s">
        <v>123</v>
      </c>
      <c r="AZ21" s="103" t="s">
        <v>375</v>
      </c>
      <c r="BA21" s="103" t="s">
        <v>302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42</v>
      </c>
      <c r="E22" s="38">
        <f>IF(LEFT(VLOOKUP($B22,'Indicator chart'!$D$1:$J$36,5,FALSE),1)=" "," ",VLOOKUP($B22,'Indicator chart'!$D$1:$J$36,5,FALSE))</f>
        <v>389.89974006683997</v>
      </c>
      <c r="F22" s="38">
        <f>IF(LEFT(VLOOKUP($B22,'Indicator chart'!$D$1:$J$36,6,FALSE),1)=" "," ",VLOOKUP($B22,'Indicator chart'!$D$1:$J$36,6,FALSE))</f>
        <v>280.97409559561396</v>
      </c>
      <c r="G22" s="38">
        <f>IF(LEFT(VLOOKUP($B22,'Indicator chart'!$D$1:$J$36,7,FALSE),1)=" "," ",VLOOKUP($B22,'Indicator chart'!$D$1:$J$36,7,FALSE))</f>
        <v>527.0471869025946</v>
      </c>
      <c r="H22" s="50">
        <f t="shared" si="0"/>
        <v>2</v>
      </c>
      <c r="I22" s="38">
        <v>18.07059669494629</v>
      </c>
      <c r="J22" s="38">
        <v>208.78993225097656</v>
      </c>
      <c r="K22" s="38">
        <v>278.3583679199219</v>
      </c>
      <c r="L22" s="38">
        <v>327.25469970703125</v>
      </c>
      <c r="M22" s="38">
        <v>434.8417053222656</v>
      </c>
      <c r="N22" s="80">
        <f>VLOOKUP('Hide - Control'!B$3,'All practice data'!A:CA,A22+29,FALSE)</f>
        <v>287.3073976334383</v>
      </c>
      <c r="O22" s="80">
        <f>VLOOKUP('Hide - Control'!C$3,'All practice data'!A:CA,A22+29,FALSE)</f>
        <v>282.45290788403287</v>
      </c>
      <c r="P22" s="38">
        <f>VLOOKUP('Hide - Control'!$B$4,'All practice data'!B:BC,A22+2,FALSE)</f>
        <v>405</v>
      </c>
      <c r="Q22" s="38">
        <f>VLOOKUP('Hide - Control'!$B$4,'All practice data'!B:BC,3,FALSE)</f>
        <v>140964</v>
      </c>
      <c r="R22" s="38">
        <f t="shared" si="21"/>
        <v>260.0028969950178</v>
      </c>
      <c r="S22" s="38">
        <f t="shared" si="22"/>
        <v>316.6993511320842</v>
      </c>
      <c r="T22" s="53">
        <f t="shared" si="19"/>
        <v>434.8417053222656</v>
      </c>
      <c r="U22" s="51">
        <f t="shared" si="20"/>
        <v>18.07059669494629</v>
      </c>
      <c r="V22" s="7"/>
      <c r="W22" s="27">
        <f t="shared" si="2"/>
        <v>18.07059669494629</v>
      </c>
      <c r="X22" s="27">
        <f t="shared" si="3"/>
        <v>538.6461391448975</v>
      </c>
      <c r="Y22" s="27">
        <f t="shared" si="4"/>
        <v>18.07059669494629</v>
      </c>
      <c r="Z22" s="27">
        <f t="shared" si="5"/>
        <v>538.6461391448975</v>
      </c>
      <c r="AA22" s="32">
        <f t="shared" si="6"/>
        <v>0</v>
      </c>
      <c r="AB22" s="33">
        <f t="shared" si="7"/>
        <v>0.36636245847905213</v>
      </c>
      <c r="AC22" s="33">
        <v>0.5</v>
      </c>
      <c r="AD22" s="33">
        <f t="shared" si="8"/>
        <v>0.5939274472192676</v>
      </c>
      <c r="AE22" s="33">
        <f t="shared" si="9"/>
        <v>0.8005967907479792</v>
      </c>
      <c r="AF22" s="33">
        <f t="shared" si="10"/>
        <v>-999</v>
      </c>
      <c r="AG22" s="33">
        <f t="shared" si="11"/>
        <v>0.7142654870453155</v>
      </c>
      <c r="AH22" s="33">
        <f t="shared" si="12"/>
        <v>-999</v>
      </c>
      <c r="AI22" s="34">
        <f t="shared" si="13"/>
        <v>0.5078654097824902</v>
      </c>
      <c r="AJ22" s="4">
        <v>18.841982673167745</v>
      </c>
      <c r="AK22" s="32">
        <f t="shared" si="14"/>
        <v>-999</v>
      </c>
      <c r="AL22" s="34">
        <f t="shared" si="15"/>
        <v>-999</v>
      </c>
      <c r="AY22" s="103" t="s">
        <v>149</v>
      </c>
      <c r="AZ22" s="103" t="s">
        <v>385</v>
      </c>
      <c r="BA22" s="103" t="s">
        <v>302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102.11659858893428</v>
      </c>
      <c r="F23" s="38">
        <f>IF(LEFT(VLOOKUP($B23,'Indicator chart'!$D$1:$J$36,6,FALSE),1)=" "," ",VLOOKUP($B23,'Indicator chart'!$D$1:$J$36,6,FALSE))</f>
        <v>50.90619289816919</v>
      </c>
      <c r="G23" s="38">
        <f>IF(LEFT(VLOOKUP($B23,'Indicator chart'!$D$1:$J$36,7,FALSE),1)=" "," ",VLOOKUP($B23,'Indicator chart'!$D$1:$J$36,7,FALSE))</f>
        <v>182.72754028419817</v>
      </c>
      <c r="H23" s="50">
        <f t="shared" si="0"/>
        <v>2</v>
      </c>
      <c r="I23" s="38">
        <v>3.248678207397461</v>
      </c>
      <c r="J23" s="38">
        <v>72.70684051513672</v>
      </c>
      <c r="K23" s="38">
        <v>100.92863464355469</v>
      </c>
      <c r="L23" s="38">
        <v>114.28089141845703</v>
      </c>
      <c r="M23" s="38">
        <v>229.09507751464844</v>
      </c>
      <c r="N23" s="80">
        <f>VLOOKUP('Hide - Control'!B$3,'All practice data'!A:CA,A23+29,FALSE)</f>
        <v>102.15374138077807</v>
      </c>
      <c r="O23" s="80">
        <f>VLOOKUP('Hide - Control'!C$3,'All practice data'!A:CA,A23+29,FALSE)</f>
        <v>70.46674929228394</v>
      </c>
      <c r="P23" s="38">
        <f>VLOOKUP('Hide - Control'!$B$4,'All practice data'!B:BC,A23+2,FALSE)</f>
        <v>144</v>
      </c>
      <c r="Q23" s="38">
        <f>VLOOKUP('Hide - Control'!$B$4,'All practice data'!B:BC,3,FALSE)</f>
        <v>140964</v>
      </c>
      <c r="R23" s="38">
        <f t="shared" si="21"/>
        <v>86.14930908182473</v>
      </c>
      <c r="S23" s="38">
        <f t="shared" si="22"/>
        <v>120.26829648588458</v>
      </c>
      <c r="T23" s="53">
        <f t="shared" si="19"/>
        <v>229.09507751464844</v>
      </c>
      <c r="U23" s="51">
        <f t="shared" si="20"/>
        <v>3.248678207397461</v>
      </c>
      <c r="V23" s="7"/>
      <c r="W23" s="27">
        <f t="shared" si="2"/>
        <v>-27.237808227539062</v>
      </c>
      <c r="X23" s="27">
        <f t="shared" si="3"/>
        <v>229.09507751464844</v>
      </c>
      <c r="Y23" s="27">
        <f t="shared" si="4"/>
        <v>-27.237808227539062</v>
      </c>
      <c r="Z23" s="27">
        <f t="shared" si="5"/>
        <v>229.09507751464844</v>
      </c>
      <c r="AA23" s="32">
        <f t="shared" si="6"/>
        <v>0.11893318466206862</v>
      </c>
      <c r="AB23" s="33">
        <f t="shared" si="7"/>
        <v>0.3899017812454908</v>
      </c>
      <c r="AC23" s="33">
        <v>0.5</v>
      </c>
      <c r="AD23" s="33">
        <f t="shared" si="8"/>
        <v>0.5520895192056304</v>
      </c>
      <c r="AE23" s="33">
        <f t="shared" si="9"/>
        <v>1</v>
      </c>
      <c r="AF23" s="33">
        <f t="shared" si="10"/>
        <v>-999</v>
      </c>
      <c r="AG23" s="33">
        <f t="shared" si="11"/>
        <v>0.5046344578142595</v>
      </c>
      <c r="AH23" s="33">
        <f t="shared" si="12"/>
        <v>-999</v>
      </c>
      <c r="AI23" s="34">
        <f t="shared" si="13"/>
        <v>0.38116278852371493</v>
      </c>
      <c r="AJ23" s="4">
        <v>19.917978098549675</v>
      </c>
      <c r="AK23" s="32">
        <f t="shared" si="14"/>
        <v>-999</v>
      </c>
      <c r="AL23" s="34">
        <f t="shared" si="15"/>
        <v>-999</v>
      </c>
      <c r="AY23" s="103" t="s">
        <v>264</v>
      </c>
      <c r="AZ23" s="103" t="s">
        <v>265</v>
      </c>
      <c r="BA23" s="103" t="s">
        <v>302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56</v>
      </c>
      <c r="E24" s="38">
        <f>IF(LEFT(VLOOKUP($B24,'Indicator chart'!$D$1:$J$36,5,FALSE),1)=" "," ",VLOOKUP($B24,'Indicator chart'!$D$1:$J$36,5,FALSE))</f>
        <v>519.86632008912</v>
      </c>
      <c r="F24" s="38">
        <f>IF(LEFT(VLOOKUP($B24,'Indicator chart'!$D$1:$J$36,6,FALSE),1)=" "," ",VLOOKUP($B24,'Indicator chart'!$D$1:$J$36,6,FALSE))</f>
        <v>392.6745568152568</v>
      </c>
      <c r="G24" s="38">
        <f>IF(LEFT(VLOOKUP($B24,'Indicator chart'!$D$1:$J$36,7,FALSE),1)=" "," ",VLOOKUP($B24,'Indicator chart'!$D$1:$J$36,7,FALSE))</f>
        <v>675.1051951615052</v>
      </c>
      <c r="H24" s="50">
        <f t="shared" si="0"/>
        <v>3</v>
      </c>
      <c r="I24" s="38">
        <v>27.3076171875</v>
      </c>
      <c r="J24" s="38">
        <v>189.22215270996094</v>
      </c>
      <c r="K24" s="38">
        <v>325.5851135253906</v>
      </c>
      <c r="L24" s="38">
        <v>405.4900207519531</v>
      </c>
      <c r="M24" s="38">
        <v>687.929931640625</v>
      </c>
      <c r="N24" s="80">
        <f>VLOOKUP('Hide - Control'!B$3,'All practice data'!A:CA,A24+29,FALSE)</f>
        <v>333.4184614511507</v>
      </c>
      <c r="O24" s="80">
        <f>VLOOKUP('Hide - Control'!C$3,'All practice data'!A:CA,A24+29,FALSE)</f>
        <v>323.23046266988894</v>
      </c>
      <c r="P24" s="38">
        <f>VLOOKUP('Hide - Control'!$B$4,'All practice data'!B:BC,A24+2,FALSE)</f>
        <v>470</v>
      </c>
      <c r="Q24" s="38">
        <f>VLOOKUP('Hide - Control'!$B$4,'All practice data'!B:BC,3,FALSE)</f>
        <v>140964</v>
      </c>
      <c r="R24" s="38">
        <f t="shared" si="21"/>
        <v>303.9516568343701</v>
      </c>
      <c r="S24" s="38">
        <f t="shared" si="22"/>
        <v>364.97029507758594</v>
      </c>
      <c r="T24" s="53">
        <f t="shared" si="19"/>
        <v>687.929931640625</v>
      </c>
      <c r="U24" s="51">
        <f t="shared" si="20"/>
        <v>27.3076171875</v>
      </c>
      <c r="V24" s="7"/>
      <c r="W24" s="27">
        <f t="shared" si="2"/>
        <v>-36.75970458984375</v>
      </c>
      <c r="X24" s="27">
        <f t="shared" si="3"/>
        <v>687.929931640625</v>
      </c>
      <c r="Y24" s="27">
        <f t="shared" si="4"/>
        <v>-36.75970458984375</v>
      </c>
      <c r="Z24" s="27">
        <f t="shared" si="5"/>
        <v>687.929931640625</v>
      </c>
      <c r="AA24" s="32">
        <f t="shared" si="6"/>
        <v>0.08840656547897534</v>
      </c>
      <c r="AB24" s="33">
        <f t="shared" si="7"/>
        <v>0.3118326053002047</v>
      </c>
      <c r="AC24" s="33">
        <v>0.5</v>
      </c>
      <c r="AD24" s="33">
        <f t="shared" si="8"/>
        <v>0.610260866489266</v>
      </c>
      <c r="AE24" s="33">
        <f t="shared" si="9"/>
        <v>1</v>
      </c>
      <c r="AF24" s="33">
        <f t="shared" si="10"/>
        <v>-999</v>
      </c>
      <c r="AG24" s="33">
        <f t="shared" si="11"/>
        <v>-999</v>
      </c>
      <c r="AH24" s="33">
        <f t="shared" si="12"/>
        <v>0.76808884362456</v>
      </c>
      <c r="AI24" s="34">
        <f t="shared" si="13"/>
        <v>0.49675081477948324</v>
      </c>
      <c r="AJ24" s="4">
        <v>20.99397352393159</v>
      </c>
      <c r="AK24" s="32">
        <f t="shared" si="14"/>
        <v>-999</v>
      </c>
      <c r="AL24" s="34">
        <f t="shared" si="15"/>
        <v>0.76808884362456</v>
      </c>
      <c r="AY24" s="103" t="s">
        <v>65</v>
      </c>
      <c r="AZ24" s="103" t="s">
        <v>66</v>
      </c>
      <c r="BA24" s="103" t="s">
        <v>481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52</v>
      </c>
      <c r="E25" s="38">
        <f>IF(LEFT(VLOOKUP($B25,'Indicator chart'!$D$1:$J$36,5,FALSE),1)=" "," ",VLOOKUP($B25,'Indicator chart'!$D$1:$J$36,5,FALSE))</f>
        <v>482.7330115113257</v>
      </c>
      <c r="F25" s="38">
        <f>IF(LEFT(VLOOKUP($B25,'Indicator chart'!$D$1:$J$36,6,FALSE),1)=" "," ",VLOOKUP($B25,'Indicator chart'!$D$1:$J$36,6,FALSE))</f>
        <v>360.50016869150056</v>
      </c>
      <c r="G25" s="38">
        <f>IF(LEFT(VLOOKUP($B25,'Indicator chart'!$D$1:$J$36,7,FALSE),1)=" "," ",VLOOKUP($B25,'Indicator chart'!$D$1:$J$36,7,FALSE))</f>
        <v>633.0557898358458</v>
      </c>
      <c r="H25" s="50">
        <f t="shared" si="0"/>
        <v>2</v>
      </c>
      <c r="I25" s="38">
        <v>185.5142822265625</v>
      </c>
      <c r="J25" s="38">
        <v>435.657958984375</v>
      </c>
      <c r="K25" s="38">
        <v>496.3240051269531</v>
      </c>
      <c r="L25" s="38">
        <v>534.5223388671875</v>
      </c>
      <c r="M25" s="38">
        <v>720.20654296875</v>
      </c>
      <c r="N25" s="80">
        <f>VLOOKUP('Hide - Control'!B$3,'All practice data'!A:CA,A25+29,FALSE)</f>
        <v>489.48667744956157</v>
      </c>
      <c r="O25" s="80">
        <f>VLOOKUP('Hide - Control'!C$3,'All practice data'!A:CA,A25+29,FALSE)</f>
        <v>562.6134400960308</v>
      </c>
      <c r="P25" s="38">
        <f>VLOOKUP('Hide - Control'!$B$4,'All practice data'!B:BC,A25+2,FALSE)</f>
        <v>690</v>
      </c>
      <c r="Q25" s="38">
        <f>VLOOKUP('Hide - Control'!$B$4,'All practice data'!B:BC,3,FALSE)</f>
        <v>140964</v>
      </c>
      <c r="R25" s="38">
        <f t="shared" si="21"/>
        <v>453.63924326981197</v>
      </c>
      <c r="S25" s="38">
        <f t="shared" si="22"/>
        <v>527.4136453600439</v>
      </c>
      <c r="T25" s="53">
        <f t="shared" si="19"/>
        <v>720.20654296875</v>
      </c>
      <c r="U25" s="51">
        <f t="shared" si="20"/>
        <v>185.5142822265625</v>
      </c>
      <c r="V25" s="7"/>
      <c r="W25" s="27">
        <f t="shared" si="2"/>
        <v>185.5142822265625</v>
      </c>
      <c r="X25" s="27">
        <f t="shared" si="3"/>
        <v>807.1337280273438</v>
      </c>
      <c r="Y25" s="27">
        <f t="shared" si="4"/>
        <v>185.5142822265625</v>
      </c>
      <c r="Z25" s="27">
        <f t="shared" si="5"/>
        <v>807.1337280273438</v>
      </c>
      <c r="AA25" s="32">
        <f t="shared" si="6"/>
        <v>0</v>
      </c>
      <c r="AB25" s="33">
        <f t="shared" si="7"/>
        <v>0.40240645373565004</v>
      </c>
      <c r="AC25" s="33">
        <v>0.5</v>
      </c>
      <c r="AD25" s="33">
        <f t="shared" si="8"/>
        <v>0.561449708496533</v>
      </c>
      <c r="AE25" s="33">
        <f t="shared" si="9"/>
        <v>0.8601601258683074</v>
      </c>
      <c r="AF25" s="33">
        <f t="shared" si="10"/>
        <v>-999</v>
      </c>
      <c r="AG25" s="33">
        <f t="shared" si="11"/>
        <v>0.47813615113323993</v>
      </c>
      <c r="AH25" s="33">
        <f t="shared" si="12"/>
        <v>-999</v>
      </c>
      <c r="AI25" s="34">
        <f t="shared" si="13"/>
        <v>0.6066398990843705</v>
      </c>
      <c r="AJ25" s="4">
        <v>22.06996894931352</v>
      </c>
      <c r="AK25" s="32">
        <f t="shared" si="14"/>
        <v>-999</v>
      </c>
      <c r="AL25" s="34">
        <f t="shared" si="15"/>
        <v>-999</v>
      </c>
      <c r="AY25" s="103" t="s">
        <v>257</v>
      </c>
      <c r="AZ25" s="103" t="s">
        <v>258</v>
      </c>
      <c r="BA25" s="103" t="s">
        <v>481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49</v>
      </c>
      <c r="E26" s="38">
        <f>IF(LEFT(VLOOKUP($B26,'Indicator chart'!$D$1:$J$36,5,FALSE),1)=" "," ",VLOOKUP($B26,'Indicator chart'!$D$1:$J$36,5,FALSE))</f>
        <v>454.8830300779799</v>
      </c>
      <c r="F26" s="38">
        <f>IF(LEFT(VLOOKUP($B26,'Indicator chart'!$D$1:$J$36,6,FALSE),1)=" "," ",VLOOKUP($B26,'Indicator chart'!$D$1:$J$36,6,FALSE))</f>
        <v>336.4961422534722</v>
      </c>
      <c r="G26" s="38">
        <f>IF(LEFT(VLOOKUP($B26,'Indicator chart'!$D$1:$J$36,7,FALSE),1)=" "," ",VLOOKUP($B26,'Indicator chart'!$D$1:$J$36,7,FALSE))</f>
        <v>601.395260599646</v>
      </c>
      <c r="H26" s="50">
        <f t="shared" si="0"/>
        <v>2</v>
      </c>
      <c r="I26" s="38">
        <v>112.1823501586914</v>
      </c>
      <c r="J26" s="38">
        <v>392.111328125</v>
      </c>
      <c r="K26" s="38">
        <v>459.10174560546875</v>
      </c>
      <c r="L26" s="38">
        <v>563.0036010742188</v>
      </c>
      <c r="M26" s="38">
        <v>679.3478393554688</v>
      </c>
      <c r="N26" s="80">
        <f>VLOOKUP('Hide - Control'!B$3,'All practice data'!A:CA,A26+29,FALSE)</f>
        <v>475.2986578133424</v>
      </c>
      <c r="O26" s="80">
        <f>VLOOKUP('Hide - Control'!C$3,'All practice data'!A:CA,A26+29,FALSE)</f>
        <v>405.57105879375996</v>
      </c>
      <c r="P26" s="38">
        <f>VLOOKUP('Hide - Control'!$B$4,'All practice data'!B:BC,A26+2,FALSE)</f>
        <v>670</v>
      </c>
      <c r="Q26" s="38">
        <f>VLOOKUP('Hide - Control'!$B$4,'All practice data'!B:BC,3,FALSE)</f>
        <v>140964</v>
      </c>
      <c r="R26" s="38">
        <f t="shared" si="21"/>
        <v>439.98450146985806</v>
      </c>
      <c r="S26" s="38">
        <f t="shared" si="22"/>
        <v>512.6927332575196</v>
      </c>
      <c r="T26" s="53">
        <f t="shared" si="19"/>
        <v>679.3478393554688</v>
      </c>
      <c r="U26" s="51">
        <f t="shared" si="20"/>
        <v>112.1823501586914</v>
      </c>
      <c r="V26" s="7"/>
      <c r="W26" s="27">
        <f t="shared" si="2"/>
        <v>112.1823501586914</v>
      </c>
      <c r="X26" s="27">
        <f t="shared" si="3"/>
        <v>806.0211410522461</v>
      </c>
      <c r="Y26" s="27">
        <f t="shared" si="4"/>
        <v>112.1823501586914</v>
      </c>
      <c r="Z26" s="27">
        <f t="shared" si="5"/>
        <v>806.0211410522461</v>
      </c>
      <c r="AA26" s="32">
        <f t="shared" si="6"/>
        <v>0</v>
      </c>
      <c r="AB26" s="33">
        <f t="shared" si="7"/>
        <v>0.40344959324889335</v>
      </c>
      <c r="AC26" s="33">
        <v>0.5</v>
      </c>
      <c r="AD26" s="33">
        <f t="shared" si="8"/>
        <v>0.6497492743738655</v>
      </c>
      <c r="AE26" s="33">
        <f t="shared" si="9"/>
        <v>0.8174312198174418</v>
      </c>
      <c r="AF26" s="33">
        <f t="shared" si="10"/>
        <v>-999</v>
      </c>
      <c r="AG26" s="33">
        <f t="shared" si="11"/>
        <v>0.49391974680162265</v>
      </c>
      <c r="AH26" s="33">
        <f t="shared" si="12"/>
        <v>-999</v>
      </c>
      <c r="AI26" s="34">
        <f t="shared" si="13"/>
        <v>0.42284852401698425</v>
      </c>
      <c r="AJ26" s="4">
        <v>23.145964374695435</v>
      </c>
      <c r="AK26" s="32">
        <f t="shared" si="14"/>
        <v>-999</v>
      </c>
      <c r="AL26" s="34">
        <f t="shared" si="15"/>
        <v>-999</v>
      </c>
      <c r="AY26" s="103" t="s">
        <v>120</v>
      </c>
      <c r="AZ26" s="103" t="s">
        <v>374</v>
      </c>
      <c r="BA26" s="103" t="s">
        <v>302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133</v>
      </c>
      <c r="E27" s="38">
        <f>IF(LEFT(VLOOKUP($B27,'Indicator chart'!$D$1:$J$36,5,FALSE),1)=" "," ",VLOOKUP($B27,'Indicator chart'!$D$1:$J$36,5,FALSE))</f>
        <v>1234.6825102116597</v>
      </c>
      <c r="F27" s="38">
        <f>IF(LEFT(VLOOKUP($B27,'Indicator chart'!$D$1:$J$36,6,FALSE),1)=" "," ",VLOOKUP($B27,'Indicator chart'!$D$1:$J$36,6,FALSE))</f>
        <v>1033.7556290605796</v>
      </c>
      <c r="G27" s="38">
        <f>IF(LEFT(VLOOKUP($B27,'Indicator chart'!$D$1:$J$36,7,FALSE),1)=" "," ",VLOOKUP($B27,'Indicator chart'!$D$1:$J$36,7,FALSE))</f>
        <v>1463.252274630014</v>
      </c>
      <c r="H27" s="50">
        <f t="shared" si="0"/>
        <v>2</v>
      </c>
      <c r="I27" s="38">
        <v>496.3726501464844</v>
      </c>
      <c r="J27" s="38">
        <v>946.1184692382812</v>
      </c>
      <c r="K27" s="38">
        <v>1069.89111328125</v>
      </c>
      <c r="L27" s="38">
        <v>1238.753173828125</v>
      </c>
      <c r="M27" s="38">
        <v>1413.2354736328125</v>
      </c>
      <c r="N27" s="80">
        <f>VLOOKUP('Hide - Control'!B$3,'All practice data'!A:CA,A27+29,FALSE)</f>
        <v>1055.5886609347067</v>
      </c>
      <c r="O27" s="80">
        <f>VLOOKUP('Hide - Control'!C$3,'All practice data'!A:CA,A27+29,FALSE)</f>
        <v>1059.3522061277838</v>
      </c>
      <c r="P27" s="38">
        <f>VLOOKUP('Hide - Control'!$B$4,'All practice data'!B:BC,A27+2,FALSE)</f>
        <v>1488</v>
      </c>
      <c r="Q27" s="38">
        <f>VLOOKUP('Hide - Control'!$B$4,'All practice data'!B:BC,3,FALSE)</f>
        <v>140964</v>
      </c>
      <c r="R27" s="38">
        <f t="shared" si="21"/>
        <v>1002.6283084493049</v>
      </c>
      <c r="S27" s="38">
        <f t="shared" si="22"/>
        <v>1110.6202238014948</v>
      </c>
      <c r="T27" s="53">
        <f t="shared" si="19"/>
        <v>1413.2354736328125</v>
      </c>
      <c r="U27" s="51">
        <f t="shared" si="20"/>
        <v>496.3726501464844</v>
      </c>
      <c r="V27" s="7"/>
      <c r="W27" s="27">
        <f t="shared" si="2"/>
        <v>496.3726501464844</v>
      </c>
      <c r="X27" s="27">
        <f t="shared" si="3"/>
        <v>1643.4095764160156</v>
      </c>
      <c r="Y27" s="27">
        <f t="shared" si="4"/>
        <v>496.3726501464844</v>
      </c>
      <c r="Z27" s="27">
        <f t="shared" si="5"/>
        <v>1643.4095764160156</v>
      </c>
      <c r="AA27" s="32">
        <f t="shared" si="6"/>
        <v>0</v>
      </c>
      <c r="AB27" s="33">
        <f t="shared" si="7"/>
        <v>0.3920935837301156</v>
      </c>
      <c r="AC27" s="33">
        <v>0.5</v>
      </c>
      <c r="AD27" s="33">
        <f t="shared" si="8"/>
        <v>0.6472158887648537</v>
      </c>
      <c r="AE27" s="33">
        <f t="shared" si="9"/>
        <v>0.7993315668295088</v>
      </c>
      <c r="AF27" s="33">
        <f t="shared" si="10"/>
        <v>-999</v>
      </c>
      <c r="AG27" s="33">
        <f t="shared" si="11"/>
        <v>0.6436670373519318</v>
      </c>
      <c r="AH27" s="33">
        <f t="shared" si="12"/>
        <v>-999</v>
      </c>
      <c r="AI27" s="34">
        <f t="shared" si="13"/>
        <v>0.4908120593922451</v>
      </c>
      <c r="AJ27" s="4">
        <v>24.221959800077364</v>
      </c>
      <c r="AK27" s="32">
        <f t="shared" si="14"/>
        <v>-999</v>
      </c>
      <c r="AL27" s="34">
        <f t="shared" si="15"/>
        <v>-999</v>
      </c>
      <c r="AY27" s="103" t="s">
        <v>115</v>
      </c>
      <c r="AZ27" s="103" t="s">
        <v>373</v>
      </c>
      <c r="BA27" s="103" t="s">
        <v>481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92</v>
      </c>
      <c r="E28" s="38">
        <f>IF(LEFT(VLOOKUP($B28,'Indicator chart'!$D$1:$J$36,5,FALSE),1)=" "," ",VLOOKUP($B28,'Indicator chart'!$D$1:$J$36,5,FALSE))</f>
        <v>854.0660972892684</v>
      </c>
      <c r="F28" s="38">
        <f>IF(LEFT(VLOOKUP($B28,'Indicator chart'!$D$1:$J$36,6,FALSE),1)=" "," ",VLOOKUP($B28,'Indicator chart'!$D$1:$J$36,6,FALSE))</f>
        <v>688.4766459765497</v>
      </c>
      <c r="G28" s="38">
        <f>IF(LEFT(VLOOKUP($B28,'Indicator chart'!$D$1:$J$36,7,FALSE),1)=" "," ",VLOOKUP($B28,'Indicator chart'!$D$1:$J$36,7,FALSE))</f>
        <v>1047.4508289451496</v>
      </c>
      <c r="H28" s="50">
        <f t="shared" si="0"/>
        <v>2</v>
      </c>
      <c r="I28" s="38">
        <v>381.82513427734375</v>
      </c>
      <c r="J28" s="38">
        <v>651.1016845703125</v>
      </c>
      <c r="K28" s="38">
        <v>796.4915161132812</v>
      </c>
      <c r="L28" s="38">
        <v>847.0677490234375</v>
      </c>
      <c r="M28" s="38">
        <v>1403.281494140625</v>
      </c>
      <c r="N28" s="80">
        <f>VLOOKUP('Hide - Control'!B$3,'All practice data'!A:CA,A28+29,FALSE)</f>
        <v>780.3410799920547</v>
      </c>
      <c r="O28" s="80">
        <f>VLOOKUP('Hide - Control'!C$3,'All practice data'!A:CA,A28+29,FALSE)</f>
        <v>582.9390489900089</v>
      </c>
      <c r="P28" s="38">
        <f>VLOOKUP('Hide - Control'!$B$4,'All practice data'!B:BC,A28+2,FALSE)</f>
        <v>1100</v>
      </c>
      <c r="Q28" s="38">
        <f>VLOOKUP('Hide - Control'!$B$4,'All practice data'!B:BC,3,FALSE)</f>
        <v>140964</v>
      </c>
      <c r="R28" s="38">
        <f>100000*(P28*(1-1/(9*P28)-1.96/(3*SQRT(P28)))^3)/Q28</f>
        <v>734.9010967082094</v>
      </c>
      <c r="S28" s="38">
        <f>100000*((P28+1)*(1-1/(9*(P28+1))+1.96/(3*SQRT(P28+1)))^3)/Q28</f>
        <v>827.855176010665</v>
      </c>
      <c r="T28" s="53">
        <f t="shared" si="19"/>
        <v>1403.281494140625</v>
      </c>
      <c r="U28" s="51">
        <f t="shared" si="20"/>
        <v>381.82513427734375</v>
      </c>
      <c r="V28" s="7"/>
      <c r="W28" s="27">
        <f t="shared" si="2"/>
        <v>189.7015380859375</v>
      </c>
      <c r="X28" s="27">
        <f t="shared" si="3"/>
        <v>1403.281494140625</v>
      </c>
      <c r="Y28" s="27">
        <f t="shared" si="4"/>
        <v>189.7015380859375</v>
      </c>
      <c r="Z28" s="27">
        <f t="shared" si="5"/>
        <v>1403.281494140625</v>
      </c>
      <c r="AA28" s="32">
        <f t="shared" si="6"/>
        <v>0.1583114447736879</v>
      </c>
      <c r="AB28" s="33">
        <f t="shared" si="7"/>
        <v>0.3801975668619093</v>
      </c>
      <c r="AC28" s="33">
        <v>0.5</v>
      </c>
      <c r="AD28" s="33">
        <f t="shared" si="8"/>
        <v>0.5416752375134624</v>
      </c>
      <c r="AE28" s="33">
        <f t="shared" si="9"/>
        <v>1</v>
      </c>
      <c r="AF28" s="33">
        <f t="shared" si="10"/>
        <v>-999</v>
      </c>
      <c r="AG28" s="33">
        <f t="shared" si="11"/>
        <v>0.5474419348216334</v>
      </c>
      <c r="AH28" s="33">
        <f t="shared" si="12"/>
        <v>-999</v>
      </c>
      <c r="AI28" s="34">
        <f t="shared" si="13"/>
        <v>0.32403098695076915</v>
      </c>
      <c r="AJ28" s="4">
        <v>25.297955225459287</v>
      </c>
      <c r="AK28" s="32">
        <f t="shared" si="14"/>
        <v>-999</v>
      </c>
      <c r="AL28" s="34">
        <f t="shared" si="15"/>
        <v>-999</v>
      </c>
      <c r="AY28" s="103" t="s">
        <v>241</v>
      </c>
      <c r="AZ28" s="103" t="s">
        <v>242</v>
      </c>
      <c r="BA28" s="103" t="s">
        <v>481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376</v>
      </c>
      <c r="BA29" s="103" t="s">
        <v>302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397</v>
      </c>
      <c r="BA31" s="103" t="s">
        <v>302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356</v>
      </c>
      <c r="BA32" s="103" t="s">
        <v>302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421</v>
      </c>
      <c r="BA33" s="103" t="s">
        <v>481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302</v>
      </c>
      <c r="BB34" s="10">
        <v>532801</v>
      </c>
      <c r="BE34" s="77"/>
      <c r="BF34" s="253"/>
    </row>
    <row r="35" spans="2:58" ht="12.75">
      <c r="B35" s="17" t="s">
        <v>41</v>
      </c>
      <c r="C35" s="18"/>
      <c r="H35" s="290" t="s">
        <v>515</v>
      </c>
      <c r="I35" s="291"/>
      <c r="Y35" s="43"/>
      <c r="Z35" s="44"/>
      <c r="AA35" s="44"/>
      <c r="AB35" s="43"/>
      <c r="AC35" s="43"/>
      <c r="AY35" s="103" t="s">
        <v>159</v>
      </c>
      <c r="AZ35" s="103" t="s">
        <v>389</v>
      </c>
      <c r="BA35" s="103" t="s">
        <v>302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378</v>
      </c>
      <c r="BA36" s="103" t="s">
        <v>302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395</v>
      </c>
      <c r="BA37" s="103" t="s">
        <v>302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302</v>
      </c>
      <c r="BB40" s="10">
        <v>714731</v>
      </c>
      <c r="BF40" s="252"/>
    </row>
    <row r="41" spans="1:58" ht="12.75">
      <c r="A41" s="3"/>
      <c r="B41" s="71"/>
      <c r="C41" s="3"/>
      <c r="T41" s="13"/>
      <c r="U41" s="2"/>
      <c r="W41" s="2"/>
      <c r="X41" s="10"/>
      <c r="Y41" s="44"/>
      <c r="Z41" s="44"/>
      <c r="AA41" s="44"/>
      <c r="AB41" s="44"/>
      <c r="AC41" s="44"/>
      <c r="AD41" s="2"/>
      <c r="AE41" s="2"/>
      <c r="AY41" s="103" t="s">
        <v>272</v>
      </c>
      <c r="AZ41" s="103" t="s">
        <v>422</v>
      </c>
      <c r="BA41" s="103" t="s">
        <v>481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419</v>
      </c>
      <c r="BA43" s="103" t="s">
        <v>302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407</v>
      </c>
      <c r="BA44" s="103" t="s">
        <v>302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398</v>
      </c>
      <c r="BA46" s="103" t="s">
        <v>481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402</v>
      </c>
      <c r="BA48" s="103" t="s">
        <v>481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413</v>
      </c>
      <c r="BA49" s="103" t="s">
        <v>481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379</v>
      </c>
      <c r="BA51" s="103" t="s">
        <v>302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302</v>
      </c>
      <c r="BB52" s="10">
        <v>611636</v>
      </c>
      <c r="BF52" s="252"/>
    </row>
    <row r="53" spans="1:58" ht="12.75">
      <c r="A53" s="3"/>
      <c r="B53" s="12"/>
      <c r="C53" s="3"/>
      <c r="I53" s="11"/>
      <c r="J53" s="11"/>
      <c r="K53" s="11"/>
      <c r="L53" s="11"/>
      <c r="S53" s="11"/>
      <c r="U53" s="2"/>
      <c r="X53" s="2"/>
      <c r="Y53" s="2"/>
      <c r="Z53" s="2"/>
      <c r="AA53" s="2"/>
      <c r="AB53" s="2"/>
      <c r="AY53" s="103" t="s">
        <v>244</v>
      </c>
      <c r="AZ53" s="103" t="s">
        <v>412</v>
      </c>
      <c r="BA53" s="103" t="s">
        <v>302</v>
      </c>
      <c r="BB53" s="10">
        <v>230998</v>
      </c>
      <c r="BF53" s="252"/>
    </row>
    <row r="54" spans="1:58" ht="12.75">
      <c r="A54" s="3"/>
      <c r="B54" s="12"/>
      <c r="C54" s="3"/>
      <c r="I54" s="11"/>
      <c r="J54" s="11"/>
      <c r="K54" s="11"/>
      <c r="L54" s="11"/>
      <c r="S54" s="11"/>
      <c r="U54" s="2"/>
      <c r="X54" s="2"/>
      <c r="Y54" s="2"/>
      <c r="Z54" s="2"/>
      <c r="AA54" s="2"/>
      <c r="AB54" s="2"/>
      <c r="AY54" s="103" t="s">
        <v>67</v>
      </c>
      <c r="AZ54" s="103" t="s">
        <v>353</v>
      </c>
      <c r="BA54" s="103" t="s">
        <v>302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399</v>
      </c>
      <c r="BA55" s="103" t="s">
        <v>302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369</v>
      </c>
      <c r="BA56" s="103" t="s">
        <v>302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414</v>
      </c>
      <c r="BA57" s="103" t="s">
        <v>302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359</v>
      </c>
      <c r="BA58" s="103" t="s">
        <v>302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403</v>
      </c>
      <c r="BA61" s="103" t="s">
        <v>481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392</v>
      </c>
      <c r="BA63" s="103" t="s">
        <v>302</v>
      </c>
      <c r="BB63" s="10">
        <v>318405</v>
      </c>
      <c r="BE63" s="70"/>
      <c r="BF63" s="239"/>
    </row>
    <row r="64" spans="1:58" ht="12.75">
      <c r="A64" s="3"/>
      <c r="B64" s="12"/>
      <c r="C64" s="3"/>
      <c r="I64" s="11"/>
      <c r="V64" s="3"/>
      <c r="AY64" s="103" t="s">
        <v>78</v>
      </c>
      <c r="AZ64" s="103" t="s">
        <v>360</v>
      </c>
      <c r="BA64" s="103" t="s">
        <v>481</v>
      </c>
      <c r="BB64" s="10">
        <v>181285</v>
      </c>
      <c r="BE64" s="70"/>
      <c r="BF64" s="241"/>
    </row>
    <row r="65" spans="1:58" ht="12.75">
      <c r="A65" s="3"/>
      <c r="B65" s="12"/>
      <c r="C65" s="3"/>
      <c r="AY65" s="103" t="s">
        <v>470</v>
      </c>
      <c r="AZ65" s="103" t="s">
        <v>471</v>
      </c>
      <c r="BA65" s="103" t="s">
        <v>302</v>
      </c>
      <c r="BB65" s="10">
        <v>1169302</v>
      </c>
      <c r="BE65" s="70"/>
      <c r="BF65" s="241"/>
    </row>
    <row r="66" spans="1:58" ht="12.75">
      <c r="A66" s="3"/>
      <c r="B66" s="12"/>
      <c r="C66" s="3"/>
      <c r="E66" s="2"/>
      <c r="F66" s="2"/>
      <c r="G66" s="2"/>
      <c r="V66" s="2"/>
      <c r="AY66" s="103" t="s">
        <v>200</v>
      </c>
      <c r="AZ66" s="103" t="s">
        <v>400</v>
      </c>
      <c r="BA66" s="103" t="s">
        <v>302</v>
      </c>
      <c r="BB66" s="10">
        <v>217916</v>
      </c>
      <c r="BE66" s="70"/>
      <c r="BF66" s="239"/>
    </row>
    <row r="67" spans="1:58" ht="12.75">
      <c r="A67" s="3"/>
      <c r="B67" s="12"/>
      <c r="C67" s="3"/>
      <c r="AY67" s="103" t="s">
        <v>69</v>
      </c>
      <c r="AZ67" s="103" t="s">
        <v>70</v>
      </c>
      <c r="BA67" s="103" t="s">
        <v>302</v>
      </c>
      <c r="BB67" s="10">
        <v>270842</v>
      </c>
      <c r="BE67" s="70"/>
      <c r="BF67" s="239"/>
    </row>
    <row r="68" spans="1:58" ht="12.75">
      <c r="A68" s="3"/>
      <c r="B68" s="12"/>
      <c r="C68" s="3"/>
      <c r="AY68" s="103" t="s">
        <v>109</v>
      </c>
      <c r="AZ68" s="103" t="s">
        <v>110</v>
      </c>
      <c r="BA68" s="103" t="s">
        <v>302</v>
      </c>
      <c r="BB68" s="10">
        <v>251613</v>
      </c>
      <c r="BF68" s="252"/>
    </row>
    <row r="69" spans="1:58" ht="12.75">
      <c r="A69" s="3"/>
      <c r="B69" s="12"/>
      <c r="C69" s="3"/>
      <c r="AY69" s="103" t="s">
        <v>209</v>
      </c>
      <c r="AZ69" s="103" t="s">
        <v>210</v>
      </c>
      <c r="BA69" s="103" t="s">
        <v>302</v>
      </c>
      <c r="BB69" s="10">
        <v>283547</v>
      </c>
      <c r="BE69" s="70"/>
      <c r="BF69" s="241"/>
    </row>
    <row r="70" spans="1:58" ht="12.75">
      <c r="A70" s="3"/>
      <c r="B70" s="12"/>
      <c r="C70" s="3"/>
      <c r="AY70" s="103" t="s">
        <v>275</v>
      </c>
      <c r="AZ70" s="103" t="s">
        <v>423</v>
      </c>
      <c r="BA70" s="103" t="s">
        <v>480</v>
      </c>
      <c r="BB70" s="10">
        <v>141474</v>
      </c>
      <c r="BE70" s="70"/>
      <c r="BF70" s="239"/>
    </row>
    <row r="71" spans="1:58" ht="12.75">
      <c r="A71" s="3"/>
      <c r="B71" s="12"/>
      <c r="C71" s="3"/>
      <c r="AY71" s="103" t="s">
        <v>127</v>
      </c>
      <c r="AZ71" s="103" t="s">
        <v>377</v>
      </c>
      <c r="BA71" s="103" t="s">
        <v>302</v>
      </c>
      <c r="BB71" s="10">
        <v>213326</v>
      </c>
      <c r="BE71" s="70"/>
      <c r="BF71" s="239"/>
    </row>
    <row r="72" spans="1:58" ht="12.75">
      <c r="A72" s="3"/>
      <c r="B72" s="12"/>
      <c r="C72" s="3"/>
      <c r="AY72" s="103" t="s">
        <v>136</v>
      </c>
      <c r="AZ72" s="103" t="s">
        <v>137</v>
      </c>
      <c r="BA72" s="103" t="s">
        <v>302</v>
      </c>
      <c r="BB72" s="10">
        <v>183220</v>
      </c>
      <c r="BE72" s="250"/>
      <c r="BF72" s="239"/>
    </row>
    <row r="73" spans="1:58" ht="12.75">
      <c r="A73" s="3"/>
      <c r="B73" s="12"/>
      <c r="C73" s="3"/>
      <c r="AY73" s="103" t="s">
        <v>64</v>
      </c>
      <c r="AZ73" s="103" t="s">
        <v>352</v>
      </c>
      <c r="BA73" s="103" t="s">
        <v>302</v>
      </c>
      <c r="BB73" s="10">
        <v>190143</v>
      </c>
      <c r="BE73" s="70"/>
      <c r="BF73" s="239"/>
    </row>
    <row r="74" spans="1:58" ht="12.75">
      <c r="A74" s="3"/>
      <c r="B74" s="12"/>
      <c r="C74" s="3"/>
      <c r="AY74" s="103" t="s">
        <v>165</v>
      </c>
      <c r="AZ74" s="103" t="s">
        <v>166</v>
      </c>
      <c r="BA74" s="103" t="s">
        <v>481</v>
      </c>
      <c r="BB74" s="10">
        <v>419928</v>
      </c>
      <c r="BE74" s="70"/>
      <c r="BF74" s="241"/>
    </row>
    <row r="75" spans="1:58" ht="12.75">
      <c r="A75" s="3"/>
      <c r="B75" s="12"/>
      <c r="C75" s="3"/>
      <c r="AY75" s="103" t="s">
        <v>113</v>
      </c>
      <c r="AZ75" s="103" t="s">
        <v>371</v>
      </c>
      <c r="BA75" s="103" t="s">
        <v>302</v>
      </c>
      <c r="BB75" s="10">
        <v>158106</v>
      </c>
      <c r="BE75" s="70"/>
      <c r="BF75" s="241"/>
    </row>
    <row r="76" spans="1:58" ht="12.75">
      <c r="A76" s="3"/>
      <c r="B76" s="12"/>
      <c r="C76" s="3"/>
      <c r="AY76" s="103" t="s">
        <v>140</v>
      </c>
      <c r="AZ76" s="103" t="s">
        <v>141</v>
      </c>
      <c r="BA76" s="103" t="s">
        <v>302</v>
      </c>
      <c r="BB76" s="10">
        <v>377807</v>
      </c>
      <c r="BE76" s="70"/>
      <c r="BF76" s="241"/>
    </row>
    <row r="77" spans="1:58" ht="12.75">
      <c r="A77" s="3"/>
      <c r="B77" s="12"/>
      <c r="C77" s="3"/>
      <c r="AY77" s="103" t="s">
        <v>163</v>
      </c>
      <c r="AZ77" s="103" t="s">
        <v>164</v>
      </c>
      <c r="BA77" s="103" t="s">
        <v>481</v>
      </c>
      <c r="BB77" s="10">
        <v>799634</v>
      </c>
      <c r="BE77" s="70"/>
      <c r="BF77" s="249"/>
    </row>
    <row r="78" spans="1:58" ht="12.75">
      <c r="A78" s="3"/>
      <c r="B78" s="12"/>
      <c r="C78" s="3"/>
      <c r="AY78" s="103" t="s">
        <v>224</v>
      </c>
      <c r="AZ78" s="103" t="s">
        <v>225</v>
      </c>
      <c r="BA78" s="103" t="s">
        <v>302</v>
      </c>
      <c r="BB78" s="10">
        <v>362638</v>
      </c>
      <c r="BE78" s="70"/>
      <c r="BF78" s="239"/>
    </row>
    <row r="79" spans="1:58" ht="12.75">
      <c r="A79" s="3"/>
      <c r="B79" s="12"/>
      <c r="C79" s="3"/>
      <c r="AY79" s="103" t="s">
        <v>223</v>
      </c>
      <c r="AZ79" s="103" t="s">
        <v>405</v>
      </c>
      <c r="BA79" s="103" t="s">
        <v>302</v>
      </c>
      <c r="BB79" s="10">
        <v>678998</v>
      </c>
      <c r="BF79" s="239"/>
    </row>
    <row r="80" spans="1:58" ht="12.75">
      <c r="A80" s="3"/>
      <c r="B80" s="12"/>
      <c r="C80" s="3"/>
      <c r="AY80" s="103" t="s">
        <v>144</v>
      </c>
      <c r="AZ80" s="103" t="s">
        <v>145</v>
      </c>
      <c r="BA80" s="103" t="s">
        <v>302</v>
      </c>
      <c r="BB80" s="10">
        <v>290986</v>
      </c>
      <c r="BF80" s="252"/>
    </row>
    <row r="81" spans="1:58" ht="12.75">
      <c r="A81" s="3"/>
      <c r="B81" s="12"/>
      <c r="C81" s="3"/>
      <c r="AY81" s="103" t="s">
        <v>178</v>
      </c>
      <c r="AZ81" s="103" t="s">
        <v>394</v>
      </c>
      <c r="BA81" s="103" t="s">
        <v>481</v>
      </c>
      <c r="BB81" s="10">
        <v>747976</v>
      </c>
      <c r="BF81" s="252"/>
    </row>
    <row r="82" spans="1:58" ht="12.75">
      <c r="A82" s="3"/>
      <c r="B82" s="12"/>
      <c r="C82" s="3"/>
      <c r="AY82" s="103" t="s">
        <v>193</v>
      </c>
      <c r="AZ82" s="103" t="s">
        <v>194</v>
      </c>
      <c r="BA82" s="103" t="s">
        <v>302</v>
      </c>
      <c r="BB82" s="10">
        <v>489140</v>
      </c>
      <c r="BF82" s="252"/>
    </row>
    <row r="83" spans="1:58" ht="12.75">
      <c r="A83" s="3"/>
      <c r="B83" s="12"/>
      <c r="C83" s="3"/>
      <c r="AY83" s="103" t="s">
        <v>98</v>
      </c>
      <c r="AZ83" s="103" t="s">
        <v>368</v>
      </c>
      <c r="BA83" s="103" t="s">
        <v>481</v>
      </c>
      <c r="BB83" s="10">
        <v>208442</v>
      </c>
      <c r="BE83" s="70"/>
      <c r="BF83" s="241"/>
    </row>
    <row r="84" spans="1:58" ht="12.75">
      <c r="A84" s="3"/>
      <c r="B84" s="12"/>
      <c r="C84" s="3"/>
      <c r="AY84" s="103" t="s">
        <v>203</v>
      </c>
      <c r="AZ84" s="103" t="s">
        <v>204</v>
      </c>
      <c r="BA84" s="103" t="s">
        <v>481</v>
      </c>
      <c r="BB84" s="10">
        <v>545543</v>
      </c>
      <c r="BE84" s="70"/>
      <c r="BF84" s="241"/>
    </row>
    <row r="85" spans="1:58" ht="12.75">
      <c r="A85" s="3"/>
      <c r="B85" s="12"/>
      <c r="C85" s="3"/>
      <c r="AY85" s="103" t="s">
        <v>135</v>
      </c>
      <c r="AZ85" s="103" t="s">
        <v>383</v>
      </c>
      <c r="BA85" s="103" t="s">
        <v>481</v>
      </c>
      <c r="BB85" s="10">
        <v>274067</v>
      </c>
      <c r="BE85" s="70"/>
      <c r="BF85" s="241"/>
    </row>
    <row r="86" spans="1:58" ht="12.75">
      <c r="A86" s="3"/>
      <c r="B86" s="12"/>
      <c r="C86" s="3"/>
      <c r="AY86" s="103" t="s">
        <v>251</v>
      </c>
      <c r="AZ86" s="103" t="s">
        <v>252</v>
      </c>
      <c r="BA86" s="103" t="s">
        <v>481</v>
      </c>
      <c r="BB86" s="10">
        <v>374861</v>
      </c>
      <c r="BE86" s="70"/>
      <c r="BF86" s="249"/>
    </row>
    <row r="87" spans="1:58" ht="12.75">
      <c r="A87" s="3"/>
      <c r="B87" s="12"/>
      <c r="C87" s="3"/>
      <c r="AY87" s="103" t="s">
        <v>132</v>
      </c>
      <c r="AZ87" s="103" t="s">
        <v>133</v>
      </c>
      <c r="BA87" s="103" t="s">
        <v>302</v>
      </c>
      <c r="BB87" s="10">
        <v>153833</v>
      </c>
      <c r="BE87" s="70"/>
      <c r="BF87" s="249"/>
    </row>
    <row r="88" spans="1:58" ht="12.75">
      <c r="A88" s="3"/>
      <c r="B88" s="12"/>
      <c r="C88" s="3"/>
      <c r="AY88" s="103" t="s">
        <v>79</v>
      </c>
      <c r="AZ88" s="103" t="s">
        <v>80</v>
      </c>
      <c r="BA88" s="103" t="s">
        <v>481</v>
      </c>
      <c r="BB88" s="10">
        <v>258492</v>
      </c>
      <c r="BE88" s="70"/>
      <c r="BF88" s="241"/>
    </row>
    <row r="89" spans="1:58" ht="12.75">
      <c r="A89" s="3"/>
      <c r="B89" s="12"/>
      <c r="C89" s="3"/>
      <c r="AY89" s="103" t="s">
        <v>81</v>
      </c>
      <c r="AZ89" s="103" t="s">
        <v>361</v>
      </c>
      <c r="BA89" s="103" t="s">
        <v>302</v>
      </c>
      <c r="BB89" s="10">
        <v>283085</v>
      </c>
      <c r="BE89" s="70"/>
      <c r="BF89" s="241"/>
    </row>
    <row r="90" spans="1:58" ht="12.75">
      <c r="A90" s="3"/>
      <c r="B90" s="12"/>
      <c r="C90" s="3"/>
      <c r="AY90" s="103" t="s">
        <v>76</v>
      </c>
      <c r="AZ90" s="103" t="s">
        <v>358</v>
      </c>
      <c r="BA90" s="103" t="s">
        <v>302</v>
      </c>
      <c r="BB90" s="10">
        <v>357346</v>
      </c>
      <c r="BE90" s="70"/>
      <c r="BF90" s="241"/>
    </row>
    <row r="91" spans="1:58" ht="12.75">
      <c r="A91" s="3"/>
      <c r="B91" s="12"/>
      <c r="C91" s="3"/>
      <c r="AY91" s="103" t="s">
        <v>243</v>
      </c>
      <c r="AZ91" s="103" t="s">
        <v>411</v>
      </c>
      <c r="BA91" s="103" t="s">
        <v>481</v>
      </c>
      <c r="BB91" s="10">
        <v>748575</v>
      </c>
      <c r="BE91" s="247"/>
      <c r="BF91" s="249"/>
    </row>
    <row r="92" spans="1:58" ht="12.75">
      <c r="A92" s="3"/>
      <c r="B92" s="12"/>
      <c r="C92" s="3"/>
      <c r="AY92" s="103" t="s">
        <v>249</v>
      </c>
      <c r="AZ92" s="103" t="s">
        <v>250</v>
      </c>
      <c r="BA92" s="103" t="s">
        <v>481</v>
      </c>
      <c r="BB92" s="10">
        <v>322673</v>
      </c>
      <c r="BE92" s="247"/>
      <c r="BF92" s="249"/>
    </row>
    <row r="93" spans="1:58" ht="12.75">
      <c r="A93" s="3"/>
      <c r="B93" s="12"/>
      <c r="C93" s="3"/>
      <c r="AY93" s="103" t="s">
        <v>58</v>
      </c>
      <c r="AZ93" s="103" t="s">
        <v>59</v>
      </c>
      <c r="BA93" s="103" t="s">
        <v>302</v>
      </c>
      <c r="BB93" s="10">
        <v>165284</v>
      </c>
      <c r="BF93" s="252"/>
    </row>
    <row r="94" spans="1:58" ht="12.75">
      <c r="A94" s="3"/>
      <c r="B94" s="12"/>
      <c r="C94" s="3"/>
      <c r="AY94" s="103" t="s">
        <v>186</v>
      </c>
      <c r="AZ94" s="103" t="s">
        <v>396</v>
      </c>
      <c r="BA94" s="103" t="s">
        <v>302</v>
      </c>
      <c r="BB94" s="10">
        <v>339272</v>
      </c>
      <c r="BE94" s="70"/>
      <c r="BF94" s="241"/>
    </row>
    <row r="95" spans="1:58" ht="12.75">
      <c r="A95" s="3"/>
      <c r="B95" s="12"/>
      <c r="C95" s="3"/>
      <c r="AY95" s="103" t="s">
        <v>86</v>
      </c>
      <c r="AZ95" s="103" t="s">
        <v>87</v>
      </c>
      <c r="BA95" s="103" t="s">
        <v>302</v>
      </c>
      <c r="BB95" s="10">
        <v>165642</v>
      </c>
      <c r="BE95" s="247"/>
      <c r="BF95" s="249"/>
    </row>
    <row r="96" spans="1:58" ht="12.75">
      <c r="A96" s="3"/>
      <c r="B96" s="12"/>
      <c r="C96" s="3"/>
      <c r="AY96" s="103" t="s">
        <v>157</v>
      </c>
      <c r="AZ96" s="103" t="s">
        <v>158</v>
      </c>
      <c r="BA96" s="103" t="s">
        <v>302</v>
      </c>
      <c r="BB96" s="10">
        <v>208351</v>
      </c>
      <c r="BE96" s="243"/>
      <c r="BF96" s="238"/>
    </row>
    <row r="97" spans="1:58" ht="12.75">
      <c r="A97" s="3"/>
      <c r="B97" s="12"/>
      <c r="C97" s="3"/>
      <c r="AY97" s="103" t="s">
        <v>231</v>
      </c>
      <c r="AZ97" s="103" t="s">
        <v>232</v>
      </c>
      <c r="BA97" s="103" t="s">
        <v>302</v>
      </c>
      <c r="BB97" s="10">
        <v>203178</v>
      </c>
      <c r="BE97" s="243"/>
      <c r="BF97" s="238"/>
    </row>
    <row r="98" spans="1:58" ht="12.75">
      <c r="A98" s="3"/>
      <c r="B98" s="12"/>
      <c r="C98" s="3"/>
      <c r="AY98" s="103" t="s">
        <v>82</v>
      </c>
      <c r="AZ98" s="103" t="s">
        <v>362</v>
      </c>
      <c r="BA98" s="103" t="s">
        <v>302</v>
      </c>
      <c r="BB98" s="10">
        <v>214052</v>
      </c>
      <c r="BE98" s="248"/>
      <c r="BF98" s="241"/>
    </row>
    <row r="99" spans="1:58" ht="12.75">
      <c r="A99" s="3"/>
      <c r="B99" s="12"/>
      <c r="C99" s="3"/>
      <c r="AY99" s="103" t="s">
        <v>205</v>
      </c>
      <c r="AZ99" s="103" t="s">
        <v>206</v>
      </c>
      <c r="BA99" s="103" t="s">
        <v>481</v>
      </c>
      <c r="BB99" s="10">
        <v>795503</v>
      </c>
      <c r="BE99" s="70"/>
      <c r="BF99" s="249"/>
    </row>
    <row r="100" spans="1:58" ht="12.75">
      <c r="A100" s="3"/>
      <c r="B100" s="12"/>
      <c r="C100" s="3"/>
      <c r="AY100" s="103" t="s">
        <v>226</v>
      </c>
      <c r="AZ100" s="103" t="s">
        <v>406</v>
      </c>
      <c r="BA100" s="103" t="s">
        <v>302</v>
      </c>
      <c r="BB100" s="10">
        <v>648340</v>
      </c>
      <c r="BE100" s="70"/>
      <c r="BF100" s="249"/>
    </row>
    <row r="101" spans="51:58" ht="12.75">
      <c r="AY101" s="103" t="s">
        <v>51</v>
      </c>
      <c r="AZ101" s="103" t="s">
        <v>52</v>
      </c>
      <c r="BA101" s="103" t="s">
        <v>302</v>
      </c>
      <c r="BB101" s="10">
        <v>320818</v>
      </c>
      <c r="BE101" s="237"/>
      <c r="BF101" s="238"/>
    </row>
    <row r="102" spans="51:58" ht="12.75">
      <c r="AY102" s="103" t="s">
        <v>88</v>
      </c>
      <c r="AZ102" s="103" t="s">
        <v>89</v>
      </c>
      <c r="BA102" s="103" t="s">
        <v>302</v>
      </c>
      <c r="BB102" s="10">
        <v>339920</v>
      </c>
      <c r="BE102" s="237"/>
      <c r="BF102" s="238"/>
    </row>
    <row r="103" spans="51:58" ht="12.75">
      <c r="AY103" s="103" t="s">
        <v>177</v>
      </c>
      <c r="AZ103" s="103" t="s">
        <v>393</v>
      </c>
      <c r="BA103" s="103" t="s">
        <v>302</v>
      </c>
      <c r="BB103" s="10">
        <v>656875</v>
      </c>
      <c r="BE103" s="70"/>
      <c r="BF103" s="239"/>
    </row>
    <row r="104" spans="51:58" ht="12.75">
      <c r="AY104" s="103" t="s">
        <v>114</v>
      </c>
      <c r="AZ104" s="103" t="s">
        <v>372</v>
      </c>
      <c r="BA104" s="103" t="s">
        <v>302</v>
      </c>
      <c r="BB104" s="10">
        <v>236592</v>
      </c>
      <c r="BF104" s="252"/>
    </row>
    <row r="105" spans="51:58" ht="12.75">
      <c r="AY105" s="103" t="s">
        <v>259</v>
      </c>
      <c r="AZ105" s="103" t="s">
        <v>415</v>
      </c>
      <c r="BA105" s="103" t="s">
        <v>481</v>
      </c>
      <c r="BB105" s="10">
        <v>671572</v>
      </c>
      <c r="BE105" s="237"/>
      <c r="BF105" s="238"/>
    </row>
    <row r="106" spans="51:58" ht="12.75">
      <c r="AY106" s="103" t="s">
        <v>239</v>
      </c>
      <c r="AZ106" s="103" t="s">
        <v>240</v>
      </c>
      <c r="BA106" s="103" t="s">
        <v>481</v>
      </c>
      <c r="BB106" s="10">
        <v>177882</v>
      </c>
      <c r="BF106" s="252"/>
    </row>
    <row r="107" spans="51:58" ht="12.75">
      <c r="AY107" s="103" t="s">
        <v>91</v>
      </c>
      <c r="AZ107" s="103" t="s">
        <v>365</v>
      </c>
      <c r="BA107" s="103" t="s">
        <v>302</v>
      </c>
      <c r="BB107" s="10">
        <v>274443</v>
      </c>
      <c r="BF107" s="252"/>
    </row>
    <row r="108" spans="51:58" ht="12.75">
      <c r="AY108" s="103" t="s">
        <v>95</v>
      </c>
      <c r="AZ108" s="103" t="s">
        <v>367</v>
      </c>
      <c r="BA108" s="103" t="s">
        <v>302</v>
      </c>
      <c r="BB108" s="10">
        <v>213174</v>
      </c>
      <c r="BE108" s="70"/>
      <c r="BF108" s="239"/>
    </row>
    <row r="109" spans="51:58" ht="12.75">
      <c r="AY109" s="103" t="s">
        <v>179</v>
      </c>
      <c r="AZ109" s="103" t="s">
        <v>180</v>
      </c>
      <c r="BA109" s="103" t="s">
        <v>302</v>
      </c>
      <c r="BB109" s="10">
        <v>278950</v>
      </c>
      <c r="BE109" s="237"/>
      <c r="BF109" s="238"/>
    </row>
    <row r="110" spans="51:58" ht="12.75">
      <c r="AY110" s="103" t="s">
        <v>273</v>
      </c>
      <c r="AZ110" s="103" t="s">
        <v>274</v>
      </c>
      <c r="BA110" s="103" t="s">
        <v>302</v>
      </c>
      <c r="BB110" s="10">
        <v>133304</v>
      </c>
      <c r="BE110" s="70"/>
      <c r="BF110" s="249"/>
    </row>
    <row r="111" spans="51:58" ht="12.75">
      <c r="AY111" s="103" t="s">
        <v>155</v>
      </c>
      <c r="AZ111" s="103" t="s">
        <v>387</v>
      </c>
      <c r="BA111" s="103" t="s">
        <v>302</v>
      </c>
      <c r="BB111" s="10">
        <v>197060</v>
      </c>
      <c r="BE111" s="70"/>
      <c r="BF111" s="239"/>
    </row>
    <row r="112" spans="51:58" ht="12.75">
      <c r="AY112" s="103" t="s">
        <v>100</v>
      </c>
      <c r="AZ112" s="103" t="s">
        <v>101</v>
      </c>
      <c r="BA112" s="103" t="s">
        <v>302</v>
      </c>
      <c r="BB112" s="10">
        <v>253140</v>
      </c>
      <c r="BE112" s="250"/>
      <c r="BF112" s="249"/>
    </row>
    <row r="113" spans="51:58" ht="12.75">
      <c r="AY113" s="103" t="s">
        <v>92</v>
      </c>
      <c r="AZ113" s="103" t="s">
        <v>93</v>
      </c>
      <c r="BA113" s="103" t="s">
        <v>302</v>
      </c>
      <c r="BB113" s="10">
        <v>240983</v>
      </c>
      <c r="BE113" s="70"/>
      <c r="BF113" s="241"/>
    </row>
    <row r="114" spans="51:58" ht="12.75">
      <c r="AY114" s="103" t="s">
        <v>228</v>
      </c>
      <c r="AZ114" s="103" t="s">
        <v>408</v>
      </c>
      <c r="BA114" s="103" t="s">
        <v>302</v>
      </c>
      <c r="BB114" s="10">
        <v>340451</v>
      </c>
      <c r="BF114" s="241"/>
    </row>
    <row r="115" spans="51:58" ht="12.75">
      <c r="AY115" s="103" t="s">
        <v>189</v>
      </c>
      <c r="AZ115" s="103" t="s">
        <v>190</v>
      </c>
      <c r="BA115" s="103" t="s">
        <v>302</v>
      </c>
      <c r="BB115" s="10">
        <v>280673</v>
      </c>
      <c r="BE115" s="248"/>
      <c r="BF115" s="241"/>
    </row>
    <row r="116" spans="51:58" ht="12.75">
      <c r="AY116" s="103" t="s">
        <v>169</v>
      </c>
      <c r="AZ116" s="103" t="s">
        <v>170</v>
      </c>
      <c r="BA116" s="103" t="s">
        <v>302</v>
      </c>
      <c r="BB116" s="10">
        <v>565874</v>
      </c>
      <c r="BE116" s="70"/>
      <c r="BF116" s="239"/>
    </row>
    <row r="117" spans="51:58" ht="12.75">
      <c r="AY117" s="103" t="s">
        <v>152</v>
      </c>
      <c r="AZ117" s="103" t="s">
        <v>386</v>
      </c>
      <c r="BA117" s="103" t="s">
        <v>481</v>
      </c>
      <c r="BB117" s="10">
        <v>295379</v>
      </c>
      <c r="BE117" s="237"/>
      <c r="BF117" s="238"/>
    </row>
    <row r="118" spans="51:58" ht="12.75">
      <c r="AY118" s="103" t="s">
        <v>56</v>
      </c>
      <c r="AZ118" s="103" t="s">
        <v>57</v>
      </c>
      <c r="BA118" s="103" t="s">
        <v>302</v>
      </c>
      <c r="BB118" s="10">
        <v>217094</v>
      </c>
      <c r="BE118" s="70"/>
      <c r="BF118" s="239"/>
    </row>
    <row r="119" spans="51:58" ht="12.75">
      <c r="AY119" s="103" t="s">
        <v>268</v>
      </c>
      <c r="AZ119" s="103" t="s">
        <v>418</v>
      </c>
      <c r="BA119" s="103" t="s">
        <v>302</v>
      </c>
      <c r="BB119" s="10">
        <v>538131</v>
      </c>
      <c r="BE119" s="70"/>
      <c r="BF119" s="239"/>
    </row>
    <row r="120" spans="51:58" ht="12.75">
      <c r="AY120" s="103" t="s">
        <v>150</v>
      </c>
      <c r="AZ120" s="103" t="s">
        <v>151</v>
      </c>
      <c r="BA120" s="103" t="s">
        <v>481</v>
      </c>
      <c r="BB120" s="10">
        <v>389725</v>
      </c>
      <c r="BE120" s="70"/>
      <c r="BF120" s="239"/>
    </row>
    <row r="121" spans="51:58" ht="12.75">
      <c r="AY121" s="103" t="s">
        <v>212</v>
      </c>
      <c r="AZ121" s="103" t="s">
        <v>213</v>
      </c>
      <c r="BA121" s="103" t="s">
        <v>481</v>
      </c>
      <c r="BB121" s="10">
        <v>356812</v>
      </c>
      <c r="BE121" s="237"/>
      <c r="BF121" s="238"/>
    </row>
    <row r="122" spans="51:58" ht="12.75">
      <c r="AY122" s="103" t="s">
        <v>60</v>
      </c>
      <c r="AZ122" s="103" t="s">
        <v>61</v>
      </c>
      <c r="BA122" s="103" t="s">
        <v>302</v>
      </c>
      <c r="BB122" s="10">
        <v>256321</v>
      </c>
      <c r="BE122" s="70"/>
      <c r="BF122" s="249"/>
    </row>
    <row r="123" spans="51:58" ht="12.75">
      <c r="AY123" s="103" t="s">
        <v>234</v>
      </c>
      <c r="AZ123" s="103" t="s">
        <v>410</v>
      </c>
      <c r="BA123" s="103" t="s">
        <v>481</v>
      </c>
      <c r="BB123" s="10">
        <v>615835</v>
      </c>
      <c r="BF123" s="252"/>
    </row>
    <row r="124" spans="51:58" ht="12.75">
      <c r="AY124" s="103" t="s">
        <v>130</v>
      </c>
      <c r="AZ124" s="103" t="s">
        <v>380</v>
      </c>
      <c r="BA124" s="103" t="s">
        <v>302</v>
      </c>
      <c r="BB124" s="10">
        <v>150179</v>
      </c>
      <c r="BF124" s="252"/>
    </row>
    <row r="125" spans="51:58" ht="12.75">
      <c r="AY125" s="103" t="s">
        <v>253</v>
      </c>
      <c r="AZ125" s="103" t="s">
        <v>254</v>
      </c>
      <c r="BA125" s="103" t="s">
        <v>302</v>
      </c>
      <c r="BB125" s="10">
        <v>420503</v>
      </c>
      <c r="BE125" s="70"/>
      <c r="BF125" s="249"/>
    </row>
    <row r="126" spans="51:58" ht="12.75">
      <c r="AY126" s="103" t="s">
        <v>134</v>
      </c>
      <c r="AZ126" s="103" t="s">
        <v>382</v>
      </c>
      <c r="BA126" s="103" t="s">
        <v>302</v>
      </c>
      <c r="BB126" s="10">
        <v>263936</v>
      </c>
      <c r="BE126" s="70"/>
      <c r="BF126" s="239"/>
    </row>
    <row r="127" spans="51:58" ht="12.75">
      <c r="AY127" s="103" t="s">
        <v>142</v>
      </c>
      <c r="AZ127" s="103" t="s">
        <v>143</v>
      </c>
      <c r="BA127" s="103" t="s">
        <v>302</v>
      </c>
      <c r="BB127" s="10">
        <v>308593</v>
      </c>
      <c r="BF127" s="252"/>
    </row>
    <row r="128" spans="51:58" ht="12.75">
      <c r="AY128" s="103" t="s">
        <v>94</v>
      </c>
      <c r="AZ128" s="103" t="s">
        <v>366</v>
      </c>
      <c r="BA128" s="103" t="s">
        <v>481</v>
      </c>
      <c r="BB128" s="10">
        <v>298190</v>
      </c>
      <c r="BE128" s="250"/>
      <c r="BF128" s="249"/>
    </row>
    <row r="129" spans="51:58" ht="12.75">
      <c r="AY129" s="103" t="s">
        <v>85</v>
      </c>
      <c r="AZ129" s="103" t="s">
        <v>363</v>
      </c>
      <c r="BA129" s="103" t="s">
        <v>302</v>
      </c>
      <c r="BB129" s="10">
        <v>191885</v>
      </c>
      <c r="BE129" s="70"/>
      <c r="BF129" s="249"/>
    </row>
    <row r="130" spans="51:58" ht="12.75">
      <c r="AY130" s="103" t="s">
        <v>233</v>
      </c>
      <c r="AZ130" s="103" t="s">
        <v>409</v>
      </c>
      <c r="BA130" s="103" t="s">
        <v>302</v>
      </c>
      <c r="BB130" s="10">
        <v>268223</v>
      </c>
      <c r="BE130" s="70"/>
      <c r="BF130" s="249"/>
    </row>
    <row r="131" spans="51:58" ht="12.75">
      <c r="AY131" s="103" t="s">
        <v>245</v>
      </c>
      <c r="AZ131" s="103" t="s">
        <v>246</v>
      </c>
      <c r="BA131" s="103" t="s">
        <v>481</v>
      </c>
      <c r="BB131" s="10">
        <v>616983</v>
      </c>
      <c r="BE131" s="247"/>
      <c r="BF131" s="249"/>
    </row>
    <row r="132" spans="51:58" ht="12.75">
      <c r="AY132" s="103" t="s">
        <v>131</v>
      </c>
      <c r="AZ132" s="103" t="s">
        <v>381</v>
      </c>
      <c r="BA132" s="103" t="s">
        <v>302</v>
      </c>
      <c r="BB132" s="10">
        <v>283991</v>
      </c>
      <c r="BE132" s="247"/>
      <c r="BF132" s="249"/>
    </row>
    <row r="133" spans="51:58" ht="12.75">
      <c r="AY133" s="103" t="s">
        <v>216</v>
      </c>
      <c r="AZ133" s="103" t="s">
        <v>217</v>
      </c>
      <c r="BA133" s="103" t="s">
        <v>302</v>
      </c>
      <c r="BB133" s="10">
        <v>1156805</v>
      </c>
      <c r="BE133" s="247"/>
      <c r="BF133" s="251"/>
    </row>
    <row r="134" spans="51:58" ht="12.75">
      <c r="AY134" s="103" t="s">
        <v>156</v>
      </c>
      <c r="AZ134" s="103" t="s">
        <v>388</v>
      </c>
      <c r="BA134" s="103" t="s">
        <v>302</v>
      </c>
      <c r="BB134" s="10">
        <v>390971</v>
      </c>
      <c r="BE134" s="243"/>
      <c r="BF134" s="238"/>
    </row>
    <row r="135" spans="51:58" ht="12.75">
      <c r="AY135" s="103" t="s">
        <v>121</v>
      </c>
      <c r="AZ135" s="103" t="s">
        <v>122</v>
      </c>
      <c r="BA135" s="103" t="s">
        <v>480</v>
      </c>
      <c r="BB135" s="10">
        <v>218182</v>
      </c>
      <c r="BE135" s="250"/>
      <c r="BF135" s="249"/>
    </row>
    <row r="136" spans="51:58" ht="12.75">
      <c r="AY136" s="103" t="s">
        <v>148</v>
      </c>
      <c r="AZ136" s="103" t="s">
        <v>384</v>
      </c>
      <c r="BA136" s="103" t="s">
        <v>481</v>
      </c>
      <c r="BB136" s="10">
        <v>236598</v>
      </c>
      <c r="BE136" s="237"/>
      <c r="BF136" s="238"/>
    </row>
    <row r="137" spans="51:58" ht="12.75">
      <c r="AY137" s="103" t="s">
        <v>160</v>
      </c>
      <c r="AZ137" s="103" t="s">
        <v>390</v>
      </c>
      <c r="BA137" s="103" t="s">
        <v>481</v>
      </c>
      <c r="BB137" s="10">
        <v>165993</v>
      </c>
      <c r="BF137" s="252"/>
    </row>
    <row r="138" spans="51:58" ht="12.75">
      <c r="AY138" s="103" t="s">
        <v>54</v>
      </c>
      <c r="AZ138" s="103" t="s">
        <v>55</v>
      </c>
      <c r="BA138" s="103" t="s">
        <v>302</v>
      </c>
      <c r="BB138" s="10">
        <v>145889</v>
      </c>
      <c r="BE138" s="70"/>
      <c r="BF138" s="239"/>
    </row>
    <row r="139" spans="51:58" ht="12.75">
      <c r="AY139" s="103" t="s">
        <v>75</v>
      </c>
      <c r="AZ139" s="103" t="s">
        <v>357</v>
      </c>
      <c r="BA139" s="103" t="s">
        <v>302</v>
      </c>
      <c r="BB139" s="10">
        <v>267393</v>
      </c>
      <c r="BE139" s="237"/>
      <c r="BF139" s="238"/>
    </row>
    <row r="140" spans="51:58" ht="12.75">
      <c r="AY140" s="103" t="s">
        <v>201</v>
      </c>
      <c r="AZ140" s="103" t="s">
        <v>202</v>
      </c>
      <c r="BA140" s="103" t="s">
        <v>481</v>
      </c>
      <c r="BB140" s="10">
        <v>232551</v>
      </c>
      <c r="BE140" s="70"/>
      <c r="BF140" s="239"/>
    </row>
    <row r="141" spans="51:58" ht="12.75">
      <c r="AY141" s="103" t="s">
        <v>167</v>
      </c>
      <c r="AZ141" s="103" t="s">
        <v>168</v>
      </c>
      <c r="BA141" s="103" t="s">
        <v>481</v>
      </c>
      <c r="BB141" s="10">
        <v>350958</v>
      </c>
      <c r="BE141" s="70"/>
      <c r="BF141" s="239"/>
    </row>
    <row r="142" spans="51:58" ht="12.75">
      <c r="AY142" s="103" t="s">
        <v>153</v>
      </c>
      <c r="AZ142" s="103" t="s">
        <v>154</v>
      </c>
      <c r="BA142" s="103" t="s">
        <v>302</v>
      </c>
      <c r="BB142" s="10">
        <v>265654</v>
      </c>
      <c r="BE142" s="70"/>
      <c r="BF142" s="241"/>
    </row>
    <row r="143" spans="51:58" ht="12.75">
      <c r="AY143" s="103" t="s">
        <v>181</v>
      </c>
      <c r="AZ143" s="103" t="s">
        <v>182</v>
      </c>
      <c r="BA143" s="103" t="s">
        <v>302</v>
      </c>
      <c r="BB143" s="10">
        <v>284466</v>
      </c>
      <c r="BE143" s="70"/>
      <c r="BF143" s="249"/>
    </row>
    <row r="144" spans="51:58" ht="12.75">
      <c r="AY144" s="103" t="s">
        <v>146</v>
      </c>
      <c r="AZ144" s="103" t="s">
        <v>147</v>
      </c>
      <c r="BA144" s="103" t="s">
        <v>302</v>
      </c>
      <c r="BB144" s="10">
        <v>319933</v>
      </c>
      <c r="BE144" s="70"/>
      <c r="BF144" s="241"/>
    </row>
    <row r="145" spans="51:58" ht="12.75">
      <c r="AY145" s="103" t="s">
        <v>111</v>
      </c>
      <c r="AZ145" s="103" t="s">
        <v>112</v>
      </c>
      <c r="BA145" s="103" t="s">
        <v>302</v>
      </c>
      <c r="BB145" s="10">
        <v>192336</v>
      </c>
      <c r="BE145" s="248"/>
      <c r="BF145" s="249"/>
    </row>
    <row r="146" spans="51:58" ht="12.75">
      <c r="AY146" s="103" t="s">
        <v>237</v>
      </c>
      <c r="AZ146" s="103" t="s">
        <v>238</v>
      </c>
      <c r="BA146" s="103" t="s">
        <v>302</v>
      </c>
      <c r="BB146" s="10">
        <v>548313</v>
      </c>
      <c r="BF146" s="252"/>
    </row>
    <row r="147" spans="51:58" ht="12.75">
      <c r="AY147" s="103" t="s">
        <v>247</v>
      </c>
      <c r="AZ147" s="103" t="s">
        <v>248</v>
      </c>
      <c r="BA147" s="103" t="s">
        <v>302</v>
      </c>
      <c r="BB147" s="10">
        <v>287229</v>
      </c>
      <c r="BF147" s="252"/>
    </row>
    <row r="148" spans="51:58" ht="12.75">
      <c r="AY148" s="103" t="s">
        <v>222</v>
      </c>
      <c r="AZ148" s="103" t="s">
        <v>404</v>
      </c>
      <c r="BA148" s="103" t="s">
        <v>481</v>
      </c>
      <c r="BB148" s="10">
        <v>707573</v>
      </c>
      <c r="BF148" s="252"/>
    </row>
    <row r="149" spans="51:58" ht="12.75">
      <c r="AY149" s="103" t="s">
        <v>218</v>
      </c>
      <c r="AZ149" s="103" t="s">
        <v>219</v>
      </c>
      <c r="BA149" s="103" t="s">
        <v>481</v>
      </c>
      <c r="BB149" s="10">
        <v>825533</v>
      </c>
      <c r="BE149" s="248"/>
      <c r="BF149" s="249"/>
    </row>
    <row r="150" spans="51:58" ht="12.75">
      <c r="AY150" s="103" t="s">
        <v>196</v>
      </c>
      <c r="AZ150" s="103" t="s">
        <v>197</v>
      </c>
      <c r="BA150" s="103" t="s">
        <v>302</v>
      </c>
      <c r="BB150" s="10">
        <v>259945</v>
      </c>
      <c r="BF150" s="252"/>
    </row>
    <row r="151" spans="51:58" ht="12.75">
      <c r="AY151" s="103" t="s">
        <v>138</v>
      </c>
      <c r="AZ151" s="103" t="s">
        <v>139</v>
      </c>
      <c r="BA151" s="103" t="s">
        <v>302</v>
      </c>
      <c r="BB151" s="10">
        <v>246573</v>
      </c>
      <c r="BF151" s="252"/>
    </row>
    <row r="152" spans="51:58" ht="12.75">
      <c r="AY152" s="103" t="s">
        <v>266</v>
      </c>
      <c r="AZ152" s="103" t="s">
        <v>267</v>
      </c>
      <c r="BA152" s="103" t="s">
        <v>481</v>
      </c>
      <c r="BB152" s="10">
        <v>462395</v>
      </c>
      <c r="BE152" s="250"/>
      <c r="BF152" s="239"/>
    </row>
    <row r="153" spans="51:58" ht="12.75">
      <c r="AY153" s="103" t="s">
        <v>191</v>
      </c>
      <c r="AZ153" s="103" t="s">
        <v>192</v>
      </c>
      <c r="BA153" s="103" t="s">
        <v>302</v>
      </c>
      <c r="BB153" s="10">
        <v>332176</v>
      </c>
      <c r="BF153" s="252"/>
    </row>
    <row r="154" spans="51:58" ht="12.75">
      <c r="AY154" s="103" t="s">
        <v>161</v>
      </c>
      <c r="AZ154" s="103" t="s">
        <v>391</v>
      </c>
      <c r="BA154" s="103" t="s">
        <v>302</v>
      </c>
      <c r="BB154" s="10">
        <v>246213</v>
      </c>
      <c r="BE154" s="237"/>
      <c r="BF154" s="238"/>
    </row>
    <row r="155" spans="51:58" ht="12.75">
      <c r="AY155" s="103" t="s">
        <v>235</v>
      </c>
      <c r="AZ155" s="103" t="s">
        <v>236</v>
      </c>
      <c r="BA155" s="103" t="s">
        <v>481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488</v>
      </c>
      <c r="B3" s="56" t="s">
        <v>104</v>
      </c>
      <c r="C3" s="56" t="s">
        <v>24</v>
      </c>
    </row>
    <row r="4" spans="1:2" ht="12.75">
      <c r="A4" s="76">
        <v>1</v>
      </c>
      <c r="B4" s="78" t="s">
        <v>103</v>
      </c>
    </row>
    <row r="5" ht="12.75">
      <c r="A5" s="280" t="s">
        <v>488</v>
      </c>
    </row>
    <row r="6" ht="12.75">
      <c r="A6" s="280" t="s">
        <v>503</v>
      </c>
    </row>
    <row r="7" ht="12.75">
      <c r="A7" s="280" t="s">
        <v>496</v>
      </c>
    </row>
    <row r="8" ht="12.75">
      <c r="A8" s="280" t="s">
        <v>499</v>
      </c>
    </row>
    <row r="9" ht="12.75">
      <c r="A9" s="280" t="s">
        <v>500</v>
      </c>
    </row>
    <row r="10" ht="12.75">
      <c r="A10" s="280" t="s">
        <v>502</v>
      </c>
    </row>
    <row r="11" ht="12.75">
      <c r="A11" s="280" t="s">
        <v>501</v>
      </c>
    </row>
    <row r="12" ht="12.75">
      <c r="A12" s="280" t="s">
        <v>494</v>
      </c>
    </row>
    <row r="13" ht="12.75">
      <c r="A13" s="280" t="s">
        <v>495</v>
      </c>
    </row>
    <row r="14" ht="12.75">
      <c r="A14" s="280" t="s">
        <v>486</v>
      </c>
    </row>
    <row r="15" ht="12.75">
      <c r="A15" s="280" t="s">
        <v>493</v>
      </c>
    </row>
    <row r="16" ht="12.75">
      <c r="A16" s="280" t="s">
        <v>505</v>
      </c>
    </row>
    <row r="17" ht="12.75">
      <c r="A17" s="280" t="s">
        <v>492</v>
      </c>
    </row>
    <row r="18" ht="12.75">
      <c r="A18" s="280" t="s">
        <v>490</v>
      </c>
    </row>
    <row r="19" ht="12.75">
      <c r="A19" s="280" t="s">
        <v>498</v>
      </c>
    </row>
    <row r="20" ht="12.75">
      <c r="A20" s="280" t="s">
        <v>489</v>
      </c>
    </row>
    <row r="21" ht="12.75">
      <c r="A21" s="280" t="s">
        <v>491</v>
      </c>
    </row>
    <row r="22" ht="12.75">
      <c r="A22" s="280" t="s">
        <v>497</v>
      </c>
    </row>
    <row r="23" ht="12.75">
      <c r="A23" s="280" t="s">
        <v>504</v>
      </c>
    </row>
    <row r="24" ht="12.75">
      <c r="A24" s="280" t="s">
        <v>487</v>
      </c>
    </row>
    <row r="25" ht="12.75">
      <c r="A25" s="280"/>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