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<sst xmlns="http://schemas.openxmlformats.org/spreadsheetml/2006/main" count="2526" uniqueCount="640">
  <si>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</si>
  <si>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</si>
  <si>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</si>
  <si>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</si>
  <si>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</si>
  <si>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</si>
  <si>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</si>
  <si>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</si>
  <si>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</si>
  <si>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</si>
  <si>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</si>
  <si>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</si>
  <si>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</si>
  <si>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</si>
  <si>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</si>
  <si>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</si>
  <si>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</si>
  <si>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</si>
  <si>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</si>
  <si>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</si>
  <si>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</si>
  <si>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</si>
  <si>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</si>
  <si>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</si>
  <si>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</si>
  <si>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</si>
  <si>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</si>
  <si>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</si>
  <si>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</si>
  <si>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</si>
  <si>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</si>
  <si>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</si>
  <si>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</si>
  <si>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</si>
  <si>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</si>
  <si>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</si>
  <si>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</si>
  <si>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</si>
  <si>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</si>
  <si>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</si>
  <si>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</si>
  <si>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</si>
  <si>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</si>
  <si>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</si>
  <si>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</si>
  <si>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</si>
  <si>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</si>
  <si>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</si>
  <si>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</si>
  <si>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</si>
  <si>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</si>
  <si>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</si>
  <si>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</si>
  <si>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</si>
  <si>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</si>
  <si>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</si>
  <si>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</si>
  <si>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</si>
  <si>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</si>
  <si>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</si>
  <si>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</si>
  <si>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</si>
  <si>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</si>
  <si>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</si>
  <si>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</si>
  <si>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</si>
  <si>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</si>
  <si>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</si>
  <si>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</si>
  <si>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</si>
  <si>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</si>
  <si>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</si>
  <si>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</si>
  <si>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</si>
  <si>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</si>
  <si>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</si>
  <si>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</si>
  <si>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</si>
  <si>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</si>
  <si>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</si>
  <si>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</si>
  <si>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</si>
  <si>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</si>
  <si>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</si>
  <si>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</si>
  <si>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</si>
  <si>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</si>
  <si>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</si>
  <si>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</si>
  <si>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</si>
  <si>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</si>
  <si>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</si>
  <si>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</si>
  <si>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</si>
  <si>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</si>
  <si>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</si>
  <si>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</si>
  <si>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</si>
  <si>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</si>
  <si>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</si>
  <si>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</si>
  <si>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</si>
  <si>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</si>
  <si>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</si>
  <si>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</si>
  <si>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</si>
  <si>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</si>
  <si>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</si>
  <si>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</si>
  <si>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</si>
  <si>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</si>
  <si>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</si>
  <si>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</si>
  <si>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</si>
  <si>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</si>
  <si>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</si>
  <si>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</si>
  <si>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</si>
  <si>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</si>
  <si>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</si>
  <si>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</si>
  <si>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</si>
  <si>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</si>
  <si>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</si>
  <si>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</si>
  <si>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</si>
  <si>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</si>
  <si>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</si>
  <si>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</si>
  <si>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</si>
  <si>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</si>
  <si>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</si>
  <si>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</si>
  <si>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</si>
  <si>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</si>
  <si>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</si>
  <si>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</si>
  <si>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</si>
  <si>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</si>
  <si>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</si>
  <si>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</si>
  <si>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</si>
  <si>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</si>
  <si>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</si>
  <si>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</si>
  <si>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</si>
  <si>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</si>
  <si>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</si>
  <si>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</si>
  <si>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</si>
  <si>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</si>
  <si>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</si>
  <si>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</si>
  <si>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</si>
  <si>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</si>
  <si>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</si>
  <si>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</si>
  <si>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</si>
  <si>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</si>
  <si>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</si>
  <si>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</si>
  <si>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</si>
  <si>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</si>
  <si>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</si>
  <si>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</si>
  <si>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</si>
  <si>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</si>
  <si>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</si>
  <si>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</si>
  <si>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</si>
  <si>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</si>
  <si>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</si>
  <si>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</si>
  <si>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</si>
  <si>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</si>
  <si>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</si>
  <si>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</si>
  <si>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</si>
  <si>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</si>
  <si>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</si>
  <si>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</si>
  <si>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</si>
  <si>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</si>
  <si>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</si>
  <si>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</si>
  <si>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</si>
  <si>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</si>
  <si>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</si>
  <si>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</si>
  <si>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</si>
  <si>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</si>
  <si>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</si>
  <si>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</si>
  <si>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</si>
  <si>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</si>
  <si>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</si>
  <si>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</si>
  <si>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</si>
  <si>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</si>
  <si>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</si>
  <si>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</si>
  <si>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</si>
  <si>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</si>
  <si>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</si>
  <si>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</si>
  <si>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</si>
  <si>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</si>
  <si>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</si>
  <si>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</si>
  <si>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</si>
  <si>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</si>
  <si>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</si>
  <si>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</si>
  <si>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</si>
  <si>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</si>
  <si>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</si>
  <si>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</si>
  <si>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</si>
  <si>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</si>
  <si>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</si>
  <si>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</si>
  <si>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</si>
  <si>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</si>
  <si>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</si>
  <si>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</si>
  <si>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</si>
  <si>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</si>
  <si>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</si>
  <si>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</si>
  <si>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</si>
  <si>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</si>
  <si>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</si>
  <si>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</si>
  <si>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</si>
  <si>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</si>
  <si>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</si>
  <si>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</si>
  <si>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</si>
  <si>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</si>
  <si>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</si>
  <si>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</si>
  <si>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</si>
  <si>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</si>
  <si>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</si>
  <si>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</si>
  <si>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</si>
  <si>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</si>
  <si>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</si>
  <si>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</si>
  <si>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</si>
  <si>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</si>
  <si>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</si>
  <si>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</si>
  <si>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</si>
  <si>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</si>
  <si>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</si>
  <si>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</si>
  <si>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</si>
  <si>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</si>
  <si>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</si>
  <si>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</si>
  <si>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</si>
  <si>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</si>
  <si>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</si>
  <si>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</si>
  <si>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</si>
  <si>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</si>
  <si>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</si>
  <si>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</si>
  <si>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</si>
  <si>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</si>
  <si>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</si>
  <si>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</si>
  <si>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</si>
  <si>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</si>
  <si>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</si>
  <si>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</si>
  <si>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</si>
  <si>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</si>
  <si>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</si>
  <si>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</si>
  <si>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</si>
  <si>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E84059</t>
  </si>
  <si>
    <t>E85006</t>
  </si>
  <si>
    <t>E85012</t>
  </si>
  <si>
    <t>E85013</t>
  </si>
  <si>
    <t>E85014</t>
  </si>
  <si>
    <t>E85019</t>
  </si>
  <si>
    <t>E85021</t>
  </si>
  <si>
    <t>E85023</t>
  </si>
  <si>
    <t>E85026</t>
  </si>
  <si>
    <t>E85028</t>
  </si>
  <si>
    <t>E85034</t>
  </si>
  <si>
    <t>E85041</t>
  </si>
  <si>
    <t>E85046</t>
  </si>
  <si>
    <t>E85050</t>
  </si>
  <si>
    <t>E85051</t>
  </si>
  <si>
    <t>E85053</t>
  </si>
  <si>
    <t>E85054</t>
  </si>
  <si>
    <t>E85057</t>
  </si>
  <si>
    <t>E85061</t>
  </si>
  <si>
    <t>E85064</t>
  </si>
  <si>
    <t>E85066</t>
  </si>
  <si>
    <t>E85069</t>
  </si>
  <si>
    <t>E85075</t>
  </si>
  <si>
    <t>E85083</t>
  </si>
  <si>
    <t>E85088</t>
  </si>
  <si>
    <t>E85090</t>
  </si>
  <si>
    <t>E85091</t>
  </si>
  <si>
    <t>E85096</t>
  </si>
  <si>
    <t>E85098</t>
  </si>
  <si>
    <t>E85099</t>
  </si>
  <si>
    <t>E85103</t>
  </si>
  <si>
    <t>E85105</t>
  </si>
  <si>
    <t>E85107</t>
  </si>
  <si>
    <t>E85108</t>
  </si>
  <si>
    <t>E85109</t>
  </si>
  <si>
    <t>E85111</t>
  </si>
  <si>
    <t>E85112</t>
  </si>
  <si>
    <t>E85116</t>
  </si>
  <si>
    <t>E85119</t>
  </si>
  <si>
    <t>E85120</t>
  </si>
  <si>
    <t>E85121</t>
  </si>
  <si>
    <t>E85122</t>
  </si>
  <si>
    <t>E85123</t>
  </si>
  <si>
    <t>E85127</t>
  </si>
  <si>
    <t>E85129</t>
  </si>
  <si>
    <t>E85130</t>
  </si>
  <si>
    <t>E85617</t>
  </si>
  <si>
    <t>E85623</t>
  </si>
  <si>
    <t>E85628</t>
  </si>
  <si>
    <t>E85630</t>
  </si>
  <si>
    <t>E85633</t>
  </si>
  <si>
    <t>E85635</t>
  </si>
  <si>
    <t>E85640</t>
  </si>
  <si>
    <t>E85643</t>
  </si>
  <si>
    <t>E85656</t>
  </si>
  <si>
    <t>E85657</t>
  </si>
  <si>
    <t>E85663</t>
  </si>
  <si>
    <t>E85671</t>
  </si>
  <si>
    <t>E85677</t>
  </si>
  <si>
    <t>E85680</t>
  </si>
  <si>
    <t>E85682</t>
  </si>
  <si>
    <t>E85687</t>
  </si>
  <si>
    <t>E85694</t>
  </si>
  <si>
    <t>E85705</t>
  </si>
  <si>
    <t>E85712</t>
  </si>
  <si>
    <t>E85714</t>
  </si>
  <si>
    <t>E85715</t>
  </si>
  <si>
    <t>E85717</t>
  </si>
  <si>
    <t>E85721</t>
  </si>
  <si>
    <t>E85723</t>
  </si>
  <si>
    <t>E85725</t>
  </si>
  <si>
    <t>E85726</t>
  </si>
  <si>
    <t>E85728</t>
  </si>
  <si>
    <t>E85731</t>
  </si>
  <si>
    <t>E85733</t>
  </si>
  <si>
    <t>E85740</t>
  </si>
  <si>
    <t>E85743</t>
  </si>
  <si>
    <t>E85745</t>
  </si>
  <si>
    <t>5CC</t>
  </si>
  <si>
    <t>Y01221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</si>
  <si>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</si>
  <si>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</si>
  <si>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</si>
  <si>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</si>
  <si>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</si>
  <si>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</si>
  <si>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</si>
  <si>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</si>
  <si>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</si>
  <si>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</si>
  <si>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</si>
  <si>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</si>
  <si>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</si>
  <si>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</si>
  <si>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</si>
  <si>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</si>
  <si>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</si>
  <si>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</si>
  <si>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</si>
  <si>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</si>
  <si>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</si>
  <si>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</si>
  <si>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</si>
  <si>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</si>
  <si>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</si>
  <si>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</si>
  <si>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</si>
  <si>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</si>
  <si>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</si>
  <si>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</si>
  <si>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</si>
  <si>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</si>
  <si>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</si>
  <si>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</si>
  <si>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</si>
  <si>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</si>
  <si>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</si>
  <si>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</si>
  <si>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</si>
  <si>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</si>
  <si>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</si>
  <si>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</si>
  <si>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</si>
  <si>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</si>
  <si>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</si>
  <si>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</si>
  <si>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</si>
  <si>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</si>
  <si>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</si>
  <si>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</si>
  <si>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</si>
  <si>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</si>
  <si>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</si>
  <si>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</si>
  <si>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</si>
  <si>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</si>
  <si>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</si>
  <si>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</si>
  <si>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</si>
  <si>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</si>
  <si>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</si>
  <si>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</si>
  <si>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</si>
  <si>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</si>
  <si>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</si>
  <si>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</si>
  <si>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</si>
  <si>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</si>
  <si>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</si>
  <si>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</si>
  <si>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</si>
  <si>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</si>
  <si>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</si>
  <si>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</si>
  <si>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</si>
  <si>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</si>
  <si>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</si>
  <si>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</si>
  <si>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</si>
  <si>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</si>
  <si>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</si>
  <si>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</si>
  <si>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</si>
  <si>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</si>
  <si>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</si>
  <si>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</si>
  <si>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</si>
  <si>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</si>
  <si>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</si>
  <si>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</si>
  <si>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</si>
  <si>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</si>
  <si>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</si>
  <si>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</si>
  <si>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</si>
  <si>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</si>
  <si>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</si>
  <si>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</si>
  <si>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</si>
  <si>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</si>
  <si>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</si>
  <si>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</si>
  <si>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</si>
  <si>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</si>
  <si>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</si>
  <si>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</si>
  <si>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</si>
  <si>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</si>
  <si>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</si>
  <si>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</si>
  <si>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</si>
  <si>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</si>
  <si>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</si>
  <si>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</si>
  <si>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</si>
  <si>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</si>
  <si>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</si>
  <si>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</si>
  <si>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</si>
  <si>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</si>
  <si>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</si>
  <si>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</si>
  <si>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</si>
  <si>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</si>
  <si>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</si>
  <si>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</si>
  <si>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</si>
  <si>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</si>
  <si>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</si>
  <si>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</si>
  <si>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</si>
  <si>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</si>
  <si>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</si>
  <si>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</si>
  <si>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</si>
  <si>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</si>
  <si>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</si>
  <si>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</si>
  <si>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</si>
  <si>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</si>
  <si>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</si>
  <si>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</si>
  <si>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</si>
  <si>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</si>
  <si>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</si>
  <si>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</si>
  <si>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</si>
  <si>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</si>
  <si>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</si>
  <si>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</si>
  <si>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</si>
  <si>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</si>
  <si>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</si>
  <si>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</si>
  <si>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</si>
  <si>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</si>
  <si>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</si>
  <si>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</si>
  <si>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</si>
  <si>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</si>
  <si>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</si>
  <si>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</si>
  <si>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</si>
  <si>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</si>
  <si>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</si>
  <si>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</si>
  <si>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</si>
  <si>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</si>
  <si>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</si>
  <si>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</si>
  <si>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</si>
  <si>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</si>
  <si>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</si>
  <si>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</si>
  <si>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</si>
  <si>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</si>
  <si>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</si>
  <si>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</si>
  <si>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</si>
  <si>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</si>
  <si>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</si>
  <si>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</si>
  <si>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E85049</t>
  </si>
  <si>
    <t>2010/11</t>
  </si>
  <si>
    <t>2008/09-2010/11</t>
  </si>
  <si>
    <t>2005/06-2010/11</t>
  </si>
  <si>
    <t>(E84059) THE ALLENDALE ROAD SURGERY</t>
  </si>
  <si>
    <t>(E85006) WATERSIDE MEDICAL CENTRE</t>
  </si>
  <si>
    <t>(E85012) KS MEDICAL CENTRE</t>
  </si>
  <si>
    <t>(E85013) HANWELL HEALTH CENTRE (STEWART)</t>
  </si>
  <si>
    <t>(E85014) NORTHFIELDS SURGERY</t>
  </si>
  <si>
    <t>(E85019) CROWN STREET SURGERY</t>
  </si>
  <si>
    <t>(E85021) YEADING MEDICAL CENTRE</t>
  </si>
  <si>
    <t>(E85023) LADY MARGARET ROAD (MIKHAIL)</t>
  </si>
  <si>
    <t>(E85026) GORDON HOUSE SURGERY</t>
  </si>
  <si>
    <t>(E85028) HILLCREST SURGERY</t>
  </si>
  <si>
    <t>(E85034) GROSVENOR HOUSE SURGERY</t>
  </si>
  <si>
    <t>(E85041) HANWELL HEALTH CENTRE (NAISH)</t>
  </si>
  <si>
    <t>(E85046) EASTMEAD AVENUE SURGERY</t>
  </si>
  <si>
    <t>(E85049) BELMONT MEDICAL CLINIC</t>
  </si>
  <si>
    <t>(E85050) GREENFORD ROAD MEDICAL CENTRE</t>
  </si>
  <si>
    <t>(E85051) GREENFORD AVENUE FHP</t>
  </si>
  <si>
    <t>(E85053) THE MEDICAL CENTRE</t>
  </si>
  <si>
    <t>(E85054) HILLVIEW SURGERY</t>
  </si>
  <si>
    <t>(E85057) QUEENS WALK PRACTICE</t>
  </si>
  <si>
    <t>(E85061) NORWOOD ROAD SURGERY (KENNEDY)</t>
  </si>
  <si>
    <t>(E85064) WEST END SURGERY</t>
  </si>
  <si>
    <t>(E85066) THE BEDFORD PARK SURGERY</t>
  </si>
  <si>
    <t>(E85069) OLDFIELD FAMILY PRACTICE</t>
  </si>
  <si>
    <t>(E85075) SOUTHFIELD MEDICAL CENTRE (WEBER)</t>
  </si>
  <si>
    <t>(E85083) JUBILEE GARDENS MEDICAL CENTRE</t>
  </si>
  <si>
    <t>(E85088) ELMBANK SURGERY</t>
  </si>
  <si>
    <t>(E85090) HAMMOND ROAD SURGERY</t>
  </si>
  <si>
    <t>(E85091) BRUNSWICK ROAD MEDICAL CENTRE</t>
  </si>
  <si>
    <t>(E85096) MEDICAL CENTRE</t>
  </si>
  <si>
    <t>(E85098) ISLIP MANOR MEDICAL CENTRE</t>
  </si>
  <si>
    <t>(E85099) THE AVENUE SURGERY</t>
  </si>
  <si>
    <t>(E85103) LADY MARGARET ROAD SURGERY (ALZARRAD)</t>
  </si>
  <si>
    <t>(E85105) ALLENBY CLINIC</t>
  </si>
  <si>
    <t>(E85107) THE MILL HILL SURGERY</t>
  </si>
  <si>
    <t>(E85108) MANDEVILLE MEDICAL CENTRE</t>
  </si>
  <si>
    <t>(E85109) THE ACTON HEALTH CENTRE</t>
  </si>
  <si>
    <t>(E85111) PERIVALE MEDICAL CLINIC</t>
  </si>
  <si>
    <t>(E85112) ELMTREES SURGERY</t>
  </si>
  <si>
    <t>(E85116) CUCKOO LANE HEALTH CENTRE</t>
  </si>
  <si>
    <t>(E85119) THE MWH PRACTICE</t>
  </si>
  <si>
    <t>(E85120) THE ARGYLE SURGERY</t>
  </si>
  <si>
    <t>(E85121) GURU NANAK MEDICAL CENTRE</t>
  </si>
  <si>
    <t>(E85122) THE FLORENCE ROAD SURGERY</t>
  </si>
  <si>
    <t>(E85123) THE CORFTON ROAD SURGERY</t>
  </si>
  <si>
    <t>(E85127) THE BARNABAS MEDICAL CENTRE</t>
  </si>
  <si>
    <t>(E85129) THE MANSELL ROAD PRACTICE</t>
  </si>
  <si>
    <t>(E85130) SOUTHFIELD MEDICAL CENTRE (BHATT)</t>
  </si>
  <si>
    <t>(E85617) ACTON TOWN MEDICAL CENTRE</t>
  </si>
  <si>
    <t>(E85623) THE SOMERSET ROAD SURGERY</t>
  </si>
  <si>
    <t>(E85628) ELTHORNE PARK SURGERY</t>
  </si>
  <si>
    <t>(E85630) WESTERN AVENUE SURGERY</t>
  </si>
  <si>
    <t>(E85633) THE SOUTHALL MEDICAL CENTRE</t>
  </si>
  <si>
    <t>(E85635) THE VALE SURGERY</t>
  </si>
  <si>
    <t>(E85640) THE CHURCHFIELD ROAD SURGERY</t>
  </si>
  <si>
    <t>(E85643) MEADOW VIEW</t>
  </si>
  <si>
    <t>(E85656) SUNRISE MEDICAL CENTRE</t>
  </si>
  <si>
    <t>(E85657) EALING PARK HEALTH CENTRE</t>
  </si>
  <si>
    <t>(E85663) THE SALUJA CLINIC</t>
  </si>
  <si>
    <t>(E85671) THE COLDERSHAW ROAD SURGERY</t>
  </si>
  <si>
    <t>(E85677) THE HORN LANE SURGERY</t>
  </si>
  <si>
    <t>(E85680) THE EASTFIELDS ROAD SURGERY</t>
  </si>
  <si>
    <t>(E85682) DORMERS WELLS MEDICAL CENTRE</t>
  </si>
  <si>
    <t>(E85687) ACTON LANE MEDICAL CENTRE</t>
  </si>
  <si>
    <t>(E85694) THE BOILEAU ROAD SURGERY</t>
  </si>
  <si>
    <t>(E85705) THE BURLINGTON GARDENS SURGERY</t>
  </si>
  <si>
    <t>(E85712) GOODCARE PRACTICE</t>
  </si>
  <si>
    <t>(E85714) THE PITSHANGER LANE SURGERY</t>
  </si>
  <si>
    <t>(E85715) BROADMEAD SURGERY</t>
  </si>
  <si>
    <t>(E85717) THE WESTERN ROAD SURGERY</t>
  </si>
  <si>
    <t>(E85721) THE TOWN SURGERY</t>
  </si>
  <si>
    <t>(E85723) THE RUISLIP ROAD SURGERY (ALI)</t>
  </si>
  <si>
    <t>(E85725) THE GROVE MEDICAL PRACTICE</t>
  </si>
  <si>
    <t>(E85726) DR KK GYI'S PRACTICE</t>
  </si>
  <si>
    <t>(E85728) RIBCHESTER MEDICAL CENTRE</t>
  </si>
  <si>
    <t>(E85731) THE FAMILY HEALTH PRACTICE</t>
  </si>
  <si>
    <t>(E85733) THE NORTHCOTE AVENUE PRACTICE</t>
  </si>
  <si>
    <t>(E85740) THE LYNWOOD SURGERY</t>
  </si>
  <si>
    <t>(E85743) ST. GEORGES MEDICAL CENTRE</t>
  </si>
  <si>
    <t>(E85745) JUBILEE GARDENS MEDICAL CENTRE</t>
  </si>
  <si>
    <t>(Y01221) SOMERSET FHP O</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</si>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</sst>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0.8846154331102897</c:v>
                </c:pt>
                <c:pt idx="4">
                  <c:v>1</c:v>
                </c:pt>
                <c:pt idx="5">
                  <c:v>1</c:v>
                </c:pt>
                <c:pt idx="6">
                  <c:v>0.9999999947083945</c:v>
                </c:pt>
                <c:pt idx="7">
                  <c:v>0.9169769970063656</c:v>
                </c:pt>
                <c:pt idx="8">
                  <c:v>0.9051723700729923</c:v>
                </c:pt>
                <c:pt idx="9">
                  <c:v>0.7810184644794623</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0.5924730010035761</c:v>
                </c:pt>
                <c:pt idx="3">
                  <c:v>0.6153846242018709</c:v>
                </c:pt>
                <c:pt idx="4">
                  <c:v>0.5833434932345478</c:v>
                </c:pt>
                <c:pt idx="5">
                  <c:v>0.6230288890384293</c:v>
                </c:pt>
                <c:pt idx="6">
                  <c:v>0.5454545526703711</c:v>
                </c:pt>
                <c:pt idx="7">
                  <c:v>0.6320338306388233</c:v>
                </c:pt>
                <c:pt idx="8">
                  <c:v>0.5876510332169219</c:v>
                </c:pt>
                <c:pt idx="9">
                  <c:v>0.5547494461069992</c:v>
                </c:pt>
                <c:pt idx="10">
                  <c:v>0.655261078379142</c:v>
                </c:pt>
                <c:pt idx="11">
                  <c:v>0.6812303402717707</c:v>
                </c:pt>
                <c:pt idx="12">
                  <c:v>0.6040438270779661</c:v>
                </c:pt>
                <c:pt idx="13">
                  <c:v>0</c:v>
                </c:pt>
                <c:pt idx="14">
                  <c:v>0.5734663896724175</c:v>
                </c:pt>
                <c:pt idx="15">
                  <c:v>0.5850117324377712</c:v>
                </c:pt>
                <c:pt idx="16">
                  <c:v>0.5669144957796616</c:v>
                </c:pt>
                <c:pt idx="17">
                  <c:v>0.6031774812409876</c:v>
                </c:pt>
                <c:pt idx="18">
                  <c:v>0.5576812547838369</c:v>
                </c:pt>
                <c:pt idx="19">
                  <c:v>0.5460018021361112</c:v>
                </c:pt>
                <c:pt idx="20">
                  <c:v>0.6838759191165961</c:v>
                </c:pt>
                <c:pt idx="21">
                  <c:v>0.5727550239363364</c:v>
                </c:pt>
                <c:pt idx="22">
                  <c:v>0.562825453413251</c:v>
                </c:pt>
                <c:pt idx="23">
                  <c:v>0.5995646808710159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0.4117218853084748</c:v>
                </c:pt>
                <c:pt idx="3">
                  <c:v>0.30769231210093545</c:v>
                </c:pt>
                <c:pt idx="4">
                  <c:v>0.37274120547328105</c:v>
                </c:pt>
                <c:pt idx="5">
                  <c:v>0.428687617069392</c:v>
                </c:pt>
                <c:pt idx="6">
                  <c:v>0.3181818316513595</c:v>
                </c:pt>
                <c:pt idx="7">
                  <c:v>0.3761856650990278</c:v>
                </c:pt>
                <c:pt idx="8">
                  <c:v>0.38793061495573467</c:v>
                </c:pt>
                <c:pt idx="9">
                  <c:v>0.34856030419902195</c:v>
                </c:pt>
                <c:pt idx="10">
                  <c:v>0.28768280556241416</c:v>
                </c:pt>
                <c:pt idx="11">
                  <c:v>0.319087483757045</c:v>
                </c:pt>
                <c:pt idx="12">
                  <c:v>0.43733382431997475</c:v>
                </c:pt>
                <c:pt idx="13">
                  <c:v>0</c:v>
                </c:pt>
                <c:pt idx="14">
                  <c:v>0.4503132648078419</c:v>
                </c:pt>
                <c:pt idx="15">
                  <c:v>0.3480093955316279</c:v>
                </c:pt>
                <c:pt idx="16">
                  <c:v>0.41302690597298347</c:v>
                </c:pt>
                <c:pt idx="17">
                  <c:v>0.40706213960476434</c:v>
                </c:pt>
                <c:pt idx="18">
                  <c:v>0.41046134960097197</c:v>
                </c:pt>
                <c:pt idx="19">
                  <c:v>0.486981390394967</c:v>
                </c:pt>
                <c:pt idx="20">
                  <c:v>0.3906554430671486</c:v>
                </c:pt>
                <c:pt idx="21">
                  <c:v>0.43083461822492686</c:v>
                </c:pt>
                <c:pt idx="22">
                  <c:v>0.3742991143817603</c:v>
                </c:pt>
                <c:pt idx="23">
                  <c:v>0.3869956888438147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0.11888166665421107</c:v>
                </c:pt>
                <c:pt idx="3">
                  <c:v>0</c:v>
                </c:pt>
                <c:pt idx="4">
                  <c:v>0.2582416637709946</c:v>
                </c:pt>
                <c:pt idx="5">
                  <c:v>0.38654503500930876</c:v>
                </c:pt>
                <c:pt idx="6">
                  <c:v>0</c:v>
                </c:pt>
                <c:pt idx="7">
                  <c:v>0</c:v>
                </c:pt>
                <c:pt idx="8">
                  <c:v>0</c:v>
                </c:pt>
                <c:pt idx="9">
                  <c:v>0</c:v>
                </c:pt>
                <c:pt idx="10">
                  <c:v>5.813719096665711E-05</c:v>
                </c:pt>
                <c:pt idx="11">
                  <c:v>0.06390772887653713</c:v>
                </c:pt>
                <c:pt idx="12">
                  <c:v>0.39239688945378487</c:v>
                </c:pt>
                <c:pt idx="13">
                  <c:v>0</c:v>
                </c:pt>
                <c:pt idx="14">
                  <c:v>0.40180956758344144</c:v>
                </c:pt>
                <c:pt idx="15">
                  <c:v>0.21494317412541433</c:v>
                </c:pt>
                <c:pt idx="16">
                  <c:v>0.37814149203312947</c:v>
                </c:pt>
                <c:pt idx="17">
                  <c:v>0.37267099844806056</c:v>
                </c:pt>
                <c:pt idx="18">
                  <c:v>0.4232506084205622</c:v>
                </c:pt>
                <c:pt idx="19">
                  <c:v>0.49571007916670645</c:v>
                </c:pt>
                <c:pt idx="20">
                  <c:v>0.18503518158464702</c:v>
                </c:pt>
                <c:pt idx="21">
                  <c:v>0.33916418771378287</c:v>
                </c:pt>
                <c:pt idx="22">
                  <c:v>0.1953672753984336</c:v>
                </c:pt>
                <c:pt idx="23">
                  <c:v>0.2685975670376849</c:v>
                </c:pt>
                <c:pt idx="24">
                  <c:v>0</c:v>
                </c:pt>
                <c:pt idx="25">
                  <c:v>0</c:v>
                </c:pt>
                <c:pt idx="26">
                  <c:v>0</c:v>
                </c:pt>
              </c:numCache>
            </c:numRef>
          </c:val>
        </c:ser>
        <c:overlap val="100"/>
        <c:gapWidth val="100"/>
        <c:axId val="3690128"/>
        <c:axId val="3321115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0.7847641998089364</c:v>
                </c:pt>
                <c:pt idx="3">
                  <c:v>0.26965118186644976</c:v>
                </c:pt>
                <c:pt idx="4">
                  <c:v>0.721852142432961</c:v>
                </c:pt>
                <c:pt idx="5">
                  <c:v>0.6837072723188721</c:v>
                </c:pt>
                <c:pt idx="6">
                  <c:v>0.6791239189939546</c:v>
                </c:pt>
                <c:pt idx="7">
                  <c:v>0.7782123304929431</c:v>
                </c:pt>
                <c:pt idx="8">
                  <c:v>0.675929516912523</c:v>
                </c:pt>
                <c:pt idx="9">
                  <c:v>0.6680086195207476</c:v>
                </c:pt>
                <c:pt idx="10">
                  <c:v>0.8025155729905972</c:v>
                </c:pt>
                <c:pt idx="11">
                  <c:v>0.8883711348852189</c:v>
                </c:pt>
                <c:pt idx="12">
                  <c:v>0.7076641652223618</c:v>
                </c:pt>
                <c:pt idx="13">
                  <c:v>0.5</c:v>
                </c:pt>
                <c:pt idx="14">
                  <c:v>0.5455778961582111</c:v>
                </c:pt>
                <c:pt idx="15">
                  <c:v>0.661415444037861</c:v>
                </c:pt>
                <c:pt idx="16">
                  <c:v>0.5975936644988737</c:v>
                </c:pt>
                <c:pt idx="17">
                  <c:v>0.6515295292913034</c:v>
                </c:pt>
                <c:pt idx="18">
                  <c:v>0.6878718646904819</c:v>
                </c:pt>
                <c:pt idx="19">
                  <c:v>0.7044597053751942</c:v>
                </c:pt>
                <c:pt idx="20">
                  <c:v>0.5808559987796167</c:v>
                </c:pt>
                <c:pt idx="21">
                  <c:v>0.5918706949082514</c:v>
                </c:pt>
                <c:pt idx="22">
                  <c:v>0.5452930879865803</c:v>
                </c:pt>
                <c:pt idx="23">
                  <c:v>0.6375885382797297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0.3846154056004526</c:v>
                </c:pt>
                <c:pt idx="4">
                  <c:v>-999</c:v>
                </c:pt>
                <c:pt idx="5">
                  <c:v>-999</c:v>
                </c:pt>
                <c:pt idx="6">
                  <c:v>0.49999999525872146</c:v>
                </c:pt>
                <c:pt idx="7">
                  <c:v>-999</c:v>
                </c:pt>
                <c:pt idx="8">
                  <c:v>-999</c:v>
                </c:pt>
                <c:pt idx="9">
                  <c:v>-999</c:v>
                </c:pt>
                <c:pt idx="10">
                  <c:v>-999</c:v>
                </c:pt>
                <c:pt idx="11">
                  <c:v>0.34628947565322843</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0.30666493716502563</c:v>
                </c:pt>
                <c:pt idx="3">
                  <c:v>-999</c:v>
                </c:pt>
                <c:pt idx="4">
                  <c:v>-999</c:v>
                </c:pt>
                <c:pt idx="5">
                  <c:v>-999</c:v>
                </c:pt>
                <c:pt idx="6">
                  <c:v>-999</c:v>
                </c:pt>
                <c:pt idx="7">
                  <c:v>0.245875191323062</c:v>
                </c:pt>
                <c:pt idx="8">
                  <c:v>0.4584643744077502</c:v>
                </c:pt>
                <c:pt idx="9">
                  <c:v>0.14226437185582114</c:v>
                </c:pt>
                <c:pt idx="10">
                  <c:v>0.09552928430453293</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464922"/>
        <c:axId val="5748843"/>
      </c:scatterChart>
      <c:catAx>
        <c:axId val="3690128"/>
        <c:scaling>
          <c:orientation val="maxMin"/>
        </c:scaling>
        <c:axPos val="l"/>
        <c:delete val="0"/>
        <c:numFmt formatCode="General" sourceLinked="1"/>
        <c:majorTickMark val="out"/>
        <c:minorTickMark val="none"/>
        <c:tickLblPos val="none"/>
        <c:spPr>
          <a:ln w="3175">
            <a:noFill/>
          </a:ln>
        </c:spPr>
        <c:crossAx val="33211153"/>
        <c:crosses val="autoZero"/>
        <c:auto val="1"/>
        <c:lblOffset val="100"/>
        <c:tickLblSkip val="1"/>
        <c:noMultiLvlLbl val="0"/>
      </c:catAx>
      <c:valAx>
        <c:axId val="33211153"/>
        <c:scaling>
          <c:orientation val="minMax"/>
          <c:max val="1"/>
          <c:min val="0"/>
        </c:scaling>
        <c:axPos val="t"/>
        <c:delete val="0"/>
        <c:numFmt formatCode="General" sourceLinked="1"/>
        <c:majorTickMark val="none"/>
        <c:minorTickMark val="none"/>
        <c:tickLblPos val="none"/>
        <c:spPr>
          <a:ln w="3175">
            <a:noFill/>
          </a:ln>
        </c:spPr>
        <c:crossAx val="3690128"/>
        <c:crossesAt val="1"/>
        <c:crossBetween val="between"/>
        <c:dispUnits/>
        <c:majorUnit val="1"/>
      </c:valAx>
      <c:valAx>
        <c:axId val="30464922"/>
        <c:scaling>
          <c:orientation val="minMax"/>
          <c:max val="1"/>
          <c:min val="0"/>
        </c:scaling>
        <c:axPos val="t"/>
        <c:delete val="0"/>
        <c:numFmt formatCode="General" sourceLinked="1"/>
        <c:majorTickMark val="none"/>
        <c:minorTickMark val="none"/>
        <c:tickLblPos val="none"/>
        <c:spPr>
          <a:ln w="3175">
            <a:noFill/>
          </a:ln>
        </c:spPr>
        <c:crossAx val="5748843"/>
        <c:crosses val="max"/>
        <c:crossBetween val="midCat"/>
        <c:dispUnits/>
        <c:majorUnit val="0.1"/>
        <c:minorUnit val="0.020000000000000004"/>
      </c:valAx>
      <c:valAx>
        <c:axId val="5748843"/>
        <c:scaling>
          <c:orientation val="maxMin"/>
          <c:max val="29"/>
          <c:min val="0"/>
        </c:scaling>
        <c:axPos val="l"/>
        <c:delete val="0"/>
        <c:numFmt formatCode="General" sourceLinked="1"/>
        <c:majorTickMark val="none"/>
        <c:minorTickMark val="none"/>
        <c:tickLblPos val="none"/>
        <c:spPr>
          <a:ln w="3175">
            <a:noFill/>
          </a:ln>
        </c:spPr>
        <c:crossAx val="304649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(E85687) ACTON LANE MEDICAL CENTRE, EALING PCT (5HX)</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516</v>
      </c>
      <c r="Q3" s="65"/>
      <c r="R3" s="66"/>
      <c r="S3" s="66"/>
      <c r="T3" s="66"/>
      <c r="U3" s="66"/>
      <c r="V3" s="66"/>
      <c r="W3" s="66"/>
      <c r="X3" s="66"/>
      <c r="Y3" s="66"/>
      <c r="Z3" s="66"/>
      <c r="AA3" s="66"/>
      <c r="AB3" s="66"/>
      <c r="AC3" s="66"/>
    </row>
    <row r="4" spans="2:29" ht="18" customHeight="1">
      <c r="B4" s="319" t="s">
        <v>631</v>
      </c>
      <c r="C4" s="320"/>
      <c r="D4" s="320"/>
      <c r="E4" s="320"/>
      <c r="F4" s="320"/>
      <c r="G4" s="321"/>
      <c r="H4" s="112"/>
      <c r="I4" s="112"/>
      <c r="J4" s="112"/>
      <c r="K4" s="112"/>
      <c r="L4" s="113"/>
      <c r="M4" s="65"/>
      <c r="N4" s="65"/>
      <c r="O4" s="65"/>
      <c r="P4" s="134" t="s">
        <v>517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630</v>
      </c>
      <c r="C8" s="115"/>
      <c r="D8" s="115"/>
      <c r="E8" s="128">
        <f>VLOOKUP('Hide - Control'!A$3,'All practice data'!A:CA,4,FALSE)</f>
        <v>1036</v>
      </c>
      <c r="F8" s="310" t="str">
        <f>VLOOKUP('Hide - Control'!B4,'Hide - Calculation'!AY:BA,3,FALSE)</f>
        <v> </v>
      </c>
      <c r="G8" s="310"/>
      <c r="H8" s="310"/>
      <c r="I8" s="115"/>
      <c r="J8" s="115"/>
      <c r="K8" s="115"/>
      <c r="L8" s="115"/>
      <c r="M8" s="109"/>
      <c r="N8" s="314" t="s">
        <v>526</v>
      </c>
      <c r="O8" s="314"/>
      <c r="P8" s="314"/>
      <c r="Q8" s="314" t="s">
        <v>32</v>
      </c>
      <c r="R8" s="314"/>
      <c r="S8" s="314"/>
      <c r="T8" s="314" t="s">
        <v>634</v>
      </c>
      <c r="U8" s="314"/>
      <c r="V8" s="314" t="s">
        <v>33</v>
      </c>
      <c r="W8" s="314"/>
      <c r="X8" s="314"/>
      <c r="Y8" s="135"/>
      <c r="Z8" s="314" t="s">
        <v>519</v>
      </c>
      <c r="AA8" s="314"/>
      <c r="AB8" s="161"/>
      <c r="AC8" s="109"/>
    </row>
    <row r="9" spans="2:29" s="61" customFormat="1" ht="19.5" customHeight="1" thickBot="1">
      <c r="B9" s="114" t="s">
        <v>511</v>
      </c>
      <c r="C9" s="114"/>
      <c r="D9" s="114"/>
      <c r="E9" s="129">
        <f>VLOOKUP('Hide - Control'!B4,'Hide - Calculation'!AY:BB,4,FALSE)</f>
        <v>383154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489</v>
      </c>
      <c r="E11" s="317"/>
      <c r="F11" s="318"/>
      <c r="G11" s="263" t="s">
        <v>487</v>
      </c>
      <c r="H11" s="255" t="s">
        <v>488</v>
      </c>
      <c r="I11" s="255" t="s">
        <v>499</v>
      </c>
      <c r="J11" s="255" t="s">
        <v>500</v>
      </c>
      <c r="K11" s="255" t="s">
        <v>371</v>
      </c>
      <c r="L11" s="256" t="s">
        <v>413</v>
      </c>
      <c r="M11" s="257" t="s">
        <v>509</v>
      </c>
      <c r="N11" s="334" t="s">
        <v>507</v>
      </c>
      <c r="O11" s="334"/>
      <c r="P11" s="334"/>
      <c r="Q11" s="334"/>
      <c r="R11" s="334"/>
      <c r="S11" s="334"/>
      <c r="T11" s="334"/>
      <c r="U11" s="334"/>
      <c r="V11" s="334"/>
      <c r="W11" s="334"/>
      <c r="X11" s="334"/>
      <c r="Y11" s="334"/>
      <c r="Z11" s="334"/>
      <c r="AA11" s="258" t="s">
        <v>510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369</v>
      </c>
      <c r="C13" s="163">
        <v>1</v>
      </c>
      <c r="D13" s="312" t="s">
        <v>365</v>
      </c>
      <c r="E13" s="313"/>
      <c r="F13" s="313"/>
      <c r="G13" s="166">
        <f>IF(VLOOKUP('Hide - Control'!A$3,'All practice data'!A:CA,C13+4,FALSE)=" "," ",VLOOKUP('Hide - Control'!A$3,'All practice data'!A:CA,C13+4,FALSE))</f>
        <v>66</v>
      </c>
      <c r="H13" s="190">
        <f>IF(VLOOKUP('Hide - Control'!A$3,'All practice data'!A:CA,C13+30,FALSE)=" "," ",VLOOKUP('Hide - Control'!A$3,'All practice data'!A:CA,C13+30,FALSE))</f>
        <v>0.0637065637065637</v>
      </c>
      <c r="I13" s="191">
        <f>IF(LEFT(G13,1)=" "," n/a",+((2*G13+1.96^2-1.96*SQRT(1.96^2+4*G13*(1-G13/E$8)))/(2*(E$8+1.96^2))))</f>
        <v>0.05038648834118081</v>
      </c>
      <c r="J13" s="191">
        <f>IF(LEFT(G13,1)=" "," n/a",+((2*G13+1.96^2+1.96*SQRT(1.96^2+4*G13*(1-G13/E$8)))/(2*(E$8+1.96^2))))</f>
        <v>0.08025033172833747</v>
      </c>
      <c r="K13" s="190">
        <f>IF('Hide - Calculation'!N7="","",'Hide - Calculation'!N7)</f>
        <v>0.10212603809434327</v>
      </c>
      <c r="L13" s="192">
        <f>'Hide - Calculation'!O7</f>
        <v>0.1599882305185145</v>
      </c>
      <c r="M13" s="208">
        <f>IF(ISBLANK('Hide - Calculation'!K7),"",'Hide - Calculation'!U7)</f>
        <v>0.025889968499541283</v>
      </c>
      <c r="N13" s="173"/>
      <c r="O13" s="173"/>
      <c r="P13" s="173"/>
      <c r="Q13" s="173"/>
      <c r="R13" s="173"/>
      <c r="S13" s="173"/>
      <c r="T13" s="173"/>
      <c r="U13" s="173"/>
      <c r="V13" s="173"/>
      <c r="W13" s="173"/>
      <c r="X13" s="173"/>
      <c r="Y13" s="173"/>
      <c r="Z13" s="173"/>
      <c r="AA13" s="226">
        <f>IF(ISBLANK('Hide - Calculation'!K7),"",'Hide - Calculation'!T7)</f>
        <v>0.20333333313465118</v>
      </c>
      <c r="AB13" s="233" t="s">
        <v>628</v>
      </c>
      <c r="AC13" s="209" t="s">
        <v>629</v>
      </c>
    </row>
    <row r="14" spans="2:29" ht="33.75" customHeight="1">
      <c r="B14" s="306"/>
      <c r="C14" s="137">
        <v>2</v>
      </c>
      <c r="D14" s="132" t="s">
        <v>520</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0.1578007573383675</v>
      </c>
      <c r="J14" s="120">
        <f>IF(LEFT(G14,1)=" "," n/a",+((2*H14*E8+1.96^2+1.96*SQRT(1.96^2+4*H14*E8*(1-H14*E8/E$8)))/(2*(E$8+1.96^2))))</f>
        <v>0.20456366431970047</v>
      </c>
      <c r="K14" s="119">
        <f>IF('Hide - Calculation'!N8="","",'Hide - Calculation'!N8)</f>
        <v>0.190296408232721</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0.3100000023841858</v>
      </c>
      <c r="AB14" s="234" t="s">
        <v>39</v>
      </c>
      <c r="AC14" s="130" t="s">
        <v>629</v>
      </c>
    </row>
    <row r="15" spans="2:39" s="63" customFormat="1" ht="33.75" customHeight="1">
      <c r="B15" s="306"/>
      <c r="C15" s="137">
        <v>3</v>
      </c>
      <c r="D15" s="132" t="s">
        <v>374</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254.46687232809785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657.4141845703125</v>
      </c>
      <c r="AB15" s="234" t="s">
        <v>490</v>
      </c>
      <c r="AC15" s="131">
        <v>2009</v>
      </c>
      <c r="AD15" s="64"/>
      <c r="AE15" s="64"/>
      <c r="AF15" s="64"/>
      <c r="AG15" s="64"/>
      <c r="AH15" s="64"/>
      <c r="AI15" s="64"/>
      <c r="AJ15" s="64"/>
      <c r="AK15" s="64"/>
      <c r="AL15" s="64"/>
      <c r="AM15" s="64"/>
    </row>
    <row r="16" spans="2:29" s="63" customFormat="1" ht="33.75" customHeight="1">
      <c r="B16" s="306"/>
      <c r="C16" s="137">
        <v>4</v>
      </c>
      <c r="D16" s="132" t="s">
        <v>512</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128.9298819795696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436.3001708984375</v>
      </c>
      <c r="AB16" s="234" t="s">
        <v>368</v>
      </c>
      <c r="AC16" s="131" t="s">
        <v>545</v>
      </c>
    </row>
    <row r="17" spans="2:29" s="63" customFormat="1" ht="33.75" customHeight="1" thickBot="1">
      <c r="B17" s="309"/>
      <c r="C17" s="180">
        <v>5</v>
      </c>
      <c r="D17" s="195" t="s">
        <v>373</v>
      </c>
      <c r="E17" s="182"/>
      <c r="F17" s="182"/>
      <c r="G17" s="140">
        <f>IF(VLOOKUP('Hide - Control'!A$3,'All practice data'!A:CA,C17+4,FALSE)=" "," ",VLOOKUP('Hide - Control'!A$3,'All practice data'!A:CA,C17+4,FALSE))</f>
        <v>12</v>
      </c>
      <c r="H17" s="141">
        <f>IF(VLOOKUP('Hide - Control'!A$3,'All practice data'!A:CA,C17+30,FALSE)=" "," ",VLOOKUP('Hide - Control'!A$3,'All practice data'!A:CA,C17+30,FALSE))</f>
        <v>0.012</v>
      </c>
      <c r="I17" s="142">
        <f>IF(LEFT(G17,1)=" "," n/a",+((2*G17+1.96^2-1.96*SQRT(1.96^2+4*G17*(1-G17/E$8)))/(2*(E$8+1.96^2))))</f>
        <v>0.006638155620688819</v>
      </c>
      <c r="J17" s="142">
        <f>IF(LEFT(G17,1)=" "," n/a",+((2*G17+1.96^2+1.96*SQRT(1.96^2+4*G17*(1-G17/E$8)))/(2*(E$8+1.96^2))))</f>
        <v>0.020136691625276336</v>
      </c>
      <c r="K17" s="141">
        <f>IF('Hide - Calculation'!N11="","",'Hide - Calculation'!N11)</f>
        <v>0.011173053132682942</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0.023000000044703484</v>
      </c>
      <c r="AB17" s="235" t="s">
        <v>513</v>
      </c>
      <c r="AC17" s="189" t="s">
        <v>545</v>
      </c>
    </row>
    <row r="18" spans="2:29" s="63" customFormat="1" ht="33.75" customHeight="1">
      <c r="B18" s="308" t="s">
        <v>13</v>
      </c>
      <c r="C18" s="163">
        <v>6</v>
      </c>
      <c r="D18" s="164" t="s">
        <v>521</v>
      </c>
      <c r="E18" s="165"/>
      <c r="F18" s="165"/>
      <c r="G18" s="219">
        <f>IF(OR(VLOOKUP('Hide - Control'!A$3,'All practice data'!A:CA,C18+4,FALSE)=" ",VLOOKUP('Hide - Control'!A$3,'All practice data'!A:CA,C18+52,FALSE)=0)," n/a",VLOOKUP('Hide - Control'!A$3,'All practice data'!A:CA,C18+4,FALSE))</f>
        <v>41</v>
      </c>
      <c r="H18" s="220">
        <f>IF(OR(VLOOKUP('Hide - Control'!A$3,'All practice data'!A:CA,C18+30,FALSE)=" ",VLOOKUP('Hide - Control'!A$3,'All practice data'!A:CA,C18+52,FALSE)=0)," n/a",VLOOKUP('Hide - Control'!A$3,'All practice data'!A:CA,C18+30,FALSE))</f>
        <v>0.5125</v>
      </c>
      <c r="I18" s="191">
        <f>IF(OR(LEFT(H18,1)=" ",VLOOKUP('Hide - Control'!A$3,'All practice data'!A:CA,C18+52,FALSE)=0)," n/a",+((2*G18+1.96^2-1.96*SQRT(1.96^2+4*G18*(1-G18/(VLOOKUP('Hide - Control'!A$3,'All practice data'!A:CA,C18+52,FALSE)))))/(2*(((VLOOKUP('Hide - Control'!A$3,'All practice data'!A:CA,C18+52,FALSE)))+1.96^2))))</f>
        <v>0.40493144603706893</v>
      </c>
      <c r="J18" s="191">
        <f>IF(OR(LEFT(H18,1)=" ",VLOOKUP('Hide - Control'!A$3,'All practice data'!A:CA,C18+52,FALSE)=0)," n/a",+((2*G18+1.96^2+1.96*SQRT(1.96^2+4*G18*(1-G18/(VLOOKUP('Hide - Control'!A$3,'All practice data'!A:CA,C18+52,FALSE)))))/(2*((VLOOKUP('Hide - Control'!A$3,'All practice data'!A:CA,C18+52,FALSE))+1.96^2))))</f>
        <v>0.6189230605563167</v>
      </c>
      <c r="K18" s="220">
        <f>IF('Hide - Calculation'!N12="","",'Hide - Calculation'!N12)</f>
        <v>0.6240684999561648</v>
      </c>
      <c r="L18" s="192">
        <f>'Hide - Calculation'!O12</f>
        <v>0.7248631360507991</v>
      </c>
      <c r="M18" s="193">
        <f>IF(ISBLANK('Hide - Calculation'!K12),"",'Hide - Calculation'!U12)</f>
        <v>0.4144139885902405</v>
      </c>
      <c r="N18" s="194"/>
      <c r="O18" s="173"/>
      <c r="P18" s="173"/>
      <c r="Q18" s="173"/>
      <c r="R18" s="173"/>
      <c r="S18" s="173"/>
      <c r="T18" s="173"/>
      <c r="U18" s="173"/>
      <c r="V18" s="173"/>
      <c r="W18" s="173"/>
      <c r="X18" s="173"/>
      <c r="Y18" s="173"/>
      <c r="Z18" s="174"/>
      <c r="AA18" s="193">
        <f>IF(ISBLANK('Hide - Calculation'!K12),"",'Hide - Calculation'!T12)</f>
        <v>0.7802199721336365</v>
      </c>
      <c r="AB18" s="233" t="s">
        <v>48</v>
      </c>
      <c r="AC18" s="175" t="s">
        <v>546</v>
      </c>
    </row>
    <row r="19" spans="2:29" s="63" customFormat="1" ht="33.75" customHeight="1">
      <c r="B19" s="306"/>
      <c r="C19" s="137">
        <v>7</v>
      </c>
      <c r="D19" s="132" t="s">
        <v>522</v>
      </c>
      <c r="E19" s="85"/>
      <c r="F19" s="85"/>
      <c r="G19" s="221">
        <f>IF(OR(VLOOKUP('Hide - Control'!A$3,'All practice data'!A:CA,C19+4,FALSE)=" ",VLOOKUP('Hide - Control'!A$3,'All practice data'!A:CA,C19+52,FALSE)=0)," n/a",VLOOKUP('Hide - Control'!A$3,'All practice data'!A:CA,C19+4,FALSE))</f>
        <v>39</v>
      </c>
      <c r="H19" s="218">
        <f>IF(OR(VLOOKUP('Hide - Control'!A$3,'All practice data'!A:CA,C19+30,FALSE)=" ",VLOOKUP('Hide - Control'!A$3,'All practice data'!A:CA,C19+52,FALSE)=0)," n/a",VLOOKUP('Hide - Control'!A$3,'All practice data'!A:CA,C19+30,FALSE))</f>
        <v>0.506494</v>
      </c>
      <c r="I19" s="120">
        <f>IF(OR(LEFT(H19,1)=" ",VLOOKUP('Hide - Control'!A$3,'All practice data'!A:CA,C19+52,FALSE)=0)," n/a",+((2*G19+1.96^2-1.96*SQRT(1.96^2+4*G19*(1-G19/(VLOOKUP('Hide - Control'!A$3,'All practice data'!A:CA,C19+52,FALSE)))))/(2*(((VLOOKUP('Hide - Control'!A$3,'All practice data'!A:CA,C19+52,FALSE)))+1.96^2))))</f>
        <v>0.3971981753430592</v>
      </c>
      <c r="J19" s="120">
        <f>IF(OR(LEFT(H19,1)=" ",VLOOKUP('Hide - Control'!A$3,'All practice data'!A:CA,C19+52,FALSE)=0)," n/a",+((2*G19+1.96^2+1.96*SQRT(1.96^2+4*G19*(1-G19/(VLOOKUP('Hide - Control'!A$3,'All practice data'!A:CA,C19+52,FALSE)))))/(2*((VLOOKUP('Hide - Control'!A$3,'All practice data'!A:CA,C19+52,FALSE))+1.96^2))))</f>
        <v>0.6151716936352886</v>
      </c>
      <c r="K19" s="218">
        <f>IF('Hide - Calculation'!N13="","",'Hide - Calculation'!N13)</f>
        <v>0.6359490372086289</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545</v>
      </c>
    </row>
    <row r="20" spans="2:29" s="63" customFormat="1" ht="33.75" customHeight="1">
      <c r="B20" s="306"/>
      <c r="C20" s="137">
        <v>8</v>
      </c>
      <c r="D20" s="132" t="s">
        <v>523</v>
      </c>
      <c r="E20" s="85"/>
      <c r="F20" s="85"/>
      <c r="G20" s="221">
        <f>IF(OR(VLOOKUP('Hide - Control'!A$3,'All practice data'!A:CA,C20+4,FALSE)=" ",VLOOKUP('Hide - Control'!A$3,'All practice data'!A:CA,C20+52,FALSE)=0)," n/a",VLOOKUP('Hide - Control'!A$3,'All practice data'!A:CA,C20+4,FALSE))</f>
        <v>167</v>
      </c>
      <c r="H20" s="218">
        <f>IF(OR(VLOOKUP('Hide - Control'!A$3,'All practice data'!A:CA,C20+30,FALSE)=" ",VLOOKUP('Hide - Control'!A$3,'All practice data'!A:CA,C20+52,FALSE)=0)," n/a",VLOOKUP('Hide - Control'!A$3,'All practice data'!A:CA,C20+30,FALSE))</f>
        <v>0.498507</v>
      </c>
      <c r="I20" s="120">
        <f>IF(OR(LEFT(H20,1)=" ",VLOOKUP('Hide - Control'!A$3,'All practice data'!A:CA,C20+52,FALSE)=0)," n/a",+((2*G20+1.96^2-1.96*SQRT(1.96^2+4*G20*(1-G20/(VLOOKUP('Hide - Control'!A$3,'All practice data'!A:CA,C20+52,FALSE)))))/(2*(((VLOOKUP('Hide - Control'!A$3,'All practice data'!A:CA,C20+52,FALSE)))+1.96^2))))</f>
        <v>0.4452858854675858</v>
      </c>
      <c r="J20" s="120">
        <f>IF(OR(LEFT(H20,1)=" ",VLOOKUP('Hide - Control'!A$3,'All practice data'!A:CA,C20+52,FALSE)=0)," n/a",+((2*G20+1.96^2+1.96*SQRT(1.96^2+4*G20*(1-G20/(VLOOKUP('Hide - Control'!A$3,'All practice data'!A:CA,C20+52,FALSE)))))/(2*((VLOOKUP('Hide - Control'!A$3,'All practice data'!A:CA,C20+52,FALSE))+1.96^2))))</f>
        <v>0.5517628830425381</v>
      </c>
      <c r="K20" s="218">
        <f>IF('Hide - Calculation'!N14="","",'Hide - Calculation'!N14)</f>
        <v>0.6611560964193774</v>
      </c>
      <c r="L20" s="155">
        <f>'Hide - Calculation'!O14</f>
        <v>0.7559681673907895</v>
      </c>
      <c r="M20" s="152">
        <f>IF(ISBLANK('Hide - Calculation'!K14),"",'Hide - Calculation'!U14)</f>
        <v>0.4288389980792999</v>
      </c>
      <c r="N20" s="160"/>
      <c r="O20" s="84"/>
      <c r="P20" s="84"/>
      <c r="Q20" s="84"/>
      <c r="R20" s="84"/>
      <c r="S20" s="84"/>
      <c r="T20" s="84"/>
      <c r="U20" s="84"/>
      <c r="V20" s="84"/>
      <c r="W20" s="84"/>
      <c r="X20" s="84"/>
      <c r="Y20" s="84"/>
      <c r="Z20" s="88"/>
      <c r="AA20" s="152">
        <f>IF(ISBLANK('Hide - Calculation'!K14),"",'Hide - Calculation'!T14)</f>
        <v>0.8113099932670593</v>
      </c>
      <c r="AB20" s="234" t="s">
        <v>48</v>
      </c>
      <c r="AC20" s="131" t="s">
        <v>547</v>
      </c>
    </row>
    <row r="21" spans="2:29" s="63" customFormat="1" ht="33.75" customHeight="1">
      <c r="B21" s="306"/>
      <c r="C21" s="137">
        <v>9</v>
      </c>
      <c r="D21" s="132" t="s">
        <v>524</v>
      </c>
      <c r="E21" s="85"/>
      <c r="F21" s="85"/>
      <c r="G21" s="221">
        <f>IF(OR(VLOOKUP('Hide - Control'!A$3,'All practice data'!A:CA,C21+4,FALSE)=" ",VLOOKUP('Hide - Control'!A$3,'All practice data'!A:CA,C21+52,FALSE)=0)," n/a",VLOOKUP('Hide - Control'!A$3,'All practice data'!A:CA,C21+4,FALSE))</f>
        <v>16</v>
      </c>
      <c r="H21" s="218">
        <f>IF(OR(VLOOKUP('Hide - Control'!A$3,'All practice data'!A:CA,C21+30,FALSE)=" ",VLOOKUP('Hide - Control'!A$3,'All practice data'!A:CA,C21+52,FALSE)=0)," n/a",VLOOKUP('Hide - Control'!A$3,'All practice data'!A:CA,C21+30,FALSE))</f>
        <v>0.271186</v>
      </c>
      <c r="I21" s="120">
        <f>IF(OR(LEFT(H21,1)=" ",VLOOKUP('Hide - Control'!A$3,'All practice data'!A:CA,C21+52,FALSE)=0)," n/a",+((2*G21+1.96^2-1.96*SQRT(1.96^2+4*G21*(1-G21/(VLOOKUP('Hide - Control'!A$3,'All practice data'!A:CA,C21+52,FALSE)))))/(2*(((VLOOKUP('Hide - Control'!A$3,'All practice data'!A:CA,C21+52,FALSE)))+1.96^2))))</f>
        <v>0.17436824992508337</v>
      </c>
      <c r="J21" s="120">
        <f>IF(OR(LEFT(H21,1)=" ",VLOOKUP('Hide - Control'!A$3,'All practice data'!A:CA,C21+52,FALSE)=0)," n/a",+((2*G21+1.96^2+1.96*SQRT(1.96^2+4*G21*(1-G21/(VLOOKUP('Hide - Control'!A$3,'All practice data'!A:CA,C21+52,FALSE)))))/(2*((VLOOKUP('Hide - Control'!A$3,'All practice data'!A:CA,C21+52,FALSE))+1.96^2))))</f>
        <v>0.3959800543828909</v>
      </c>
      <c r="K21" s="218">
        <f>IF('Hide - Calculation'!N15="","",'Hide - Calculation'!N15)</f>
        <v>0.41910099847815596</v>
      </c>
      <c r="L21" s="155">
        <f>'Hide - Calculation'!O15</f>
        <v>0.5147293797466616</v>
      </c>
      <c r="M21" s="152">
        <f>IF(ISBLANK('Hide - Calculation'!K15),"",'Hide - Calculation'!U15)</f>
        <v>0.23829799890518188</v>
      </c>
      <c r="N21" s="160"/>
      <c r="O21" s="84"/>
      <c r="P21" s="84"/>
      <c r="Q21" s="84"/>
      <c r="R21" s="84"/>
      <c r="S21" s="84"/>
      <c r="T21" s="84"/>
      <c r="U21" s="84"/>
      <c r="V21" s="84"/>
      <c r="W21" s="84"/>
      <c r="X21" s="84"/>
      <c r="Y21" s="84"/>
      <c r="Z21" s="88"/>
      <c r="AA21" s="152">
        <f>IF(ISBLANK('Hide - Calculation'!K15),"",'Hide - Calculation'!T15)</f>
        <v>0.5827590227127075</v>
      </c>
      <c r="AB21" s="234" t="s">
        <v>48</v>
      </c>
      <c r="AC21" s="131" t="s">
        <v>546</v>
      </c>
    </row>
    <row r="22" spans="2:29" s="63" customFormat="1" ht="33.75" customHeight="1" thickBot="1">
      <c r="B22" s="309"/>
      <c r="C22" s="180">
        <v>10</v>
      </c>
      <c r="D22" s="195" t="s">
        <v>525</v>
      </c>
      <c r="E22" s="182"/>
      <c r="F22" s="182"/>
      <c r="G22" s="222">
        <f>IF(OR(VLOOKUP('Hide - Control'!A$3,'All practice data'!A:CA,C22+4,FALSE)=" ",VLOOKUP('Hide - Control'!A$3,'All practice data'!A:CA,C22+52,FALSE)=0)," n/a",VLOOKUP('Hide - Control'!A$3,'All practice data'!A:CA,C22+4,FALSE))</f>
        <v>11</v>
      </c>
      <c r="H22" s="223">
        <f>IF(OR(VLOOKUP('Hide - Control'!A$3,'All practice data'!A:CA,C22+30,FALSE)=" ",VLOOKUP('Hide - Control'!A$3,'All practice data'!A:CA,C22+52,FALSE)=0)," n/a",VLOOKUP('Hide - Control'!A$3,'All practice data'!A:CA,C22+30,FALSE))</f>
        <v>0.354839</v>
      </c>
      <c r="I22" s="196">
        <f>IF(OR(LEFT(H22,1)=" ",VLOOKUP('Hide - Control'!A$3,'All practice data'!A:CA,C22+52,FALSE)=0)," n/a",+((2*G22+1.96^2-1.96*SQRT(1.96^2+4*G22*(1-G22/(VLOOKUP('Hide - Control'!A$3,'All practice data'!A:CA,C22+52,FALSE)))))/(2*(((VLOOKUP('Hide - Control'!A$3,'All practice data'!A:CA,C22+52,FALSE)))+1.96^2))))</f>
        <v>0.2111644774156582</v>
      </c>
      <c r="J22" s="196">
        <f>IF(OR(LEFT(H22,1)=" ",VLOOKUP('Hide - Control'!A$3,'All practice data'!A:CA,C22+52,FALSE)=0)," n/a",+((2*G22+1.96^2+1.96*SQRT(1.96^2+4*G22*(1-G22/(VLOOKUP('Hide - Control'!A$3,'All practice data'!A:CA,C22+52,FALSE)))))/(2*((VLOOKUP('Hide - Control'!A$3,'All practice data'!A:CA,C22+52,FALSE))+1.96^2))))</f>
        <v>0.530523619571851</v>
      </c>
      <c r="K22" s="223">
        <f>IF('Hide - Calculation'!N16="","",'Hide - Calculation'!N16)</f>
        <v>0.4377648495295554</v>
      </c>
      <c r="L22" s="197">
        <f>'Hide - Calculation'!O16</f>
        <v>0.5752927626212945</v>
      </c>
      <c r="M22" s="198">
        <f>IF(ISBLANK('Hide - Calculation'!K16),"",'Hide - Calculation'!U16)</f>
        <v>0.23999999463558197</v>
      </c>
      <c r="N22" s="199"/>
      <c r="O22" s="91"/>
      <c r="P22" s="91"/>
      <c r="Q22" s="91"/>
      <c r="R22" s="91"/>
      <c r="S22" s="91"/>
      <c r="T22" s="91"/>
      <c r="U22" s="91"/>
      <c r="V22" s="91"/>
      <c r="W22" s="91"/>
      <c r="X22" s="91"/>
      <c r="Y22" s="91"/>
      <c r="Z22" s="188"/>
      <c r="AA22" s="198">
        <f>IF(ISBLANK('Hide - Calculation'!K16),"",'Hide - Calculation'!T16)</f>
        <v>0.6206899881362915</v>
      </c>
      <c r="AB22" s="235" t="s">
        <v>48</v>
      </c>
      <c r="AC22" s="189" t="s">
        <v>545</v>
      </c>
    </row>
    <row r="23" spans="2:29" s="63" customFormat="1" ht="33.75" customHeight="1">
      <c r="B23" s="308" t="s">
        <v>363</v>
      </c>
      <c r="C23" s="163">
        <v>11</v>
      </c>
      <c r="D23" s="179" t="s">
        <v>375</v>
      </c>
      <c r="E23" s="165"/>
      <c r="F23" s="165"/>
      <c r="G23" s="118" t="str">
        <f>IF(VLOOKUP('Hide - Control'!A$3,'All practice data'!A:CA,C23+4,FALSE)=" "," ",VLOOKUP('Hide - Control'!A$3,'All practice data'!A:CA,C23+4,FALSE))</f>
        <v> Removed</v>
      </c>
      <c r="H23" s="216" t="str">
        <f>IF(VLOOKUP('Hide - Control'!A$3,'All practice data'!A:CA,C23+30,FALSE)=" "," ",VLOOKUP('Hide - Control'!A$3,'All practice data'!A:CA,C23+30,FALSE))</f>
        <v> Removed</v>
      </c>
      <c r="I23" s="215" t="str">
        <f>IF(LEFT(G23,1)=" "," n/a",IF(G23&lt;5,100000*VLOOKUP(G23,'Hide - Calculation'!AQ:AR,2,FALSE)/$E$8,100000*(G23*(1-1/(9*G23)-1.96/(3*SQRT(G23)))^3)/$E$8))</f>
        <v> n/a</v>
      </c>
      <c r="J23" s="215" t="str">
        <f>IF(LEFT(G23,1)=" "," n/a",IF(G23&lt;5,100000*VLOOKUP(G23,'Hide - Calculation'!AQ:AS,3,FALSE)/$E$8,100000*((G23+1)*(1-1/(9*(G23+1))+1.96/(3*SQRT(G23+1)))^3)/$E$8))</f>
        <v> n/a</v>
      </c>
      <c r="K23" s="216">
        <f>IF('Hide - Calculation'!N17="","",'Hide - Calculation'!N17)</f>
        <v>1000.6420394932586</v>
      </c>
      <c r="L23" s="217">
        <f>'Hide - Calculation'!O17</f>
        <v>1812.1669120472948</v>
      </c>
      <c r="M23" s="170">
        <f>IF(ISBLANK('Hide - Calculation'!K17),"",'Hide - Calculation'!U17)</f>
        <v>233.281494140625</v>
      </c>
      <c r="N23" s="171"/>
      <c r="O23" s="172"/>
      <c r="P23" s="172"/>
      <c r="Q23" s="172"/>
      <c r="R23" s="173"/>
      <c r="S23" s="173"/>
      <c r="T23" s="173"/>
      <c r="U23" s="173"/>
      <c r="V23" s="173"/>
      <c r="W23" s="173"/>
      <c r="X23" s="173"/>
      <c r="Y23" s="173"/>
      <c r="Z23" s="174"/>
      <c r="AA23" s="170">
        <f>IF(ISBLANK('Hide - Calculation'!K17),"",'Hide - Calculation'!T17)</f>
        <v>3276.209716796875</v>
      </c>
      <c r="AB23" s="233" t="s">
        <v>26</v>
      </c>
      <c r="AC23" s="175" t="s">
        <v>545</v>
      </c>
    </row>
    <row r="24" spans="2:29" s="63" customFormat="1" ht="33.75" customHeight="1">
      <c r="B24" s="306"/>
      <c r="C24" s="137">
        <v>12</v>
      </c>
      <c r="D24" s="147" t="s">
        <v>531</v>
      </c>
      <c r="E24" s="85"/>
      <c r="F24" s="85"/>
      <c r="G24" s="118" t="str">
        <f>IF(VLOOKUP('Hide - Control'!A$3,'All practice data'!A:CA,C24+4,FALSE)=" "," ",VLOOKUP('Hide - Control'!A$3,'All practice data'!A:CA,C24+4,FALSE))</f>
        <v> Removed</v>
      </c>
      <c r="H24" s="119" t="str">
        <f>IF(VLOOKUP('Hide - Control'!A$3,'All practice data'!A:CA,C24+30,FALSE)=" "," ",VLOOKUP('Hide - Control'!A$3,'All practice data'!A:CA,C24+30,FALSE))</f>
        <v> Removed</v>
      </c>
      <c r="I24" s="212" t="str">
        <f>IF(LEFT(VLOOKUP('Hide - Control'!A$3,'All practice data'!A:CA,C24+44,FALSE),1)=" "," n/a",VLOOKUP('Hide - Control'!A$3,'All practice data'!A:CA,C24+44,FALSE))</f>
        <v> n/a</v>
      </c>
      <c r="J24" s="212" t="str">
        <f>IF(LEFT(VLOOKUP('Hide - Control'!A$3,'All practice data'!A:CA,C24+45,FALSE),1)=" "," n/a",VLOOKUP('Hide - Control'!A$3,'All practice data'!A:CA,C24+45,FALSE))</f>
        <v> n/a</v>
      </c>
      <c r="K24" s="152" t="s">
        <v>633</v>
      </c>
      <c r="L24" s="213">
        <v>1</v>
      </c>
      <c r="M24" s="152">
        <f>IF(ISBLANK('Hide - Calculation'!K18),"",'Hide - Calculation'!U18)</f>
        <v>0.17238208651542664</v>
      </c>
      <c r="N24" s="86"/>
      <c r="O24" s="87"/>
      <c r="P24" s="87"/>
      <c r="Q24" s="87"/>
      <c r="R24" s="84"/>
      <c r="S24" s="84"/>
      <c r="T24" s="84"/>
      <c r="U24" s="84"/>
      <c r="V24" s="84"/>
      <c r="W24" s="84"/>
      <c r="X24" s="84"/>
      <c r="Y24" s="84"/>
      <c r="Z24" s="88"/>
      <c r="AA24" s="152">
        <f>IF(ISBLANK('Hide - Calculation'!K18),"",'Hide - Calculation'!T18)</f>
        <v>2.025585174560547</v>
      </c>
      <c r="AB24" s="234" t="s">
        <v>26</v>
      </c>
      <c r="AC24" s="131" t="s">
        <v>545</v>
      </c>
    </row>
    <row r="25" spans="2:29" s="63" customFormat="1" ht="33.75" customHeight="1">
      <c r="B25" s="306"/>
      <c r="C25" s="137">
        <v>13</v>
      </c>
      <c r="D25" s="147" t="s">
        <v>370</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0.08450704225352113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0.3888888955116272</v>
      </c>
      <c r="AB25" s="234" t="s">
        <v>26</v>
      </c>
      <c r="AC25" s="131" t="s">
        <v>545</v>
      </c>
    </row>
    <row r="26" spans="2:29" s="63" customFormat="1" ht="33.75" customHeight="1">
      <c r="B26" s="306"/>
      <c r="C26" s="137">
        <v>14</v>
      </c>
      <c r="D26" s="147" t="s">
        <v>514</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0.3192118226600985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0.7272727489471436</v>
      </c>
      <c r="AB26" s="234" t="s">
        <v>26</v>
      </c>
      <c r="AC26" s="131" t="s">
        <v>545</v>
      </c>
    </row>
    <row r="27" spans="2:29" s="63" customFormat="1" ht="33.75" customHeight="1">
      <c r="B27" s="306"/>
      <c r="C27" s="137">
        <v>15</v>
      </c>
      <c r="D27" s="147" t="s">
        <v>501</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272.4752971390094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957.6613159179688</v>
      </c>
      <c r="AB27" s="234" t="s">
        <v>26</v>
      </c>
      <c r="AC27" s="131" t="s">
        <v>545</v>
      </c>
    </row>
    <row r="28" spans="2:29" s="63" customFormat="1" ht="33.75" customHeight="1">
      <c r="B28" s="306"/>
      <c r="C28" s="137">
        <v>16</v>
      </c>
      <c r="D28" s="147" t="s">
        <v>502</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180.34523977304164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612.8334350585938</v>
      </c>
      <c r="AB28" s="234" t="s">
        <v>26</v>
      </c>
      <c r="AC28" s="131" t="s">
        <v>545</v>
      </c>
    </row>
    <row r="29" spans="2:29" s="63" customFormat="1" ht="33.75" customHeight="1">
      <c r="B29" s="306"/>
      <c r="C29" s="137">
        <v>17</v>
      </c>
      <c r="D29" s="147" t="s">
        <v>503</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32.88494965470803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149.75233459472656</v>
      </c>
      <c r="AB29" s="234" t="s">
        <v>26</v>
      </c>
      <c r="AC29" s="131" t="s">
        <v>545</v>
      </c>
    </row>
    <row r="30" spans="2:29" s="63" customFormat="1" ht="33.75" customHeight="1" thickBot="1">
      <c r="B30" s="309"/>
      <c r="C30" s="180">
        <v>18</v>
      </c>
      <c r="D30" s="181" t="s">
        <v>504</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70.46774926008864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742.1875</v>
      </c>
      <c r="AB30" s="235" t="s">
        <v>26</v>
      </c>
      <c r="AC30" s="189" t="s">
        <v>545</v>
      </c>
    </row>
    <row r="31" spans="2:29" s="63" customFormat="1" ht="33.75" customHeight="1">
      <c r="B31" s="304" t="s">
        <v>372</v>
      </c>
      <c r="C31" s="163">
        <v>19</v>
      </c>
      <c r="D31" s="164" t="s">
        <v>376</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530.3350610981486</v>
      </c>
      <c r="L31" s="169">
        <f>'Hide - Calculation'!O25</f>
        <v>562.6134400960308</v>
      </c>
      <c r="M31" s="170">
        <f>IF(ISBLANK('Hide - Calculation'!K25),"",'Hide - Calculation'!U25)</f>
        <v>182.31539916992188</v>
      </c>
      <c r="N31" s="171"/>
      <c r="O31" s="172"/>
      <c r="P31" s="172"/>
      <c r="Q31" s="172"/>
      <c r="R31" s="173"/>
      <c r="S31" s="173"/>
      <c r="T31" s="173"/>
      <c r="U31" s="173"/>
      <c r="V31" s="173"/>
      <c r="W31" s="173"/>
      <c r="X31" s="173"/>
      <c r="Y31" s="173"/>
      <c r="Z31" s="174"/>
      <c r="AA31" s="170">
        <f>IF(ISBLANK('Hide - Calculation'!K25),"",'Hide - Calculation'!T25)</f>
        <v>965.3200073242188</v>
      </c>
      <c r="AB31" s="233" t="s">
        <v>47</v>
      </c>
      <c r="AC31" s="175" t="s">
        <v>545</v>
      </c>
    </row>
    <row r="32" spans="2:29" s="63" customFormat="1" ht="33.75" customHeight="1">
      <c r="B32" s="305"/>
      <c r="C32" s="137">
        <v>20</v>
      </c>
      <c r="D32" s="132" t="s">
        <v>377</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296.747521884151</v>
      </c>
      <c r="L32" s="156">
        <f>'Hide - Calculation'!O26</f>
        <v>405.57105879375996</v>
      </c>
      <c r="M32" s="148">
        <f>IF(ISBLANK('Hide - Calculation'!K26),"",'Hide - Calculation'!U26)</f>
        <v>90.7132339477539</v>
      </c>
      <c r="N32" s="86"/>
      <c r="O32" s="87"/>
      <c r="P32" s="87"/>
      <c r="Q32" s="87"/>
      <c r="R32" s="84"/>
      <c r="S32" s="84"/>
      <c r="T32" s="84"/>
      <c r="U32" s="84"/>
      <c r="V32" s="84"/>
      <c r="W32" s="84"/>
      <c r="X32" s="84"/>
      <c r="Y32" s="84"/>
      <c r="Z32" s="88"/>
      <c r="AA32" s="148">
        <f>IF(ISBLANK('Hide - Calculation'!K26),"",'Hide - Calculation'!T26)</f>
        <v>914.0767822265625</v>
      </c>
      <c r="AB32" s="234" t="s">
        <v>47</v>
      </c>
      <c r="AC32" s="131" t="s">
        <v>545</v>
      </c>
    </row>
    <row r="33" spans="2:29" s="63" customFormat="1" ht="33.75" customHeight="1">
      <c r="B33" s="305"/>
      <c r="C33" s="137">
        <v>21</v>
      </c>
      <c r="D33" s="132" t="s">
        <v>379</v>
      </c>
      <c r="E33" s="85"/>
      <c r="F33" s="85"/>
      <c r="G33" s="121" t="str">
        <f>IF(VLOOKUP('Hide - Control'!A$3,'All practice data'!A:CA,C33+4,FALSE)=" "," ",VLOOKUP('Hide - Control'!A$3,'All practice data'!A:CA,C33+4,FALSE))</f>
        <v> Removed</v>
      </c>
      <c r="H33" s="122" t="str">
        <f>IF(VLOOKUP('Hide - Control'!A$3,'All practice data'!A:CA,C33+30,FALSE)=" "," ",VLOOKUP('Hide - Control'!A$3,'All practice data'!A:CA,C33+30,FALSE))</f>
        <v> Removed</v>
      </c>
      <c r="I33" s="123" t="str">
        <f>IF(LEFT(G33,1)=" "," n/a",IF(G33&lt;5,100000*VLOOKUP(G33,'Hide - Calculation'!AQ:AR,2,FALSE)/$E$8,100000*(G33*(1-1/(9*G33)-1.96/(3*SQRT(G33)))^3)/$E$8))</f>
        <v> n/a</v>
      </c>
      <c r="J33" s="123" t="str">
        <f>IF(LEFT(G33,1)=" "," n/a",IF(G33&lt;5,100000*VLOOKUP(G33,'Hide - Calculation'!AQ:AS,3,FALSE)/$E$8,100000*((G33+1)*(1-1/(9*(G33+1))+1.96/(3*SQRT(G33+1)))^3)/$E$8))</f>
        <v> n/a</v>
      </c>
      <c r="K33" s="122">
        <f>IF('Hide - Calculation'!N27="","",'Hide - Calculation'!N27)</f>
        <v>941.9189151098514</v>
      </c>
      <c r="L33" s="156">
        <f>'Hide - Calculation'!O27</f>
        <v>1059.3522061277838</v>
      </c>
      <c r="M33" s="148">
        <f>IF(ISBLANK('Hide - Calculation'!K27),"",'Hide - Calculation'!U27)</f>
        <v>341.4263916015625</v>
      </c>
      <c r="N33" s="86"/>
      <c r="O33" s="87"/>
      <c r="P33" s="87"/>
      <c r="Q33" s="87"/>
      <c r="R33" s="84"/>
      <c r="S33" s="84"/>
      <c r="T33" s="84"/>
      <c r="U33" s="84"/>
      <c r="V33" s="84"/>
      <c r="W33" s="84"/>
      <c r="X33" s="84"/>
      <c r="Y33" s="84"/>
      <c r="Z33" s="88"/>
      <c r="AA33" s="148">
        <f>IF(ISBLANK('Hide - Calculation'!K27),"",'Hide - Calculation'!T27)</f>
        <v>1992.2523193359375</v>
      </c>
      <c r="AB33" s="234" t="s">
        <v>47</v>
      </c>
      <c r="AC33" s="131" t="s">
        <v>545</v>
      </c>
    </row>
    <row r="34" spans="2:29" s="63" customFormat="1" ht="33.75" customHeight="1">
      <c r="B34" s="305"/>
      <c r="C34" s="137">
        <v>22</v>
      </c>
      <c r="D34" s="132" t="s">
        <v>378</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423.8504622162368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1002.3388061523438</v>
      </c>
      <c r="AB34" s="234" t="s">
        <v>47</v>
      </c>
      <c r="AC34" s="131" t="s">
        <v>545</v>
      </c>
    </row>
    <row r="35" spans="2:29" s="63" customFormat="1" ht="33.75" customHeight="1">
      <c r="B35" s="305"/>
      <c r="C35" s="137">
        <v>23</v>
      </c>
      <c r="D35" s="138" t="s">
        <v>505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364</v>
      </c>
      <c r="AC35" s="131">
        <v>2008</v>
      </c>
    </row>
    <row r="36" spans="2:29" ht="33.75" customHeight="1">
      <c r="B36" s="306"/>
      <c r="C36" s="137">
        <v>24</v>
      </c>
      <c r="D36" s="224" t="s">
        <v>506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364</v>
      </c>
      <c r="AC36" s="131">
        <v>2008</v>
      </c>
    </row>
    <row r="37" spans="2:29" ht="33.75" customHeight="1" thickBot="1">
      <c r="B37" s="307"/>
      <c r="C37" s="176">
        <v>25</v>
      </c>
      <c r="D37" s="177" t="s">
        <v>380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364</v>
      </c>
      <c r="AC37" s="149">
        <v>2008</v>
      </c>
    </row>
    <row r="38" spans="2:29" ht="16.5" customHeight="1">
      <c r="B38" s="69"/>
      <c r="C38" s="69"/>
      <c r="D38" s="65" t="s">
        <v>362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632</v>
      </c>
      <c r="C39" s="244"/>
      <c r="D39" s="244"/>
      <c r="E39" s="303" t="s">
        <v>636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530</v>
      </c>
      <c r="BE2" s="341"/>
      <c r="BF2" s="341"/>
      <c r="BG2" s="341"/>
      <c r="BH2" s="341"/>
      <c r="BI2" s="341"/>
      <c r="BJ2" s="342"/>
    </row>
    <row r="3" spans="1:82" s="72" customFormat="1" ht="76.5" customHeight="1">
      <c r="A3" s="266" t="s">
        <v>276</v>
      </c>
      <c r="B3" s="275" t="s">
        <v>277</v>
      </c>
      <c r="C3" s="276" t="s">
        <v>49</v>
      </c>
      <c r="D3" s="274" t="s">
        <v>515</v>
      </c>
      <c r="E3" s="267" t="s">
        <v>387</v>
      </c>
      <c r="F3" s="267" t="s">
        <v>498</v>
      </c>
      <c r="G3" s="267" t="s">
        <v>389</v>
      </c>
      <c r="H3" s="267" t="s">
        <v>390</v>
      </c>
      <c r="I3" s="267" t="s">
        <v>391</v>
      </c>
      <c r="J3" s="267" t="s">
        <v>539</v>
      </c>
      <c r="K3" s="267" t="s">
        <v>540</v>
      </c>
      <c r="L3" s="267" t="s">
        <v>541</v>
      </c>
      <c r="M3" s="267" t="s">
        <v>392</v>
      </c>
      <c r="N3" s="267" t="s">
        <v>393</v>
      </c>
      <c r="O3" s="267" t="s">
        <v>394</v>
      </c>
      <c r="P3" s="267" t="s">
        <v>529</v>
      </c>
      <c r="Q3" s="267" t="s">
        <v>395</v>
      </c>
      <c r="R3" s="267" t="s">
        <v>396</v>
      </c>
      <c r="S3" s="267" t="s">
        <v>397</v>
      </c>
      <c r="T3" s="267" t="s">
        <v>398</v>
      </c>
      <c r="U3" s="267" t="s">
        <v>399</v>
      </c>
      <c r="V3" s="267" t="s">
        <v>400</v>
      </c>
      <c r="W3" s="267" t="s">
        <v>401</v>
      </c>
      <c r="X3" s="267" t="s">
        <v>402</v>
      </c>
      <c r="Y3" s="267" t="s">
        <v>403</v>
      </c>
      <c r="Z3" s="267" t="s">
        <v>404</v>
      </c>
      <c r="AA3" s="267" t="s">
        <v>405</v>
      </c>
      <c r="AB3" s="267" t="s">
        <v>406</v>
      </c>
      <c r="AC3" s="267" t="s">
        <v>407</v>
      </c>
      <c r="AD3" s="268" t="s">
        <v>408</v>
      </c>
      <c r="AE3" s="268" t="s">
        <v>387</v>
      </c>
      <c r="AF3" s="269" t="s">
        <v>388</v>
      </c>
      <c r="AG3" s="268" t="s">
        <v>389</v>
      </c>
      <c r="AH3" s="268" t="s">
        <v>390</v>
      </c>
      <c r="AI3" s="268" t="s">
        <v>391</v>
      </c>
      <c r="AJ3" s="268" t="s">
        <v>539</v>
      </c>
      <c r="AK3" s="268" t="s">
        <v>540</v>
      </c>
      <c r="AL3" s="268" t="s">
        <v>541</v>
      </c>
      <c r="AM3" s="268" t="s">
        <v>392</v>
      </c>
      <c r="AN3" s="268" t="s">
        <v>393</v>
      </c>
      <c r="AO3" s="268" t="s">
        <v>394</v>
      </c>
      <c r="AP3" s="268" t="s">
        <v>529</v>
      </c>
      <c r="AQ3" s="268" t="s">
        <v>395</v>
      </c>
      <c r="AR3" s="268" t="s">
        <v>396</v>
      </c>
      <c r="AS3" s="268" t="s">
        <v>397</v>
      </c>
      <c r="AT3" s="268" t="s">
        <v>398</v>
      </c>
      <c r="AU3" s="268" t="s">
        <v>399</v>
      </c>
      <c r="AV3" s="268" t="s">
        <v>400</v>
      </c>
      <c r="AW3" s="268" t="s">
        <v>401</v>
      </c>
      <c r="AX3" s="268" t="s">
        <v>402</v>
      </c>
      <c r="AY3" s="270" t="s">
        <v>403</v>
      </c>
      <c r="AZ3" s="271" t="s">
        <v>404</v>
      </c>
      <c r="BA3" s="271" t="s">
        <v>405</v>
      </c>
      <c r="BB3" s="271" t="s">
        <v>406</v>
      </c>
      <c r="BC3" s="272" t="s">
        <v>407</v>
      </c>
      <c r="BD3" s="273" t="s">
        <v>527</v>
      </c>
      <c r="BE3" s="273" t="s">
        <v>528</v>
      </c>
      <c r="BF3" s="273" t="s">
        <v>535</v>
      </c>
      <c r="BG3" s="273" t="s">
        <v>536</v>
      </c>
      <c r="BH3" s="273" t="s">
        <v>534</v>
      </c>
      <c r="BI3" s="273" t="s">
        <v>537</v>
      </c>
      <c r="BJ3" s="273" t="s">
        <v>538</v>
      </c>
      <c r="BK3" s="73"/>
      <c r="BL3" s="73"/>
      <c r="BM3" s="73"/>
      <c r="BN3" s="73"/>
      <c r="BO3" s="73"/>
      <c r="BP3" s="73"/>
      <c r="BQ3" s="73"/>
      <c r="BR3" s="73"/>
      <c r="BS3" s="73"/>
      <c r="BT3" s="73"/>
      <c r="BU3" s="73"/>
      <c r="BV3" s="73"/>
      <c r="BW3" s="73"/>
      <c r="BX3" s="73"/>
      <c r="BY3" s="73"/>
      <c r="BZ3" s="73"/>
      <c r="CA3" s="73"/>
      <c r="CB3" s="73"/>
      <c r="CC3" s="73"/>
      <c r="CD3" s="73"/>
    </row>
    <row r="4" spans="1:66" ht="12.75">
      <c r="A4" s="79" t="s">
        <v>610</v>
      </c>
      <c r="B4" s="79" t="s">
        <v>343</v>
      </c>
      <c r="C4" s="79" t="s">
        <v>107</v>
      </c>
      <c r="D4" s="99">
        <v>1036</v>
      </c>
      <c r="E4" s="99">
        <v>66</v>
      </c>
      <c r="F4" s="99" t="s">
        <v>382</v>
      </c>
      <c r="G4" s="99" t="s">
        <v>635</v>
      </c>
      <c r="H4" s="99" t="s">
        <v>635</v>
      </c>
      <c r="I4" s="99">
        <v>12</v>
      </c>
      <c r="J4" s="99">
        <v>41</v>
      </c>
      <c r="K4" s="99">
        <v>39</v>
      </c>
      <c r="L4" s="99">
        <v>167</v>
      </c>
      <c r="M4" s="99">
        <v>16</v>
      </c>
      <c r="N4" s="99">
        <v>11</v>
      </c>
      <c r="O4" s="99" t="s">
        <v>635</v>
      </c>
      <c r="P4" s="159" t="s">
        <v>635</v>
      </c>
      <c r="Q4" s="99" t="s">
        <v>635</v>
      </c>
      <c r="R4" s="99" t="s">
        <v>635</v>
      </c>
      <c r="S4" s="99" t="s">
        <v>635</v>
      </c>
      <c r="T4" s="99" t="s">
        <v>635</v>
      </c>
      <c r="U4" s="99" t="s">
        <v>635</v>
      </c>
      <c r="V4" s="99" t="s">
        <v>635</v>
      </c>
      <c r="W4" s="99" t="s">
        <v>635</v>
      </c>
      <c r="X4" s="99" t="s">
        <v>635</v>
      </c>
      <c r="Y4" s="99" t="s">
        <v>635</v>
      </c>
      <c r="Z4" s="99" t="s">
        <v>635</v>
      </c>
      <c r="AA4" s="99" t="s">
        <v>635</v>
      </c>
      <c r="AB4" s="99" t="s">
        <v>635</v>
      </c>
      <c r="AC4" s="99" t="s">
        <v>635</v>
      </c>
      <c r="AD4" s="98" t="s">
        <v>362</v>
      </c>
      <c r="AE4" s="100">
        <v>0.0637065637065637</v>
      </c>
      <c r="AF4" s="100">
        <v>0.18</v>
      </c>
      <c r="AG4" s="98" t="s">
        <v>635</v>
      </c>
      <c r="AH4" s="98" t="s">
        <v>635</v>
      </c>
      <c r="AI4" s="100">
        <v>0.012</v>
      </c>
      <c r="AJ4" s="100">
        <v>0.5125</v>
      </c>
      <c r="AK4" s="100">
        <v>0.506494</v>
      </c>
      <c r="AL4" s="100">
        <v>0.498507</v>
      </c>
      <c r="AM4" s="100">
        <v>0.271186</v>
      </c>
      <c r="AN4" s="100">
        <v>0.354839</v>
      </c>
      <c r="AO4" s="98" t="s">
        <v>635</v>
      </c>
      <c r="AP4" s="158" t="s">
        <v>635</v>
      </c>
      <c r="AQ4" s="100" t="s">
        <v>635</v>
      </c>
      <c r="AR4" s="100" t="s">
        <v>635</v>
      </c>
      <c r="AS4" s="98" t="s">
        <v>635</v>
      </c>
      <c r="AT4" s="98" t="s">
        <v>635</v>
      </c>
      <c r="AU4" s="98" t="s">
        <v>635</v>
      </c>
      <c r="AV4" s="98" t="s">
        <v>635</v>
      </c>
      <c r="AW4" s="98" t="s">
        <v>635</v>
      </c>
      <c r="AX4" s="98" t="s">
        <v>635</v>
      </c>
      <c r="AY4" s="98" t="s">
        <v>635</v>
      </c>
      <c r="AZ4" s="98" t="s">
        <v>635</v>
      </c>
      <c r="BA4" s="100" t="s">
        <v>635</v>
      </c>
      <c r="BB4" s="100" t="s">
        <v>635</v>
      </c>
      <c r="BC4" s="100" t="s">
        <v>635</v>
      </c>
      <c r="BD4" s="158" t="s">
        <v>635</v>
      </c>
      <c r="BE4" s="158" t="s">
        <v>635</v>
      </c>
      <c r="BF4" s="162">
        <v>80</v>
      </c>
      <c r="BG4" s="162">
        <v>77</v>
      </c>
      <c r="BH4" s="162">
        <v>335</v>
      </c>
      <c r="BI4" s="162">
        <v>59</v>
      </c>
      <c r="BJ4" s="162">
        <v>31</v>
      </c>
      <c r="BK4" s="97"/>
      <c r="BL4" s="97"/>
      <c r="BM4" s="97"/>
      <c r="BN4" s="97"/>
    </row>
    <row r="5" spans="1:66" ht="12.75">
      <c r="A5" s="79" t="s">
        <v>595</v>
      </c>
      <c r="B5" s="79" t="s">
        <v>328</v>
      </c>
      <c r="C5" s="79" t="s">
        <v>107</v>
      </c>
      <c r="D5" s="99">
        <v>2636</v>
      </c>
      <c r="E5" s="99">
        <v>180</v>
      </c>
      <c r="F5" s="99" t="s">
        <v>385</v>
      </c>
      <c r="G5" s="99" t="s">
        <v>635</v>
      </c>
      <c r="H5" s="99" t="s">
        <v>635</v>
      </c>
      <c r="I5" s="99">
        <v>40</v>
      </c>
      <c r="J5" s="99">
        <v>71</v>
      </c>
      <c r="K5" s="99" t="s">
        <v>635</v>
      </c>
      <c r="L5" s="99">
        <v>363</v>
      </c>
      <c r="M5" s="99">
        <v>65</v>
      </c>
      <c r="N5" s="99">
        <v>36</v>
      </c>
      <c r="O5" s="99" t="s">
        <v>635</v>
      </c>
      <c r="P5" s="159" t="s">
        <v>635</v>
      </c>
      <c r="Q5" s="99" t="s">
        <v>635</v>
      </c>
      <c r="R5" s="99" t="s">
        <v>635</v>
      </c>
      <c r="S5" s="99" t="s">
        <v>635</v>
      </c>
      <c r="T5" s="99" t="s">
        <v>635</v>
      </c>
      <c r="U5" s="99" t="s">
        <v>635</v>
      </c>
      <c r="V5" s="99" t="s">
        <v>635</v>
      </c>
      <c r="W5" s="99">
        <v>10</v>
      </c>
      <c r="X5" s="99" t="s">
        <v>635</v>
      </c>
      <c r="Y5" s="99">
        <v>9</v>
      </c>
      <c r="Z5" s="99">
        <v>6</v>
      </c>
      <c r="AA5" s="99" t="s">
        <v>635</v>
      </c>
      <c r="AB5" s="99" t="s">
        <v>635</v>
      </c>
      <c r="AC5" s="99" t="s">
        <v>635</v>
      </c>
      <c r="AD5" s="98" t="s">
        <v>362</v>
      </c>
      <c r="AE5" s="100">
        <v>0.06828528072837632</v>
      </c>
      <c r="AF5" s="100">
        <v>0.16</v>
      </c>
      <c r="AG5" s="98" t="s">
        <v>635</v>
      </c>
      <c r="AH5" s="98" t="s">
        <v>635</v>
      </c>
      <c r="AI5" s="100">
        <v>0.015</v>
      </c>
      <c r="AJ5" s="100">
        <v>0.473333</v>
      </c>
      <c r="AK5" s="100" t="s">
        <v>635</v>
      </c>
      <c r="AL5" s="100">
        <v>0.475131</v>
      </c>
      <c r="AM5" s="100">
        <v>0.436242</v>
      </c>
      <c r="AN5" s="100">
        <v>0.514286</v>
      </c>
      <c r="AO5" s="98" t="s">
        <v>635</v>
      </c>
      <c r="AP5" s="158" t="s">
        <v>635</v>
      </c>
      <c r="AQ5" s="100" t="s">
        <v>635</v>
      </c>
      <c r="AR5" s="100" t="s">
        <v>635</v>
      </c>
      <c r="AS5" s="98" t="s">
        <v>635</v>
      </c>
      <c r="AT5" s="98" t="s">
        <v>635</v>
      </c>
      <c r="AU5" s="98" t="s">
        <v>635</v>
      </c>
      <c r="AV5" s="98" t="s">
        <v>635</v>
      </c>
      <c r="AW5" s="98">
        <v>379.3626707132018</v>
      </c>
      <c r="AX5" s="98" t="s">
        <v>635</v>
      </c>
      <c r="AY5" s="98">
        <v>341.4264036418816</v>
      </c>
      <c r="AZ5" s="98">
        <v>227.6176024279211</v>
      </c>
      <c r="BA5" s="100" t="s">
        <v>635</v>
      </c>
      <c r="BB5" s="100" t="s">
        <v>635</v>
      </c>
      <c r="BC5" s="100" t="s">
        <v>635</v>
      </c>
      <c r="BD5" s="158" t="s">
        <v>635</v>
      </c>
      <c r="BE5" s="158" t="s">
        <v>635</v>
      </c>
      <c r="BF5" s="162">
        <v>150</v>
      </c>
      <c r="BG5" s="162" t="s">
        <v>635</v>
      </c>
      <c r="BH5" s="162">
        <v>764</v>
      </c>
      <c r="BI5" s="162">
        <v>149</v>
      </c>
      <c r="BJ5" s="162">
        <v>70</v>
      </c>
      <c r="BK5" s="97"/>
      <c r="BL5" s="97"/>
      <c r="BM5" s="97"/>
      <c r="BN5" s="97"/>
    </row>
    <row r="6" spans="1:66" ht="12.75">
      <c r="A6" s="79" t="s">
        <v>580</v>
      </c>
      <c r="B6" s="79" t="s">
        <v>313</v>
      </c>
      <c r="C6" s="79" t="s">
        <v>107</v>
      </c>
      <c r="D6" s="99">
        <v>2084</v>
      </c>
      <c r="E6" s="99">
        <v>259</v>
      </c>
      <c r="F6" s="99" t="s">
        <v>382</v>
      </c>
      <c r="G6" s="99">
        <v>6</v>
      </c>
      <c r="H6" s="99" t="s">
        <v>635</v>
      </c>
      <c r="I6" s="99">
        <v>31</v>
      </c>
      <c r="J6" s="99">
        <v>127</v>
      </c>
      <c r="K6" s="99">
        <v>12</v>
      </c>
      <c r="L6" s="99">
        <v>315</v>
      </c>
      <c r="M6" s="99">
        <v>63</v>
      </c>
      <c r="N6" s="99">
        <v>33</v>
      </c>
      <c r="O6" s="99">
        <v>12</v>
      </c>
      <c r="P6" s="159">
        <v>12</v>
      </c>
      <c r="Q6" s="99" t="s">
        <v>635</v>
      </c>
      <c r="R6" s="99">
        <v>9</v>
      </c>
      <c r="S6" s="99" t="s">
        <v>635</v>
      </c>
      <c r="T6" s="99" t="s">
        <v>635</v>
      </c>
      <c r="U6" s="99" t="s">
        <v>635</v>
      </c>
      <c r="V6" s="99" t="s">
        <v>635</v>
      </c>
      <c r="W6" s="99">
        <v>8</v>
      </c>
      <c r="X6" s="99">
        <v>8</v>
      </c>
      <c r="Y6" s="99">
        <v>21</v>
      </c>
      <c r="Z6" s="99">
        <v>12</v>
      </c>
      <c r="AA6" s="99" t="s">
        <v>635</v>
      </c>
      <c r="AB6" s="99" t="s">
        <v>635</v>
      </c>
      <c r="AC6" s="99" t="s">
        <v>635</v>
      </c>
      <c r="AD6" s="98" t="s">
        <v>362</v>
      </c>
      <c r="AE6" s="100">
        <v>0.12428023032629558</v>
      </c>
      <c r="AF6" s="100">
        <v>0.21</v>
      </c>
      <c r="AG6" s="98">
        <v>287.90786948176583</v>
      </c>
      <c r="AH6" s="98" t="s">
        <v>635</v>
      </c>
      <c r="AI6" s="100">
        <v>0.015</v>
      </c>
      <c r="AJ6" s="100">
        <v>0.601896</v>
      </c>
      <c r="AK6" s="100">
        <v>0.521739</v>
      </c>
      <c r="AL6" s="100">
        <v>0.577982</v>
      </c>
      <c r="AM6" s="100">
        <v>0.388889</v>
      </c>
      <c r="AN6" s="100">
        <v>0.39759</v>
      </c>
      <c r="AO6" s="98">
        <v>575.8157389635317</v>
      </c>
      <c r="AP6" s="158">
        <v>0.3579718781</v>
      </c>
      <c r="AQ6" s="100" t="s">
        <v>635</v>
      </c>
      <c r="AR6" s="100" t="s">
        <v>635</v>
      </c>
      <c r="AS6" s="98" t="s">
        <v>635</v>
      </c>
      <c r="AT6" s="98" t="s">
        <v>635</v>
      </c>
      <c r="AU6" s="98" t="s">
        <v>635</v>
      </c>
      <c r="AV6" s="98" t="s">
        <v>635</v>
      </c>
      <c r="AW6" s="98">
        <v>383.8771593090211</v>
      </c>
      <c r="AX6" s="98">
        <v>383.8771593090211</v>
      </c>
      <c r="AY6" s="98">
        <v>1007.6775431861804</v>
      </c>
      <c r="AZ6" s="98">
        <v>575.8157389635317</v>
      </c>
      <c r="BA6" s="100" t="s">
        <v>635</v>
      </c>
      <c r="BB6" s="100" t="s">
        <v>635</v>
      </c>
      <c r="BC6" s="100" t="s">
        <v>635</v>
      </c>
      <c r="BD6" s="158">
        <v>0.1849692917</v>
      </c>
      <c r="BE6" s="158">
        <v>0.6253048325</v>
      </c>
      <c r="BF6" s="162">
        <v>211</v>
      </c>
      <c r="BG6" s="162">
        <v>23</v>
      </c>
      <c r="BH6" s="162">
        <v>545</v>
      </c>
      <c r="BI6" s="162">
        <v>162</v>
      </c>
      <c r="BJ6" s="162">
        <v>83</v>
      </c>
      <c r="BK6" s="97"/>
      <c r="BL6" s="97"/>
      <c r="BM6" s="97"/>
      <c r="BN6" s="97"/>
    </row>
    <row r="7" spans="1:66" ht="12.75">
      <c r="A7" s="79" t="s">
        <v>561</v>
      </c>
      <c r="B7" s="79" t="s">
        <v>544</v>
      </c>
      <c r="C7" s="79" t="s">
        <v>107</v>
      </c>
      <c r="D7" s="99">
        <v>4534</v>
      </c>
      <c r="E7" s="99">
        <v>331</v>
      </c>
      <c r="F7" s="99" t="s">
        <v>383</v>
      </c>
      <c r="G7" s="99" t="s">
        <v>635</v>
      </c>
      <c r="H7" s="99">
        <v>7</v>
      </c>
      <c r="I7" s="99">
        <v>22</v>
      </c>
      <c r="J7" s="99">
        <v>158</v>
      </c>
      <c r="K7" s="99">
        <v>13</v>
      </c>
      <c r="L7" s="99">
        <v>620</v>
      </c>
      <c r="M7" s="99">
        <v>74</v>
      </c>
      <c r="N7" s="99">
        <v>37</v>
      </c>
      <c r="O7" s="99">
        <v>26</v>
      </c>
      <c r="P7" s="159">
        <v>26</v>
      </c>
      <c r="Q7" s="99" t="s">
        <v>635</v>
      </c>
      <c r="R7" s="99">
        <v>6</v>
      </c>
      <c r="S7" s="99">
        <v>11</v>
      </c>
      <c r="T7" s="99">
        <v>6</v>
      </c>
      <c r="U7" s="99" t="s">
        <v>635</v>
      </c>
      <c r="V7" s="99" t="s">
        <v>635</v>
      </c>
      <c r="W7" s="99">
        <v>15</v>
      </c>
      <c r="X7" s="99">
        <v>6</v>
      </c>
      <c r="Y7" s="99">
        <v>28</v>
      </c>
      <c r="Z7" s="99">
        <v>17</v>
      </c>
      <c r="AA7" s="99" t="s">
        <v>635</v>
      </c>
      <c r="AB7" s="99" t="s">
        <v>635</v>
      </c>
      <c r="AC7" s="99" t="s">
        <v>635</v>
      </c>
      <c r="AD7" s="98" t="s">
        <v>362</v>
      </c>
      <c r="AE7" s="100">
        <v>0.07300397000441111</v>
      </c>
      <c r="AF7" s="100">
        <v>0.27</v>
      </c>
      <c r="AG7" s="98" t="s">
        <v>635</v>
      </c>
      <c r="AH7" s="98">
        <v>154.38906043228937</v>
      </c>
      <c r="AI7" s="100">
        <v>0.005</v>
      </c>
      <c r="AJ7" s="100">
        <v>0.548611</v>
      </c>
      <c r="AK7" s="100">
        <v>0.541667</v>
      </c>
      <c r="AL7" s="100">
        <v>0.584906</v>
      </c>
      <c r="AM7" s="100">
        <v>0.33945</v>
      </c>
      <c r="AN7" s="100">
        <v>0.33945</v>
      </c>
      <c r="AO7" s="98">
        <v>573.4450816056462</v>
      </c>
      <c r="AP7" s="158">
        <v>0.47258724209999997</v>
      </c>
      <c r="AQ7" s="100" t="s">
        <v>635</v>
      </c>
      <c r="AR7" s="100" t="s">
        <v>635</v>
      </c>
      <c r="AS7" s="98">
        <v>242.61138067931188</v>
      </c>
      <c r="AT7" s="98">
        <v>132.33348037053375</v>
      </c>
      <c r="AU7" s="98" t="s">
        <v>635</v>
      </c>
      <c r="AV7" s="98" t="s">
        <v>635</v>
      </c>
      <c r="AW7" s="98">
        <v>330.83370092633436</v>
      </c>
      <c r="AX7" s="98">
        <v>132.33348037053375</v>
      </c>
      <c r="AY7" s="98">
        <v>617.5562417291575</v>
      </c>
      <c r="AZ7" s="98">
        <v>374.9448610498456</v>
      </c>
      <c r="BA7" s="100" t="s">
        <v>635</v>
      </c>
      <c r="BB7" s="100" t="s">
        <v>635</v>
      </c>
      <c r="BC7" s="100" t="s">
        <v>635</v>
      </c>
      <c r="BD7" s="158">
        <v>0.3087096596</v>
      </c>
      <c r="BE7" s="158">
        <v>0.6924497986</v>
      </c>
      <c r="BF7" s="162">
        <v>288</v>
      </c>
      <c r="BG7" s="162">
        <v>24</v>
      </c>
      <c r="BH7" s="162">
        <v>1060</v>
      </c>
      <c r="BI7" s="162">
        <v>218</v>
      </c>
      <c r="BJ7" s="162">
        <v>109</v>
      </c>
      <c r="BK7" s="97"/>
      <c r="BL7" s="97"/>
      <c r="BM7" s="97"/>
      <c r="BN7" s="97"/>
    </row>
    <row r="8" spans="1:66" ht="12.75">
      <c r="A8" s="79" t="s">
        <v>615</v>
      </c>
      <c r="B8" s="79" t="s">
        <v>348</v>
      </c>
      <c r="C8" s="79" t="s">
        <v>107</v>
      </c>
      <c r="D8" s="99">
        <v>2990</v>
      </c>
      <c r="E8" s="99">
        <v>314</v>
      </c>
      <c r="F8" s="99" t="s">
        <v>383</v>
      </c>
      <c r="G8" s="99">
        <v>6</v>
      </c>
      <c r="H8" s="99">
        <v>7</v>
      </c>
      <c r="I8" s="99">
        <v>19</v>
      </c>
      <c r="J8" s="99">
        <v>149</v>
      </c>
      <c r="K8" s="99">
        <v>109</v>
      </c>
      <c r="L8" s="99">
        <v>552</v>
      </c>
      <c r="M8" s="99">
        <v>71</v>
      </c>
      <c r="N8" s="99">
        <v>41</v>
      </c>
      <c r="O8" s="99">
        <v>35</v>
      </c>
      <c r="P8" s="159">
        <v>35</v>
      </c>
      <c r="Q8" s="99" t="s">
        <v>635</v>
      </c>
      <c r="R8" s="99" t="s">
        <v>635</v>
      </c>
      <c r="S8" s="99">
        <v>9</v>
      </c>
      <c r="T8" s="99" t="s">
        <v>635</v>
      </c>
      <c r="U8" s="99" t="s">
        <v>635</v>
      </c>
      <c r="V8" s="99" t="s">
        <v>635</v>
      </c>
      <c r="W8" s="99">
        <v>10</v>
      </c>
      <c r="X8" s="99">
        <v>8</v>
      </c>
      <c r="Y8" s="99">
        <v>20</v>
      </c>
      <c r="Z8" s="99">
        <v>9</v>
      </c>
      <c r="AA8" s="99" t="s">
        <v>635</v>
      </c>
      <c r="AB8" s="99" t="s">
        <v>635</v>
      </c>
      <c r="AC8" s="99" t="s">
        <v>635</v>
      </c>
      <c r="AD8" s="98" t="s">
        <v>362</v>
      </c>
      <c r="AE8" s="100">
        <v>0.10501672240802676</v>
      </c>
      <c r="AF8" s="100">
        <v>0.27</v>
      </c>
      <c r="AG8" s="98">
        <v>200.66889632107024</v>
      </c>
      <c r="AH8" s="98">
        <v>234.11371237458195</v>
      </c>
      <c r="AI8" s="100">
        <v>0.006</v>
      </c>
      <c r="AJ8" s="100">
        <v>0.693023</v>
      </c>
      <c r="AK8" s="100">
        <v>0.539604</v>
      </c>
      <c r="AL8" s="100">
        <v>0.710425</v>
      </c>
      <c r="AM8" s="100">
        <v>0.396648</v>
      </c>
      <c r="AN8" s="100">
        <v>0.390476</v>
      </c>
      <c r="AO8" s="98">
        <v>1170.5685618729096</v>
      </c>
      <c r="AP8" s="158">
        <v>0.8173574066</v>
      </c>
      <c r="AQ8" s="100" t="s">
        <v>635</v>
      </c>
      <c r="AR8" s="100" t="s">
        <v>635</v>
      </c>
      <c r="AS8" s="98">
        <v>301.0033444816053</v>
      </c>
      <c r="AT8" s="98" t="s">
        <v>635</v>
      </c>
      <c r="AU8" s="98" t="s">
        <v>635</v>
      </c>
      <c r="AV8" s="98" t="s">
        <v>635</v>
      </c>
      <c r="AW8" s="98">
        <v>334.44816053511704</v>
      </c>
      <c r="AX8" s="98">
        <v>267.55852842809367</v>
      </c>
      <c r="AY8" s="98">
        <v>668.8963210702341</v>
      </c>
      <c r="AZ8" s="98">
        <v>301.0033444816053</v>
      </c>
      <c r="BA8" s="100" t="s">
        <v>635</v>
      </c>
      <c r="BB8" s="100" t="s">
        <v>635</v>
      </c>
      <c r="BC8" s="100" t="s">
        <v>635</v>
      </c>
      <c r="BD8" s="158">
        <v>0.5693193817000001</v>
      </c>
      <c r="BE8" s="158">
        <v>1.136746292</v>
      </c>
      <c r="BF8" s="162">
        <v>215</v>
      </c>
      <c r="BG8" s="162">
        <v>202</v>
      </c>
      <c r="BH8" s="162">
        <v>777</v>
      </c>
      <c r="BI8" s="162">
        <v>179</v>
      </c>
      <c r="BJ8" s="162">
        <v>105</v>
      </c>
      <c r="BK8" s="97"/>
      <c r="BL8" s="97"/>
      <c r="BM8" s="97"/>
      <c r="BN8" s="97"/>
    </row>
    <row r="9" spans="1:66" ht="12.75">
      <c r="A9" s="79" t="s">
        <v>575</v>
      </c>
      <c r="B9" s="79" t="s">
        <v>308</v>
      </c>
      <c r="C9" s="79" t="s">
        <v>107</v>
      </c>
      <c r="D9" s="99">
        <v>1929</v>
      </c>
      <c r="E9" s="99">
        <v>177</v>
      </c>
      <c r="F9" s="99" t="s">
        <v>385</v>
      </c>
      <c r="G9" s="99" t="s">
        <v>635</v>
      </c>
      <c r="H9" s="99" t="s">
        <v>635</v>
      </c>
      <c r="I9" s="99">
        <v>19</v>
      </c>
      <c r="J9" s="99">
        <v>61</v>
      </c>
      <c r="K9" s="99" t="s">
        <v>635</v>
      </c>
      <c r="L9" s="99">
        <v>229</v>
      </c>
      <c r="M9" s="99">
        <v>34</v>
      </c>
      <c r="N9" s="99">
        <v>20</v>
      </c>
      <c r="O9" s="99">
        <v>6</v>
      </c>
      <c r="P9" s="159">
        <v>6</v>
      </c>
      <c r="Q9" s="99" t="s">
        <v>635</v>
      </c>
      <c r="R9" s="99" t="s">
        <v>635</v>
      </c>
      <c r="S9" s="99" t="s">
        <v>635</v>
      </c>
      <c r="T9" s="99" t="s">
        <v>635</v>
      </c>
      <c r="U9" s="99" t="s">
        <v>635</v>
      </c>
      <c r="V9" s="99" t="s">
        <v>635</v>
      </c>
      <c r="W9" s="99">
        <v>6</v>
      </c>
      <c r="X9" s="99" t="s">
        <v>635</v>
      </c>
      <c r="Y9" s="99">
        <v>7</v>
      </c>
      <c r="Z9" s="99">
        <v>6</v>
      </c>
      <c r="AA9" s="99" t="s">
        <v>635</v>
      </c>
      <c r="AB9" s="99" t="s">
        <v>635</v>
      </c>
      <c r="AC9" s="99" t="s">
        <v>635</v>
      </c>
      <c r="AD9" s="98" t="s">
        <v>362</v>
      </c>
      <c r="AE9" s="100">
        <v>0.09175738724727839</v>
      </c>
      <c r="AF9" s="100">
        <v>0.16</v>
      </c>
      <c r="AG9" s="98" t="s">
        <v>635</v>
      </c>
      <c r="AH9" s="98" t="s">
        <v>635</v>
      </c>
      <c r="AI9" s="100">
        <v>0.01</v>
      </c>
      <c r="AJ9" s="100">
        <v>0.451852</v>
      </c>
      <c r="AK9" s="100" t="s">
        <v>635</v>
      </c>
      <c r="AL9" s="100">
        <v>0.428839</v>
      </c>
      <c r="AM9" s="100">
        <v>0.283333</v>
      </c>
      <c r="AN9" s="100">
        <v>0.322581</v>
      </c>
      <c r="AO9" s="98">
        <v>311.04199066874025</v>
      </c>
      <c r="AP9" s="158">
        <v>0.2236904716</v>
      </c>
      <c r="AQ9" s="100" t="s">
        <v>635</v>
      </c>
      <c r="AR9" s="100" t="s">
        <v>635</v>
      </c>
      <c r="AS9" s="98" t="s">
        <v>635</v>
      </c>
      <c r="AT9" s="98" t="s">
        <v>635</v>
      </c>
      <c r="AU9" s="98" t="s">
        <v>635</v>
      </c>
      <c r="AV9" s="98" t="s">
        <v>635</v>
      </c>
      <c r="AW9" s="98">
        <v>311.04199066874025</v>
      </c>
      <c r="AX9" s="98" t="s">
        <v>635</v>
      </c>
      <c r="AY9" s="98">
        <v>362.88232244686367</v>
      </c>
      <c r="AZ9" s="98">
        <v>311.04199066874025</v>
      </c>
      <c r="BA9" s="100" t="s">
        <v>635</v>
      </c>
      <c r="BB9" s="100" t="s">
        <v>635</v>
      </c>
      <c r="BC9" s="100" t="s">
        <v>635</v>
      </c>
      <c r="BD9" s="158">
        <v>0.08209046364</v>
      </c>
      <c r="BE9" s="158">
        <v>0.48687999730000003</v>
      </c>
      <c r="BF9" s="162">
        <v>135</v>
      </c>
      <c r="BG9" s="162" t="s">
        <v>635</v>
      </c>
      <c r="BH9" s="162">
        <v>534</v>
      </c>
      <c r="BI9" s="162">
        <v>120</v>
      </c>
      <c r="BJ9" s="162">
        <v>62</v>
      </c>
      <c r="BK9" s="97"/>
      <c r="BL9" s="97"/>
      <c r="BM9" s="97"/>
      <c r="BN9" s="97"/>
    </row>
    <row r="10" spans="1:66" ht="12.75">
      <c r="A10" s="79" t="s">
        <v>553</v>
      </c>
      <c r="B10" s="79" t="s">
        <v>287</v>
      </c>
      <c r="C10" s="79" t="s">
        <v>107</v>
      </c>
      <c r="D10" s="99">
        <v>8681</v>
      </c>
      <c r="E10" s="99">
        <v>971</v>
      </c>
      <c r="F10" s="99" t="s">
        <v>382</v>
      </c>
      <c r="G10" s="99">
        <v>26</v>
      </c>
      <c r="H10" s="99">
        <v>16</v>
      </c>
      <c r="I10" s="99">
        <v>98</v>
      </c>
      <c r="J10" s="99">
        <v>472</v>
      </c>
      <c r="K10" s="99">
        <v>147</v>
      </c>
      <c r="L10" s="99">
        <v>1707</v>
      </c>
      <c r="M10" s="99">
        <v>285</v>
      </c>
      <c r="N10" s="99">
        <v>140</v>
      </c>
      <c r="O10" s="99">
        <v>155</v>
      </c>
      <c r="P10" s="159">
        <v>155</v>
      </c>
      <c r="Q10" s="99">
        <v>8</v>
      </c>
      <c r="R10" s="99">
        <v>27</v>
      </c>
      <c r="S10" s="99">
        <v>29</v>
      </c>
      <c r="T10" s="99">
        <v>40</v>
      </c>
      <c r="U10" s="99">
        <v>13</v>
      </c>
      <c r="V10" s="99" t="s">
        <v>635</v>
      </c>
      <c r="W10" s="99">
        <v>58</v>
      </c>
      <c r="X10" s="99">
        <v>29</v>
      </c>
      <c r="Y10" s="99">
        <v>114</v>
      </c>
      <c r="Z10" s="99">
        <v>54</v>
      </c>
      <c r="AA10" s="99" t="s">
        <v>635</v>
      </c>
      <c r="AB10" s="99" t="s">
        <v>635</v>
      </c>
      <c r="AC10" s="99" t="s">
        <v>635</v>
      </c>
      <c r="AD10" s="98" t="s">
        <v>362</v>
      </c>
      <c r="AE10" s="100">
        <v>0.11185347310217716</v>
      </c>
      <c r="AF10" s="100">
        <v>0.22</v>
      </c>
      <c r="AG10" s="98">
        <v>299.5046653611335</v>
      </c>
      <c r="AH10" s="98">
        <v>184.31056329915907</v>
      </c>
      <c r="AI10" s="100">
        <v>0.011000000000000001</v>
      </c>
      <c r="AJ10" s="100">
        <v>0.62766</v>
      </c>
      <c r="AK10" s="100">
        <v>0.683721</v>
      </c>
      <c r="AL10" s="100">
        <v>0.682527</v>
      </c>
      <c r="AM10" s="100">
        <v>0.479798</v>
      </c>
      <c r="AN10" s="100">
        <v>0.487805</v>
      </c>
      <c r="AO10" s="98">
        <v>1785.5085819606036</v>
      </c>
      <c r="AP10" s="158">
        <v>1.152530289</v>
      </c>
      <c r="AQ10" s="100">
        <v>0.05161290322580645</v>
      </c>
      <c r="AR10" s="100">
        <v>0.2962962962962963</v>
      </c>
      <c r="AS10" s="98">
        <v>334.06289597972585</v>
      </c>
      <c r="AT10" s="98">
        <v>460.77640824789773</v>
      </c>
      <c r="AU10" s="98">
        <v>149.75233268056675</v>
      </c>
      <c r="AV10" s="98" t="s">
        <v>635</v>
      </c>
      <c r="AW10" s="98">
        <v>668.1257919594517</v>
      </c>
      <c r="AX10" s="98">
        <v>334.06289597972585</v>
      </c>
      <c r="AY10" s="98">
        <v>1313.2127635065085</v>
      </c>
      <c r="AZ10" s="98">
        <v>622.0481511346619</v>
      </c>
      <c r="BA10" s="100" t="s">
        <v>635</v>
      </c>
      <c r="BB10" s="100" t="s">
        <v>635</v>
      </c>
      <c r="BC10" s="100" t="s">
        <v>635</v>
      </c>
      <c r="BD10" s="158">
        <v>0.9782316589</v>
      </c>
      <c r="BE10" s="158">
        <v>1.3489282230000001</v>
      </c>
      <c r="BF10" s="162">
        <v>752</v>
      </c>
      <c r="BG10" s="162">
        <v>215</v>
      </c>
      <c r="BH10" s="162">
        <v>2501</v>
      </c>
      <c r="BI10" s="162">
        <v>594</v>
      </c>
      <c r="BJ10" s="162">
        <v>287</v>
      </c>
      <c r="BK10" s="97"/>
      <c r="BL10" s="97"/>
      <c r="BM10" s="97"/>
      <c r="BN10" s="97"/>
    </row>
    <row r="11" spans="1:66" ht="12.75">
      <c r="A11" s="79" t="s">
        <v>586</v>
      </c>
      <c r="B11" s="79" t="s">
        <v>319</v>
      </c>
      <c r="C11" s="79" t="s">
        <v>107</v>
      </c>
      <c r="D11" s="99">
        <v>4255</v>
      </c>
      <c r="E11" s="99">
        <v>429</v>
      </c>
      <c r="F11" s="99" t="s">
        <v>385</v>
      </c>
      <c r="G11" s="99">
        <v>14</v>
      </c>
      <c r="H11" s="99">
        <v>7</v>
      </c>
      <c r="I11" s="99">
        <v>63</v>
      </c>
      <c r="J11" s="99">
        <v>297</v>
      </c>
      <c r="K11" s="99" t="s">
        <v>635</v>
      </c>
      <c r="L11" s="99">
        <v>921</v>
      </c>
      <c r="M11" s="99">
        <v>157</v>
      </c>
      <c r="N11" s="99">
        <v>82</v>
      </c>
      <c r="O11" s="99">
        <v>52</v>
      </c>
      <c r="P11" s="159">
        <v>52</v>
      </c>
      <c r="Q11" s="99" t="s">
        <v>635</v>
      </c>
      <c r="R11" s="99">
        <v>14</v>
      </c>
      <c r="S11" s="99">
        <v>13</v>
      </c>
      <c r="T11" s="99">
        <v>14</v>
      </c>
      <c r="U11" s="99" t="s">
        <v>635</v>
      </c>
      <c r="V11" s="99" t="s">
        <v>635</v>
      </c>
      <c r="W11" s="99">
        <v>22</v>
      </c>
      <c r="X11" s="99">
        <v>9</v>
      </c>
      <c r="Y11" s="99">
        <v>37</v>
      </c>
      <c r="Z11" s="99">
        <v>35</v>
      </c>
      <c r="AA11" s="99" t="s">
        <v>635</v>
      </c>
      <c r="AB11" s="99" t="s">
        <v>635</v>
      </c>
      <c r="AC11" s="99" t="s">
        <v>635</v>
      </c>
      <c r="AD11" s="98" t="s">
        <v>362</v>
      </c>
      <c r="AE11" s="100">
        <v>0.10082256169212692</v>
      </c>
      <c r="AF11" s="100">
        <v>0.16</v>
      </c>
      <c r="AG11" s="98">
        <v>329.0246768507638</v>
      </c>
      <c r="AH11" s="98">
        <v>164.5123384253819</v>
      </c>
      <c r="AI11" s="100">
        <v>0.015</v>
      </c>
      <c r="AJ11" s="100">
        <v>0.608607</v>
      </c>
      <c r="AK11" s="100" t="s">
        <v>635</v>
      </c>
      <c r="AL11" s="100">
        <v>0.705747</v>
      </c>
      <c r="AM11" s="100">
        <v>0.484568</v>
      </c>
      <c r="AN11" s="100">
        <v>0.5125</v>
      </c>
      <c r="AO11" s="98">
        <v>1222.0916568742655</v>
      </c>
      <c r="AP11" s="158">
        <v>0.7661902618</v>
      </c>
      <c r="AQ11" s="100" t="s">
        <v>635</v>
      </c>
      <c r="AR11" s="100" t="s">
        <v>635</v>
      </c>
      <c r="AS11" s="98">
        <v>305.52291421856637</v>
      </c>
      <c r="AT11" s="98">
        <v>329.0246768507638</v>
      </c>
      <c r="AU11" s="98" t="s">
        <v>635</v>
      </c>
      <c r="AV11" s="98" t="s">
        <v>635</v>
      </c>
      <c r="AW11" s="98">
        <v>517.0387779083431</v>
      </c>
      <c r="AX11" s="98">
        <v>211.51586368977672</v>
      </c>
      <c r="AY11" s="98">
        <v>869.5652173913044</v>
      </c>
      <c r="AZ11" s="98">
        <v>822.5616921269095</v>
      </c>
      <c r="BA11" s="100" t="s">
        <v>635</v>
      </c>
      <c r="BB11" s="100" t="s">
        <v>635</v>
      </c>
      <c r="BC11" s="100" t="s">
        <v>635</v>
      </c>
      <c r="BD11" s="158">
        <v>0.5722275542999999</v>
      </c>
      <c r="BE11" s="158">
        <v>1.004756622</v>
      </c>
      <c r="BF11" s="162">
        <v>488</v>
      </c>
      <c r="BG11" s="162" t="s">
        <v>635</v>
      </c>
      <c r="BH11" s="162">
        <v>1305</v>
      </c>
      <c r="BI11" s="162">
        <v>324</v>
      </c>
      <c r="BJ11" s="162">
        <v>160</v>
      </c>
      <c r="BK11" s="97"/>
      <c r="BL11" s="97"/>
      <c r="BM11" s="97"/>
      <c r="BN11" s="97"/>
    </row>
    <row r="12" spans="1:66" ht="12.75">
      <c r="A12" s="79" t="s">
        <v>609</v>
      </c>
      <c r="B12" s="79" t="s">
        <v>342</v>
      </c>
      <c r="C12" s="79" t="s">
        <v>107</v>
      </c>
      <c r="D12" s="99">
        <v>6358</v>
      </c>
      <c r="E12" s="99">
        <v>442</v>
      </c>
      <c r="F12" s="99" t="s">
        <v>383</v>
      </c>
      <c r="G12" s="99" t="s">
        <v>635</v>
      </c>
      <c r="H12" s="99" t="s">
        <v>635</v>
      </c>
      <c r="I12" s="99">
        <v>55</v>
      </c>
      <c r="J12" s="99">
        <v>230</v>
      </c>
      <c r="K12" s="99">
        <v>160</v>
      </c>
      <c r="L12" s="99">
        <v>1062</v>
      </c>
      <c r="M12" s="99">
        <v>89</v>
      </c>
      <c r="N12" s="99">
        <v>57</v>
      </c>
      <c r="O12" s="99">
        <v>29</v>
      </c>
      <c r="P12" s="159">
        <v>29</v>
      </c>
      <c r="Q12" s="99" t="s">
        <v>635</v>
      </c>
      <c r="R12" s="99">
        <v>11</v>
      </c>
      <c r="S12" s="99">
        <v>11</v>
      </c>
      <c r="T12" s="99" t="s">
        <v>635</v>
      </c>
      <c r="U12" s="99" t="s">
        <v>635</v>
      </c>
      <c r="V12" s="99" t="s">
        <v>635</v>
      </c>
      <c r="W12" s="99">
        <v>17</v>
      </c>
      <c r="X12" s="99">
        <v>9</v>
      </c>
      <c r="Y12" s="99">
        <v>33</v>
      </c>
      <c r="Z12" s="99">
        <v>21</v>
      </c>
      <c r="AA12" s="99" t="s">
        <v>635</v>
      </c>
      <c r="AB12" s="99" t="s">
        <v>635</v>
      </c>
      <c r="AC12" s="99" t="s">
        <v>635</v>
      </c>
      <c r="AD12" s="98" t="s">
        <v>362</v>
      </c>
      <c r="AE12" s="100">
        <v>0.06951871657754011</v>
      </c>
      <c r="AF12" s="100">
        <v>0.28</v>
      </c>
      <c r="AG12" s="98" t="s">
        <v>635</v>
      </c>
      <c r="AH12" s="98" t="s">
        <v>635</v>
      </c>
      <c r="AI12" s="100">
        <v>0.009000000000000001</v>
      </c>
      <c r="AJ12" s="100">
        <v>0.490405</v>
      </c>
      <c r="AK12" s="100">
        <v>0.569395</v>
      </c>
      <c r="AL12" s="100">
        <v>0.653538</v>
      </c>
      <c r="AM12" s="100">
        <v>0.262537</v>
      </c>
      <c r="AN12" s="100">
        <v>0.32948</v>
      </c>
      <c r="AO12" s="98">
        <v>456.1182761874803</v>
      </c>
      <c r="AP12" s="158">
        <v>0.3642152023</v>
      </c>
      <c r="AQ12" s="100" t="s">
        <v>635</v>
      </c>
      <c r="AR12" s="100" t="s">
        <v>635</v>
      </c>
      <c r="AS12" s="98">
        <v>173.01038062283737</v>
      </c>
      <c r="AT12" s="98" t="s">
        <v>635</v>
      </c>
      <c r="AU12" s="98" t="s">
        <v>635</v>
      </c>
      <c r="AV12" s="98" t="s">
        <v>635</v>
      </c>
      <c r="AW12" s="98">
        <v>267.379679144385</v>
      </c>
      <c r="AX12" s="98">
        <v>141.55394778232147</v>
      </c>
      <c r="AY12" s="98">
        <v>519.0311418685121</v>
      </c>
      <c r="AZ12" s="98">
        <v>330.2925448254168</v>
      </c>
      <c r="BA12" s="100" t="s">
        <v>635</v>
      </c>
      <c r="BB12" s="100" t="s">
        <v>635</v>
      </c>
      <c r="BC12" s="100" t="s">
        <v>635</v>
      </c>
      <c r="BD12" s="158">
        <v>0.2439206314</v>
      </c>
      <c r="BE12" s="158">
        <v>0.5230737686</v>
      </c>
      <c r="BF12" s="162">
        <v>469</v>
      </c>
      <c r="BG12" s="162">
        <v>281</v>
      </c>
      <c r="BH12" s="162">
        <v>1625</v>
      </c>
      <c r="BI12" s="162">
        <v>339</v>
      </c>
      <c r="BJ12" s="162">
        <v>173</v>
      </c>
      <c r="BK12" s="97"/>
      <c r="BL12" s="97"/>
      <c r="BM12" s="97"/>
      <c r="BN12" s="97"/>
    </row>
    <row r="13" spans="1:66" ht="12.75">
      <c r="A13" s="79" t="s">
        <v>620</v>
      </c>
      <c r="B13" s="79" t="s">
        <v>353</v>
      </c>
      <c r="C13" s="79" t="s">
        <v>107</v>
      </c>
      <c r="D13" s="99">
        <v>2993</v>
      </c>
      <c r="E13" s="99">
        <v>423</v>
      </c>
      <c r="F13" s="99" t="s">
        <v>385</v>
      </c>
      <c r="G13" s="99">
        <v>12</v>
      </c>
      <c r="H13" s="99" t="s">
        <v>635</v>
      </c>
      <c r="I13" s="99">
        <v>37</v>
      </c>
      <c r="J13" s="99">
        <v>210</v>
      </c>
      <c r="K13" s="99" t="s">
        <v>635</v>
      </c>
      <c r="L13" s="99">
        <v>624</v>
      </c>
      <c r="M13" s="99">
        <v>128</v>
      </c>
      <c r="N13" s="99">
        <v>66</v>
      </c>
      <c r="O13" s="99">
        <v>18</v>
      </c>
      <c r="P13" s="159">
        <v>18</v>
      </c>
      <c r="Q13" s="99">
        <v>7</v>
      </c>
      <c r="R13" s="99">
        <v>18</v>
      </c>
      <c r="S13" s="99">
        <v>9</v>
      </c>
      <c r="T13" s="99" t="s">
        <v>635</v>
      </c>
      <c r="U13" s="99" t="s">
        <v>635</v>
      </c>
      <c r="V13" s="99" t="s">
        <v>635</v>
      </c>
      <c r="W13" s="99">
        <v>18</v>
      </c>
      <c r="X13" s="99">
        <v>9</v>
      </c>
      <c r="Y13" s="99">
        <v>20</v>
      </c>
      <c r="Z13" s="99">
        <v>30</v>
      </c>
      <c r="AA13" s="99" t="s">
        <v>635</v>
      </c>
      <c r="AB13" s="99" t="s">
        <v>635</v>
      </c>
      <c r="AC13" s="99" t="s">
        <v>635</v>
      </c>
      <c r="AD13" s="98" t="s">
        <v>362</v>
      </c>
      <c r="AE13" s="100">
        <v>0.14132976946207818</v>
      </c>
      <c r="AF13" s="100">
        <v>0.16</v>
      </c>
      <c r="AG13" s="98">
        <v>400.9355162044771</v>
      </c>
      <c r="AH13" s="98" t="s">
        <v>635</v>
      </c>
      <c r="AI13" s="100">
        <v>0.012</v>
      </c>
      <c r="AJ13" s="100">
        <v>0.570652</v>
      </c>
      <c r="AK13" s="100" t="s">
        <v>635</v>
      </c>
      <c r="AL13" s="100">
        <v>0.673866</v>
      </c>
      <c r="AM13" s="100">
        <v>0.418301</v>
      </c>
      <c r="AN13" s="100">
        <v>0.44</v>
      </c>
      <c r="AO13" s="98">
        <v>601.4032743067156</v>
      </c>
      <c r="AP13" s="158">
        <v>0.32753276820000005</v>
      </c>
      <c r="AQ13" s="100">
        <v>0.3888888888888889</v>
      </c>
      <c r="AR13" s="100">
        <v>0.3888888888888889</v>
      </c>
      <c r="AS13" s="98">
        <v>300.7016371533578</v>
      </c>
      <c r="AT13" s="98" t="s">
        <v>635</v>
      </c>
      <c r="AU13" s="98" t="s">
        <v>635</v>
      </c>
      <c r="AV13" s="98" t="s">
        <v>635</v>
      </c>
      <c r="AW13" s="98">
        <v>601.4032743067156</v>
      </c>
      <c r="AX13" s="98">
        <v>300.7016371533578</v>
      </c>
      <c r="AY13" s="98">
        <v>668.2258603407952</v>
      </c>
      <c r="AZ13" s="98">
        <v>1002.3387905111928</v>
      </c>
      <c r="BA13" s="100" t="s">
        <v>635</v>
      </c>
      <c r="BB13" s="100" t="s">
        <v>635</v>
      </c>
      <c r="BC13" s="100" t="s">
        <v>635</v>
      </c>
      <c r="BD13" s="158">
        <v>0.1941166878</v>
      </c>
      <c r="BE13" s="158">
        <v>0.517643013</v>
      </c>
      <c r="BF13" s="162">
        <v>368</v>
      </c>
      <c r="BG13" s="162" t="s">
        <v>635</v>
      </c>
      <c r="BH13" s="162">
        <v>926</v>
      </c>
      <c r="BI13" s="162">
        <v>306</v>
      </c>
      <c r="BJ13" s="162">
        <v>150</v>
      </c>
      <c r="BK13" s="97"/>
      <c r="BL13" s="97"/>
      <c r="BM13" s="97"/>
      <c r="BN13" s="97"/>
    </row>
    <row r="14" spans="1:66" ht="12.75">
      <c r="A14" s="79" t="s">
        <v>604</v>
      </c>
      <c r="B14" s="79" t="s">
        <v>337</v>
      </c>
      <c r="C14" s="79" t="s">
        <v>107</v>
      </c>
      <c r="D14" s="99">
        <v>8819</v>
      </c>
      <c r="E14" s="99">
        <v>735</v>
      </c>
      <c r="F14" s="99" t="s">
        <v>385</v>
      </c>
      <c r="G14" s="99">
        <v>21</v>
      </c>
      <c r="H14" s="99">
        <v>8</v>
      </c>
      <c r="I14" s="99">
        <v>95</v>
      </c>
      <c r="J14" s="99">
        <v>357</v>
      </c>
      <c r="K14" s="99">
        <v>8</v>
      </c>
      <c r="L14" s="99">
        <v>1812</v>
      </c>
      <c r="M14" s="99">
        <v>201</v>
      </c>
      <c r="N14" s="99">
        <v>92</v>
      </c>
      <c r="O14" s="99">
        <v>89</v>
      </c>
      <c r="P14" s="159">
        <v>89</v>
      </c>
      <c r="Q14" s="99">
        <v>10</v>
      </c>
      <c r="R14" s="99">
        <v>20</v>
      </c>
      <c r="S14" s="99">
        <v>21</v>
      </c>
      <c r="T14" s="99">
        <v>12</v>
      </c>
      <c r="U14" s="99" t="s">
        <v>635</v>
      </c>
      <c r="V14" s="99">
        <v>6</v>
      </c>
      <c r="W14" s="99">
        <v>39</v>
      </c>
      <c r="X14" s="99">
        <v>8</v>
      </c>
      <c r="Y14" s="99">
        <v>64</v>
      </c>
      <c r="Z14" s="99">
        <v>34</v>
      </c>
      <c r="AA14" s="99" t="s">
        <v>635</v>
      </c>
      <c r="AB14" s="99" t="s">
        <v>635</v>
      </c>
      <c r="AC14" s="99" t="s">
        <v>635</v>
      </c>
      <c r="AD14" s="98" t="s">
        <v>362</v>
      </c>
      <c r="AE14" s="100">
        <v>0.08334278262841592</v>
      </c>
      <c r="AF14" s="100">
        <v>0.14</v>
      </c>
      <c r="AG14" s="98">
        <v>238.12223608118833</v>
      </c>
      <c r="AH14" s="98">
        <v>90.71323279283365</v>
      </c>
      <c r="AI14" s="100">
        <v>0.011000000000000001</v>
      </c>
      <c r="AJ14" s="100">
        <v>0.59699</v>
      </c>
      <c r="AK14" s="100">
        <v>0.470588</v>
      </c>
      <c r="AL14" s="100">
        <v>0.67789</v>
      </c>
      <c r="AM14" s="100">
        <v>0.43133</v>
      </c>
      <c r="AN14" s="100">
        <v>0.401747</v>
      </c>
      <c r="AO14" s="98">
        <v>1009.1847148202744</v>
      </c>
      <c r="AP14" s="158">
        <v>0.7422267913999999</v>
      </c>
      <c r="AQ14" s="100">
        <v>0.11235955056179775</v>
      </c>
      <c r="AR14" s="100">
        <v>0.5</v>
      </c>
      <c r="AS14" s="98">
        <v>238.12223608118833</v>
      </c>
      <c r="AT14" s="98">
        <v>136.06984918925048</v>
      </c>
      <c r="AU14" s="98" t="s">
        <v>635</v>
      </c>
      <c r="AV14" s="98">
        <v>68.03492459462524</v>
      </c>
      <c r="AW14" s="98">
        <v>442.2270098650641</v>
      </c>
      <c r="AX14" s="98">
        <v>90.71323279283365</v>
      </c>
      <c r="AY14" s="98">
        <v>725.7058623426692</v>
      </c>
      <c r="AZ14" s="98">
        <v>385.531239369543</v>
      </c>
      <c r="BA14" s="100" t="s">
        <v>635</v>
      </c>
      <c r="BB14" s="100" t="s">
        <v>635</v>
      </c>
      <c r="BC14" s="100" t="s">
        <v>635</v>
      </c>
      <c r="BD14" s="158">
        <v>0.5960690689</v>
      </c>
      <c r="BE14" s="158">
        <v>0.9133739471</v>
      </c>
      <c r="BF14" s="162">
        <v>598</v>
      </c>
      <c r="BG14" s="162">
        <v>17</v>
      </c>
      <c r="BH14" s="162">
        <v>2673</v>
      </c>
      <c r="BI14" s="162">
        <v>466</v>
      </c>
      <c r="BJ14" s="162">
        <v>229</v>
      </c>
      <c r="BK14" s="97"/>
      <c r="BL14" s="97"/>
      <c r="BM14" s="97"/>
      <c r="BN14" s="97"/>
    </row>
    <row r="15" spans="1:66" ht="12.75">
      <c r="A15" s="79" t="s">
        <v>560</v>
      </c>
      <c r="B15" s="79" t="s">
        <v>294</v>
      </c>
      <c r="C15" s="79" t="s">
        <v>107</v>
      </c>
      <c r="D15" s="99">
        <v>5952</v>
      </c>
      <c r="E15" s="99">
        <v>772</v>
      </c>
      <c r="F15" s="99" t="s">
        <v>382</v>
      </c>
      <c r="G15" s="99">
        <v>11</v>
      </c>
      <c r="H15" s="99">
        <v>11</v>
      </c>
      <c r="I15" s="99">
        <v>69</v>
      </c>
      <c r="J15" s="99">
        <v>375</v>
      </c>
      <c r="K15" s="99" t="s">
        <v>635</v>
      </c>
      <c r="L15" s="99">
        <v>1136</v>
      </c>
      <c r="M15" s="99">
        <v>165</v>
      </c>
      <c r="N15" s="99">
        <v>110</v>
      </c>
      <c r="O15" s="99">
        <v>195</v>
      </c>
      <c r="P15" s="159">
        <v>195</v>
      </c>
      <c r="Q15" s="99">
        <v>10</v>
      </c>
      <c r="R15" s="99">
        <v>29</v>
      </c>
      <c r="S15" s="99">
        <v>57</v>
      </c>
      <c r="T15" s="99">
        <v>25</v>
      </c>
      <c r="U15" s="99">
        <v>6</v>
      </c>
      <c r="V15" s="99">
        <v>14</v>
      </c>
      <c r="W15" s="99">
        <v>29</v>
      </c>
      <c r="X15" s="99">
        <v>23</v>
      </c>
      <c r="Y15" s="99">
        <v>73</v>
      </c>
      <c r="Z15" s="99">
        <v>36</v>
      </c>
      <c r="AA15" s="99" t="s">
        <v>635</v>
      </c>
      <c r="AB15" s="99" t="s">
        <v>635</v>
      </c>
      <c r="AC15" s="99" t="s">
        <v>635</v>
      </c>
      <c r="AD15" s="98" t="s">
        <v>362</v>
      </c>
      <c r="AE15" s="100">
        <v>0.1297043010752688</v>
      </c>
      <c r="AF15" s="100">
        <v>0.21</v>
      </c>
      <c r="AG15" s="98">
        <v>184.81182795698925</v>
      </c>
      <c r="AH15" s="98">
        <v>184.81182795698925</v>
      </c>
      <c r="AI15" s="100">
        <v>0.012</v>
      </c>
      <c r="AJ15" s="100">
        <v>0.641026</v>
      </c>
      <c r="AK15" s="100" t="s">
        <v>635</v>
      </c>
      <c r="AL15" s="100">
        <v>0.700802</v>
      </c>
      <c r="AM15" s="100">
        <v>0.390995</v>
      </c>
      <c r="AN15" s="100">
        <v>0.462185</v>
      </c>
      <c r="AO15" s="98">
        <v>3276.2096774193546</v>
      </c>
      <c r="AP15" s="158">
        <v>2.025585175</v>
      </c>
      <c r="AQ15" s="100">
        <v>0.05128205128205128</v>
      </c>
      <c r="AR15" s="100">
        <v>0.3448275862068966</v>
      </c>
      <c r="AS15" s="98">
        <v>957.6612903225806</v>
      </c>
      <c r="AT15" s="98">
        <v>420.0268817204301</v>
      </c>
      <c r="AU15" s="98">
        <v>100.80645161290323</v>
      </c>
      <c r="AV15" s="98">
        <v>235.21505376344086</v>
      </c>
      <c r="AW15" s="98">
        <v>487.23118279569894</v>
      </c>
      <c r="AX15" s="98">
        <v>386.4247311827957</v>
      </c>
      <c r="AY15" s="98">
        <v>1226.478494623656</v>
      </c>
      <c r="AZ15" s="98">
        <v>604.8387096774194</v>
      </c>
      <c r="BA15" s="100" t="s">
        <v>635</v>
      </c>
      <c r="BB15" s="100" t="s">
        <v>635</v>
      </c>
      <c r="BC15" s="100" t="s">
        <v>635</v>
      </c>
      <c r="BD15" s="158">
        <v>1.751245117</v>
      </c>
      <c r="BE15" s="158">
        <v>2.330711365</v>
      </c>
      <c r="BF15" s="162">
        <v>585</v>
      </c>
      <c r="BG15" s="162" t="s">
        <v>635</v>
      </c>
      <c r="BH15" s="162">
        <v>1621</v>
      </c>
      <c r="BI15" s="162">
        <v>422</v>
      </c>
      <c r="BJ15" s="162">
        <v>238</v>
      </c>
      <c r="BK15" s="97"/>
      <c r="BL15" s="97"/>
      <c r="BM15" s="97"/>
      <c r="BN15" s="97"/>
    </row>
    <row r="16" spans="1:66" ht="12.75">
      <c r="A16" s="79" t="s">
        <v>573</v>
      </c>
      <c r="B16" s="79" t="s">
        <v>306</v>
      </c>
      <c r="C16" s="79" t="s">
        <v>107</v>
      </c>
      <c r="D16" s="99">
        <v>2560</v>
      </c>
      <c r="E16" s="99">
        <v>390</v>
      </c>
      <c r="F16" s="99" t="s">
        <v>383</v>
      </c>
      <c r="G16" s="99">
        <v>11</v>
      </c>
      <c r="H16" s="99" t="s">
        <v>635</v>
      </c>
      <c r="I16" s="99">
        <v>22</v>
      </c>
      <c r="J16" s="99">
        <v>144</v>
      </c>
      <c r="K16" s="99" t="s">
        <v>635</v>
      </c>
      <c r="L16" s="99">
        <v>458</v>
      </c>
      <c r="M16" s="99">
        <v>72</v>
      </c>
      <c r="N16" s="99">
        <v>43</v>
      </c>
      <c r="O16" s="99">
        <v>53</v>
      </c>
      <c r="P16" s="159">
        <v>53</v>
      </c>
      <c r="Q16" s="99" t="s">
        <v>635</v>
      </c>
      <c r="R16" s="99">
        <v>8</v>
      </c>
      <c r="S16" s="99">
        <v>15</v>
      </c>
      <c r="T16" s="99" t="s">
        <v>635</v>
      </c>
      <c r="U16" s="99" t="s">
        <v>635</v>
      </c>
      <c r="V16" s="99">
        <v>19</v>
      </c>
      <c r="W16" s="99">
        <v>15</v>
      </c>
      <c r="X16" s="99">
        <v>20</v>
      </c>
      <c r="Y16" s="99">
        <v>32</v>
      </c>
      <c r="Z16" s="99">
        <v>13</v>
      </c>
      <c r="AA16" s="99" t="s">
        <v>635</v>
      </c>
      <c r="AB16" s="99" t="s">
        <v>635</v>
      </c>
      <c r="AC16" s="99" t="s">
        <v>635</v>
      </c>
      <c r="AD16" s="98" t="s">
        <v>362</v>
      </c>
      <c r="AE16" s="100">
        <v>0.15234375</v>
      </c>
      <c r="AF16" s="100">
        <v>0.27</v>
      </c>
      <c r="AG16" s="98">
        <v>429.6875</v>
      </c>
      <c r="AH16" s="98" t="s">
        <v>635</v>
      </c>
      <c r="AI16" s="100">
        <v>0.009000000000000001</v>
      </c>
      <c r="AJ16" s="100">
        <v>0.547529</v>
      </c>
      <c r="AK16" s="100" t="s">
        <v>635</v>
      </c>
      <c r="AL16" s="100">
        <v>0.663768</v>
      </c>
      <c r="AM16" s="100">
        <v>0.358209</v>
      </c>
      <c r="AN16" s="100">
        <v>0.37069</v>
      </c>
      <c r="AO16" s="98">
        <v>2070.3125</v>
      </c>
      <c r="AP16" s="158">
        <v>1.174206009</v>
      </c>
      <c r="AQ16" s="100" t="s">
        <v>635</v>
      </c>
      <c r="AR16" s="100" t="s">
        <v>635</v>
      </c>
      <c r="AS16" s="98">
        <v>585.9375</v>
      </c>
      <c r="AT16" s="98" t="s">
        <v>635</v>
      </c>
      <c r="AU16" s="98" t="s">
        <v>635</v>
      </c>
      <c r="AV16" s="98">
        <v>742.1875</v>
      </c>
      <c r="AW16" s="98">
        <v>585.9375</v>
      </c>
      <c r="AX16" s="98">
        <v>781.25</v>
      </c>
      <c r="AY16" s="98">
        <v>1250</v>
      </c>
      <c r="AZ16" s="98">
        <v>507.8125</v>
      </c>
      <c r="BA16" s="100" t="s">
        <v>635</v>
      </c>
      <c r="BB16" s="100" t="s">
        <v>635</v>
      </c>
      <c r="BC16" s="100" t="s">
        <v>635</v>
      </c>
      <c r="BD16" s="158">
        <v>0.8795608521</v>
      </c>
      <c r="BE16" s="158">
        <v>1.5358903499999998</v>
      </c>
      <c r="BF16" s="162">
        <v>263</v>
      </c>
      <c r="BG16" s="162" t="s">
        <v>635</v>
      </c>
      <c r="BH16" s="162">
        <v>690</v>
      </c>
      <c r="BI16" s="162">
        <v>201</v>
      </c>
      <c r="BJ16" s="162">
        <v>116</v>
      </c>
      <c r="BK16" s="97"/>
      <c r="BL16" s="97"/>
      <c r="BM16" s="97"/>
      <c r="BN16" s="97"/>
    </row>
    <row r="17" spans="1:66" ht="12.75">
      <c r="A17" s="79" t="s">
        <v>585</v>
      </c>
      <c r="B17" s="79" t="s">
        <v>318</v>
      </c>
      <c r="C17" s="79" t="s">
        <v>107</v>
      </c>
      <c r="D17" s="99">
        <v>4808</v>
      </c>
      <c r="E17" s="99">
        <v>583</v>
      </c>
      <c r="F17" s="99" t="s">
        <v>384</v>
      </c>
      <c r="G17" s="99">
        <v>22</v>
      </c>
      <c r="H17" s="99" t="s">
        <v>635</v>
      </c>
      <c r="I17" s="99">
        <v>57</v>
      </c>
      <c r="J17" s="99">
        <v>277</v>
      </c>
      <c r="K17" s="99" t="s">
        <v>635</v>
      </c>
      <c r="L17" s="99">
        <v>880</v>
      </c>
      <c r="M17" s="99">
        <v>182</v>
      </c>
      <c r="N17" s="99">
        <v>104</v>
      </c>
      <c r="O17" s="99">
        <v>34</v>
      </c>
      <c r="P17" s="159">
        <v>34</v>
      </c>
      <c r="Q17" s="99" t="s">
        <v>635</v>
      </c>
      <c r="R17" s="99">
        <v>11</v>
      </c>
      <c r="S17" s="99" t="s">
        <v>635</v>
      </c>
      <c r="T17" s="99">
        <v>7</v>
      </c>
      <c r="U17" s="99" t="s">
        <v>635</v>
      </c>
      <c r="V17" s="99" t="s">
        <v>635</v>
      </c>
      <c r="W17" s="99">
        <v>17</v>
      </c>
      <c r="X17" s="99">
        <v>11</v>
      </c>
      <c r="Y17" s="99">
        <v>57</v>
      </c>
      <c r="Z17" s="99">
        <v>23</v>
      </c>
      <c r="AA17" s="99" t="s">
        <v>635</v>
      </c>
      <c r="AB17" s="99" t="s">
        <v>635</v>
      </c>
      <c r="AC17" s="99" t="s">
        <v>635</v>
      </c>
      <c r="AD17" s="98" t="s">
        <v>362</v>
      </c>
      <c r="AE17" s="100">
        <v>0.12125623960066556</v>
      </c>
      <c r="AF17" s="100">
        <v>0.12</v>
      </c>
      <c r="AG17" s="98">
        <v>457.57071547420963</v>
      </c>
      <c r="AH17" s="98" t="s">
        <v>635</v>
      </c>
      <c r="AI17" s="100">
        <v>0.012</v>
      </c>
      <c r="AJ17" s="100">
        <v>0.595699</v>
      </c>
      <c r="AK17" s="100" t="s">
        <v>635</v>
      </c>
      <c r="AL17" s="100">
        <v>0.670221</v>
      </c>
      <c r="AM17" s="100">
        <v>0.487936</v>
      </c>
      <c r="AN17" s="100">
        <v>0.504854</v>
      </c>
      <c r="AO17" s="98">
        <v>707.1547420965059</v>
      </c>
      <c r="AP17" s="158">
        <v>0.4513311386</v>
      </c>
      <c r="AQ17" s="100" t="s">
        <v>635</v>
      </c>
      <c r="AR17" s="100" t="s">
        <v>635</v>
      </c>
      <c r="AS17" s="98" t="s">
        <v>635</v>
      </c>
      <c r="AT17" s="98">
        <v>145.59068219633943</v>
      </c>
      <c r="AU17" s="98" t="s">
        <v>635</v>
      </c>
      <c r="AV17" s="98" t="s">
        <v>635</v>
      </c>
      <c r="AW17" s="98">
        <v>353.5773710482529</v>
      </c>
      <c r="AX17" s="98">
        <v>228.78535773710482</v>
      </c>
      <c r="AY17" s="98">
        <v>1185.5241264559068</v>
      </c>
      <c r="AZ17" s="98">
        <v>478.369384359401</v>
      </c>
      <c r="BA17" s="100" t="s">
        <v>635</v>
      </c>
      <c r="BB17" s="100" t="s">
        <v>635</v>
      </c>
      <c r="BC17" s="100" t="s">
        <v>635</v>
      </c>
      <c r="BD17" s="158">
        <v>0.312559948</v>
      </c>
      <c r="BE17" s="158">
        <v>0.6306900406</v>
      </c>
      <c r="BF17" s="162">
        <v>465</v>
      </c>
      <c r="BG17" s="162" t="s">
        <v>635</v>
      </c>
      <c r="BH17" s="162">
        <v>1313</v>
      </c>
      <c r="BI17" s="162">
        <v>373</v>
      </c>
      <c r="BJ17" s="162">
        <v>206</v>
      </c>
      <c r="BK17" s="97"/>
      <c r="BL17" s="97"/>
      <c r="BM17" s="97"/>
      <c r="BN17" s="97"/>
    </row>
    <row r="18" spans="1:66" ht="12.75">
      <c r="A18" s="79" t="s">
        <v>597</v>
      </c>
      <c r="B18" s="79" t="s">
        <v>330</v>
      </c>
      <c r="C18" s="79" t="s">
        <v>107</v>
      </c>
      <c r="D18" s="99">
        <v>8113</v>
      </c>
      <c r="E18" s="99">
        <v>719</v>
      </c>
      <c r="F18" s="99" t="s">
        <v>384</v>
      </c>
      <c r="G18" s="99">
        <v>15</v>
      </c>
      <c r="H18" s="99">
        <v>10</v>
      </c>
      <c r="I18" s="99">
        <v>94</v>
      </c>
      <c r="J18" s="99">
        <v>427</v>
      </c>
      <c r="K18" s="99">
        <v>13</v>
      </c>
      <c r="L18" s="99">
        <v>1830</v>
      </c>
      <c r="M18" s="99">
        <v>273</v>
      </c>
      <c r="N18" s="99">
        <v>148</v>
      </c>
      <c r="O18" s="99">
        <v>70</v>
      </c>
      <c r="P18" s="159">
        <v>70</v>
      </c>
      <c r="Q18" s="99" t="s">
        <v>635</v>
      </c>
      <c r="R18" s="99">
        <v>17</v>
      </c>
      <c r="S18" s="99">
        <v>27</v>
      </c>
      <c r="T18" s="99">
        <v>14</v>
      </c>
      <c r="U18" s="99" t="s">
        <v>635</v>
      </c>
      <c r="V18" s="99">
        <v>7</v>
      </c>
      <c r="W18" s="99">
        <v>43</v>
      </c>
      <c r="X18" s="99">
        <v>15</v>
      </c>
      <c r="Y18" s="99">
        <v>51</v>
      </c>
      <c r="Z18" s="99">
        <v>24</v>
      </c>
      <c r="AA18" s="99" t="s">
        <v>635</v>
      </c>
      <c r="AB18" s="99" t="s">
        <v>635</v>
      </c>
      <c r="AC18" s="99" t="s">
        <v>635</v>
      </c>
      <c r="AD18" s="98" t="s">
        <v>362</v>
      </c>
      <c r="AE18" s="100">
        <v>0.0886231973376063</v>
      </c>
      <c r="AF18" s="100">
        <v>0.12</v>
      </c>
      <c r="AG18" s="98">
        <v>184.88845063478368</v>
      </c>
      <c r="AH18" s="98">
        <v>123.25896708985579</v>
      </c>
      <c r="AI18" s="100">
        <v>0.012</v>
      </c>
      <c r="AJ18" s="100">
        <v>0.564815</v>
      </c>
      <c r="AK18" s="100">
        <v>0.481481</v>
      </c>
      <c r="AL18" s="100">
        <v>0.72504</v>
      </c>
      <c r="AM18" s="100">
        <v>0.514124</v>
      </c>
      <c r="AN18" s="100">
        <v>0.575875</v>
      </c>
      <c r="AO18" s="98">
        <v>862.8127696289905</v>
      </c>
      <c r="AP18" s="158">
        <v>0.5666284180000001</v>
      </c>
      <c r="AQ18" s="100" t="s">
        <v>635</v>
      </c>
      <c r="AR18" s="100" t="s">
        <v>635</v>
      </c>
      <c r="AS18" s="98">
        <v>332.7992111426106</v>
      </c>
      <c r="AT18" s="98">
        <v>172.5625539257981</v>
      </c>
      <c r="AU18" s="98" t="s">
        <v>635</v>
      </c>
      <c r="AV18" s="98">
        <v>86.28127696289906</v>
      </c>
      <c r="AW18" s="98">
        <v>530.0135584863799</v>
      </c>
      <c r="AX18" s="98">
        <v>184.88845063478368</v>
      </c>
      <c r="AY18" s="98">
        <v>628.6207321582646</v>
      </c>
      <c r="AZ18" s="98">
        <v>295.8215210156539</v>
      </c>
      <c r="BA18" s="100" t="s">
        <v>635</v>
      </c>
      <c r="BB18" s="100" t="s">
        <v>635</v>
      </c>
      <c r="BC18" s="100" t="s">
        <v>635</v>
      </c>
      <c r="BD18" s="158">
        <v>0.44171463009999995</v>
      </c>
      <c r="BE18" s="158">
        <v>0.7159008789000001</v>
      </c>
      <c r="BF18" s="162">
        <v>756</v>
      </c>
      <c r="BG18" s="162">
        <v>27</v>
      </c>
      <c r="BH18" s="162">
        <v>2524</v>
      </c>
      <c r="BI18" s="162">
        <v>531</v>
      </c>
      <c r="BJ18" s="162">
        <v>257</v>
      </c>
      <c r="BK18" s="97"/>
      <c r="BL18" s="97"/>
      <c r="BM18" s="97"/>
      <c r="BN18" s="97"/>
    </row>
    <row r="19" spans="1:66" ht="12.75">
      <c r="A19" s="79" t="s">
        <v>613</v>
      </c>
      <c r="B19" s="79" t="s">
        <v>346</v>
      </c>
      <c r="C19" s="79" t="s">
        <v>107</v>
      </c>
      <c r="D19" s="99">
        <v>4094</v>
      </c>
      <c r="E19" s="99">
        <v>272</v>
      </c>
      <c r="F19" s="99" t="s">
        <v>383</v>
      </c>
      <c r="G19" s="99">
        <v>11</v>
      </c>
      <c r="H19" s="99">
        <v>8</v>
      </c>
      <c r="I19" s="99">
        <v>27</v>
      </c>
      <c r="J19" s="99">
        <v>172</v>
      </c>
      <c r="K19" s="99">
        <v>12</v>
      </c>
      <c r="L19" s="99">
        <v>811</v>
      </c>
      <c r="M19" s="99">
        <v>79</v>
      </c>
      <c r="N19" s="99">
        <v>49</v>
      </c>
      <c r="O19" s="99">
        <v>11</v>
      </c>
      <c r="P19" s="159">
        <v>11</v>
      </c>
      <c r="Q19" s="99" t="s">
        <v>635</v>
      </c>
      <c r="R19" s="99">
        <v>11</v>
      </c>
      <c r="S19" s="99" t="s">
        <v>635</v>
      </c>
      <c r="T19" s="99" t="s">
        <v>635</v>
      </c>
      <c r="U19" s="99" t="s">
        <v>635</v>
      </c>
      <c r="V19" s="99" t="s">
        <v>635</v>
      </c>
      <c r="W19" s="99">
        <v>13</v>
      </c>
      <c r="X19" s="99" t="s">
        <v>635</v>
      </c>
      <c r="Y19" s="99">
        <v>29</v>
      </c>
      <c r="Z19" s="99">
        <v>24</v>
      </c>
      <c r="AA19" s="99" t="s">
        <v>635</v>
      </c>
      <c r="AB19" s="99" t="s">
        <v>635</v>
      </c>
      <c r="AC19" s="99" t="s">
        <v>635</v>
      </c>
      <c r="AD19" s="98" t="s">
        <v>362</v>
      </c>
      <c r="AE19" s="100">
        <v>0.06643869076697606</v>
      </c>
      <c r="AF19" s="100">
        <v>0.3</v>
      </c>
      <c r="AG19" s="98">
        <v>268.68588177821204</v>
      </c>
      <c r="AH19" s="98">
        <v>195.40791402051784</v>
      </c>
      <c r="AI19" s="100">
        <v>0.006999999999999999</v>
      </c>
      <c r="AJ19" s="100">
        <v>0.565789</v>
      </c>
      <c r="AK19" s="100">
        <v>0.545455</v>
      </c>
      <c r="AL19" s="100">
        <v>0.689626</v>
      </c>
      <c r="AM19" s="100">
        <v>0.334746</v>
      </c>
      <c r="AN19" s="100">
        <v>0.385827</v>
      </c>
      <c r="AO19" s="98">
        <v>268.68588177821204</v>
      </c>
      <c r="AP19" s="158">
        <v>0.2073636246</v>
      </c>
      <c r="AQ19" s="100" t="s">
        <v>635</v>
      </c>
      <c r="AR19" s="100" t="s">
        <v>635</v>
      </c>
      <c r="AS19" s="98" t="s">
        <v>635</v>
      </c>
      <c r="AT19" s="98" t="s">
        <v>635</v>
      </c>
      <c r="AU19" s="98" t="s">
        <v>635</v>
      </c>
      <c r="AV19" s="98" t="s">
        <v>635</v>
      </c>
      <c r="AW19" s="98">
        <v>317.5378602833415</v>
      </c>
      <c r="AX19" s="98" t="s">
        <v>635</v>
      </c>
      <c r="AY19" s="98">
        <v>708.3536883243771</v>
      </c>
      <c r="AZ19" s="98">
        <v>586.2237420615535</v>
      </c>
      <c r="BA19" s="100" t="s">
        <v>635</v>
      </c>
      <c r="BB19" s="100" t="s">
        <v>635</v>
      </c>
      <c r="BC19" s="100" t="s">
        <v>635</v>
      </c>
      <c r="BD19" s="158">
        <v>0.1035151672</v>
      </c>
      <c r="BE19" s="158">
        <v>0.3710307693</v>
      </c>
      <c r="BF19" s="162">
        <v>304</v>
      </c>
      <c r="BG19" s="162">
        <v>22</v>
      </c>
      <c r="BH19" s="162">
        <v>1176</v>
      </c>
      <c r="BI19" s="162">
        <v>236</v>
      </c>
      <c r="BJ19" s="162">
        <v>127</v>
      </c>
      <c r="BK19" s="97"/>
      <c r="BL19" s="97"/>
      <c r="BM19" s="97"/>
      <c r="BN19" s="97"/>
    </row>
    <row r="20" spans="1:66" ht="12.75">
      <c r="A20" s="79" t="s">
        <v>556</v>
      </c>
      <c r="B20" s="79" t="s">
        <v>290</v>
      </c>
      <c r="C20" s="79" t="s">
        <v>107</v>
      </c>
      <c r="D20" s="99">
        <v>11496</v>
      </c>
      <c r="E20" s="99">
        <v>1612</v>
      </c>
      <c r="F20" s="99" t="s">
        <v>385</v>
      </c>
      <c r="G20" s="99">
        <v>37</v>
      </c>
      <c r="H20" s="99">
        <v>23</v>
      </c>
      <c r="I20" s="99">
        <v>219</v>
      </c>
      <c r="J20" s="99">
        <v>722</v>
      </c>
      <c r="K20" s="99">
        <v>11</v>
      </c>
      <c r="L20" s="99">
        <v>2421</v>
      </c>
      <c r="M20" s="99">
        <v>559</v>
      </c>
      <c r="N20" s="99">
        <v>306</v>
      </c>
      <c r="O20" s="99">
        <v>162</v>
      </c>
      <c r="P20" s="159">
        <v>162</v>
      </c>
      <c r="Q20" s="99">
        <v>14</v>
      </c>
      <c r="R20" s="99">
        <v>37</v>
      </c>
      <c r="S20" s="99">
        <v>43</v>
      </c>
      <c r="T20" s="99">
        <v>37</v>
      </c>
      <c r="U20" s="99">
        <v>9</v>
      </c>
      <c r="V20" s="99" t="s">
        <v>635</v>
      </c>
      <c r="W20" s="99">
        <v>78</v>
      </c>
      <c r="X20" s="99">
        <v>35</v>
      </c>
      <c r="Y20" s="99">
        <v>116</v>
      </c>
      <c r="Z20" s="99">
        <v>61</v>
      </c>
      <c r="AA20" s="99" t="s">
        <v>635</v>
      </c>
      <c r="AB20" s="99" t="s">
        <v>635</v>
      </c>
      <c r="AC20" s="99" t="s">
        <v>635</v>
      </c>
      <c r="AD20" s="98" t="s">
        <v>362</v>
      </c>
      <c r="AE20" s="100">
        <v>0.14022268615170494</v>
      </c>
      <c r="AF20" s="100">
        <v>0.14</v>
      </c>
      <c r="AG20" s="98">
        <v>321.8510786360473</v>
      </c>
      <c r="AH20" s="98">
        <v>200.0695894224078</v>
      </c>
      <c r="AI20" s="100">
        <v>0.019</v>
      </c>
      <c r="AJ20" s="100">
        <v>0.585089</v>
      </c>
      <c r="AK20" s="100">
        <v>0.423077</v>
      </c>
      <c r="AL20" s="100">
        <v>0.669895</v>
      </c>
      <c r="AM20" s="100">
        <v>0.512374</v>
      </c>
      <c r="AN20" s="100">
        <v>0.55036</v>
      </c>
      <c r="AO20" s="98">
        <v>1409.1858037578288</v>
      </c>
      <c r="AP20" s="158">
        <v>0.8180138397000001</v>
      </c>
      <c r="AQ20" s="100">
        <v>0.08641975308641975</v>
      </c>
      <c r="AR20" s="100">
        <v>0.3783783783783784</v>
      </c>
      <c r="AS20" s="98">
        <v>374.0431454418928</v>
      </c>
      <c r="AT20" s="98">
        <v>321.8510786360473</v>
      </c>
      <c r="AU20" s="98">
        <v>78.28810020876827</v>
      </c>
      <c r="AV20" s="98" t="s">
        <v>635</v>
      </c>
      <c r="AW20" s="98">
        <v>678.4968684759916</v>
      </c>
      <c r="AX20" s="98">
        <v>304.4537230340988</v>
      </c>
      <c r="AY20" s="98">
        <v>1009.0466249130133</v>
      </c>
      <c r="AZ20" s="98">
        <v>530.6193458594294</v>
      </c>
      <c r="BA20" s="100" t="s">
        <v>635</v>
      </c>
      <c r="BB20" s="100" t="s">
        <v>635</v>
      </c>
      <c r="BC20" s="100" t="s">
        <v>635</v>
      </c>
      <c r="BD20" s="158">
        <v>0.6968971252</v>
      </c>
      <c r="BE20" s="158">
        <v>0.9541294861</v>
      </c>
      <c r="BF20" s="162">
        <v>1234</v>
      </c>
      <c r="BG20" s="162">
        <v>26</v>
      </c>
      <c r="BH20" s="162">
        <v>3614</v>
      </c>
      <c r="BI20" s="162">
        <v>1091</v>
      </c>
      <c r="BJ20" s="162">
        <v>556</v>
      </c>
      <c r="BK20" s="97"/>
      <c r="BL20" s="97"/>
      <c r="BM20" s="97"/>
      <c r="BN20" s="97"/>
    </row>
    <row r="21" spans="1:66" ht="12.75">
      <c r="A21" s="79" t="s">
        <v>563</v>
      </c>
      <c r="B21" s="79" t="s">
        <v>296</v>
      </c>
      <c r="C21" s="79" t="s">
        <v>107</v>
      </c>
      <c r="D21" s="99">
        <v>4850</v>
      </c>
      <c r="E21" s="99">
        <v>627</v>
      </c>
      <c r="F21" s="99" t="s">
        <v>383</v>
      </c>
      <c r="G21" s="99">
        <v>15</v>
      </c>
      <c r="H21" s="99">
        <v>6</v>
      </c>
      <c r="I21" s="99">
        <v>18</v>
      </c>
      <c r="J21" s="99">
        <v>277</v>
      </c>
      <c r="K21" s="99">
        <v>6</v>
      </c>
      <c r="L21" s="99">
        <v>802</v>
      </c>
      <c r="M21" s="99">
        <v>171</v>
      </c>
      <c r="N21" s="99">
        <v>88</v>
      </c>
      <c r="O21" s="99">
        <v>70</v>
      </c>
      <c r="P21" s="159">
        <v>70</v>
      </c>
      <c r="Q21" s="99">
        <v>7</v>
      </c>
      <c r="R21" s="99">
        <v>17</v>
      </c>
      <c r="S21" s="99">
        <v>14</v>
      </c>
      <c r="T21" s="99">
        <v>16</v>
      </c>
      <c r="U21" s="99" t="s">
        <v>635</v>
      </c>
      <c r="V21" s="99">
        <v>10</v>
      </c>
      <c r="W21" s="99">
        <v>22</v>
      </c>
      <c r="X21" s="99">
        <v>18</v>
      </c>
      <c r="Y21" s="99">
        <v>54</v>
      </c>
      <c r="Z21" s="99">
        <v>27</v>
      </c>
      <c r="AA21" s="99" t="s">
        <v>635</v>
      </c>
      <c r="AB21" s="99" t="s">
        <v>635</v>
      </c>
      <c r="AC21" s="99" t="s">
        <v>635</v>
      </c>
      <c r="AD21" s="98" t="s">
        <v>362</v>
      </c>
      <c r="AE21" s="100">
        <v>0.1292783505154639</v>
      </c>
      <c r="AF21" s="100">
        <v>0.28</v>
      </c>
      <c r="AG21" s="98">
        <v>309.2783505154639</v>
      </c>
      <c r="AH21" s="98">
        <v>123.71134020618557</v>
      </c>
      <c r="AI21" s="100">
        <v>0.004</v>
      </c>
      <c r="AJ21" s="100">
        <v>0.608791</v>
      </c>
      <c r="AK21" s="100">
        <v>0.6</v>
      </c>
      <c r="AL21" s="100">
        <v>0.647296</v>
      </c>
      <c r="AM21" s="100">
        <v>0.446475</v>
      </c>
      <c r="AN21" s="100">
        <v>0.483516</v>
      </c>
      <c r="AO21" s="98">
        <v>1443.298969072165</v>
      </c>
      <c r="AP21" s="158">
        <v>0.9133045959</v>
      </c>
      <c r="AQ21" s="100">
        <v>0.1</v>
      </c>
      <c r="AR21" s="100">
        <v>0.4117647058823529</v>
      </c>
      <c r="AS21" s="98">
        <v>288.659793814433</v>
      </c>
      <c r="AT21" s="98">
        <v>329.89690721649487</v>
      </c>
      <c r="AU21" s="98" t="s">
        <v>635</v>
      </c>
      <c r="AV21" s="98">
        <v>206.18556701030928</v>
      </c>
      <c r="AW21" s="98">
        <v>453.6082474226804</v>
      </c>
      <c r="AX21" s="98">
        <v>371.1340206185567</v>
      </c>
      <c r="AY21" s="98">
        <v>1113.4020618556701</v>
      </c>
      <c r="AZ21" s="98">
        <v>556.7010309278351</v>
      </c>
      <c r="BA21" s="100" t="s">
        <v>635</v>
      </c>
      <c r="BB21" s="100" t="s">
        <v>635</v>
      </c>
      <c r="BC21" s="100" t="s">
        <v>635</v>
      </c>
      <c r="BD21" s="158">
        <v>0.7119657898</v>
      </c>
      <c r="BE21" s="158">
        <v>1.153905487</v>
      </c>
      <c r="BF21" s="162">
        <v>455</v>
      </c>
      <c r="BG21" s="162">
        <v>10</v>
      </c>
      <c r="BH21" s="162">
        <v>1239</v>
      </c>
      <c r="BI21" s="162">
        <v>383</v>
      </c>
      <c r="BJ21" s="162">
        <v>182</v>
      </c>
      <c r="BK21" s="97"/>
      <c r="BL21" s="97"/>
      <c r="BM21" s="97"/>
      <c r="BN21" s="97"/>
    </row>
    <row r="22" spans="1:66" ht="12.75">
      <c r="A22" s="79" t="s">
        <v>562</v>
      </c>
      <c r="B22" s="79" t="s">
        <v>295</v>
      </c>
      <c r="C22" s="79" t="s">
        <v>107</v>
      </c>
      <c r="D22" s="99">
        <v>7402</v>
      </c>
      <c r="E22" s="99">
        <v>840</v>
      </c>
      <c r="F22" s="99" t="s">
        <v>385</v>
      </c>
      <c r="G22" s="99">
        <v>25</v>
      </c>
      <c r="H22" s="99">
        <v>11</v>
      </c>
      <c r="I22" s="99">
        <v>85</v>
      </c>
      <c r="J22" s="99">
        <v>461</v>
      </c>
      <c r="K22" s="99">
        <v>8</v>
      </c>
      <c r="L22" s="99">
        <v>1528</v>
      </c>
      <c r="M22" s="99">
        <v>251</v>
      </c>
      <c r="N22" s="99">
        <v>131</v>
      </c>
      <c r="O22" s="99">
        <v>106</v>
      </c>
      <c r="P22" s="159">
        <v>106</v>
      </c>
      <c r="Q22" s="99">
        <v>11</v>
      </c>
      <c r="R22" s="99">
        <v>27</v>
      </c>
      <c r="S22" s="99">
        <v>24</v>
      </c>
      <c r="T22" s="99">
        <v>11</v>
      </c>
      <c r="U22" s="99" t="s">
        <v>635</v>
      </c>
      <c r="V22" s="99">
        <v>18</v>
      </c>
      <c r="W22" s="99">
        <v>38</v>
      </c>
      <c r="X22" s="99">
        <v>30</v>
      </c>
      <c r="Y22" s="99">
        <v>76</v>
      </c>
      <c r="Z22" s="99">
        <v>43</v>
      </c>
      <c r="AA22" s="99" t="s">
        <v>635</v>
      </c>
      <c r="AB22" s="99" t="s">
        <v>635</v>
      </c>
      <c r="AC22" s="99" t="s">
        <v>635</v>
      </c>
      <c r="AD22" s="98" t="s">
        <v>362</v>
      </c>
      <c r="AE22" s="100">
        <v>0.11348284247500676</v>
      </c>
      <c r="AF22" s="100">
        <v>0.17</v>
      </c>
      <c r="AG22" s="98">
        <v>337.74655498513914</v>
      </c>
      <c r="AH22" s="98">
        <v>148.60848419346124</v>
      </c>
      <c r="AI22" s="100">
        <v>0.011000000000000001</v>
      </c>
      <c r="AJ22" s="100">
        <v>0.649296</v>
      </c>
      <c r="AK22" s="100">
        <v>0.333333</v>
      </c>
      <c r="AL22" s="100">
        <v>0.751229</v>
      </c>
      <c r="AM22" s="100">
        <v>0.470919</v>
      </c>
      <c r="AN22" s="100">
        <v>0.456446</v>
      </c>
      <c r="AO22" s="98">
        <v>1432.04539313699</v>
      </c>
      <c r="AP22" s="158">
        <v>0.9203687286000001</v>
      </c>
      <c r="AQ22" s="100">
        <v>0.10377358490566038</v>
      </c>
      <c r="AR22" s="100">
        <v>0.4074074074074074</v>
      </c>
      <c r="AS22" s="98">
        <v>324.23669278573357</v>
      </c>
      <c r="AT22" s="98">
        <v>148.60848419346124</v>
      </c>
      <c r="AU22" s="98" t="s">
        <v>635</v>
      </c>
      <c r="AV22" s="98">
        <v>243.17751958930018</v>
      </c>
      <c r="AW22" s="98">
        <v>513.3747635774115</v>
      </c>
      <c r="AX22" s="98">
        <v>405.29586598216696</v>
      </c>
      <c r="AY22" s="98">
        <v>1026.749527154823</v>
      </c>
      <c r="AZ22" s="98">
        <v>580.9240745744394</v>
      </c>
      <c r="BA22" s="100" t="s">
        <v>635</v>
      </c>
      <c r="BB22" s="100" t="s">
        <v>635</v>
      </c>
      <c r="BC22" s="100" t="s">
        <v>635</v>
      </c>
      <c r="BD22" s="158">
        <v>0.7535224915000001</v>
      </c>
      <c r="BE22" s="158">
        <v>1.113159409</v>
      </c>
      <c r="BF22" s="162">
        <v>710</v>
      </c>
      <c r="BG22" s="162">
        <v>24</v>
      </c>
      <c r="BH22" s="162">
        <v>2034</v>
      </c>
      <c r="BI22" s="162">
        <v>533</v>
      </c>
      <c r="BJ22" s="162">
        <v>287</v>
      </c>
      <c r="BK22" s="97"/>
      <c r="BL22" s="97"/>
      <c r="BM22" s="97"/>
      <c r="BN22" s="97"/>
    </row>
    <row r="23" spans="1:66" ht="12.75">
      <c r="A23" s="79" t="s">
        <v>558</v>
      </c>
      <c r="B23" s="79" t="s">
        <v>292</v>
      </c>
      <c r="C23" s="79" t="s">
        <v>107</v>
      </c>
      <c r="D23" s="99">
        <v>5720</v>
      </c>
      <c r="E23" s="99">
        <v>888</v>
      </c>
      <c r="F23" s="99" t="s">
        <v>382</v>
      </c>
      <c r="G23" s="99">
        <v>22</v>
      </c>
      <c r="H23" s="99" t="s">
        <v>635</v>
      </c>
      <c r="I23" s="99">
        <v>100</v>
      </c>
      <c r="J23" s="99">
        <v>324</v>
      </c>
      <c r="K23" s="99">
        <v>303</v>
      </c>
      <c r="L23" s="99">
        <v>924</v>
      </c>
      <c r="M23" s="99">
        <v>200</v>
      </c>
      <c r="N23" s="99">
        <v>102</v>
      </c>
      <c r="O23" s="99">
        <v>72</v>
      </c>
      <c r="P23" s="159">
        <v>72</v>
      </c>
      <c r="Q23" s="99" t="s">
        <v>635</v>
      </c>
      <c r="R23" s="99">
        <v>23</v>
      </c>
      <c r="S23" s="99">
        <v>11</v>
      </c>
      <c r="T23" s="99">
        <v>10</v>
      </c>
      <c r="U23" s="99" t="s">
        <v>635</v>
      </c>
      <c r="V23" s="99">
        <v>8</v>
      </c>
      <c r="W23" s="99">
        <v>53</v>
      </c>
      <c r="X23" s="99">
        <v>21</v>
      </c>
      <c r="Y23" s="99">
        <v>56</v>
      </c>
      <c r="Z23" s="99">
        <v>29</v>
      </c>
      <c r="AA23" s="99" t="s">
        <v>635</v>
      </c>
      <c r="AB23" s="99" t="s">
        <v>635</v>
      </c>
      <c r="AC23" s="99" t="s">
        <v>635</v>
      </c>
      <c r="AD23" s="98" t="s">
        <v>362</v>
      </c>
      <c r="AE23" s="100">
        <v>0.15524475524475526</v>
      </c>
      <c r="AF23" s="100">
        <v>0.21</v>
      </c>
      <c r="AG23" s="98">
        <v>384.61538461538464</v>
      </c>
      <c r="AH23" s="98" t="s">
        <v>635</v>
      </c>
      <c r="AI23" s="100">
        <v>0.017</v>
      </c>
      <c r="AJ23" s="100">
        <v>0.592322</v>
      </c>
      <c r="AK23" s="100">
        <v>0.571698</v>
      </c>
      <c r="AL23" s="100">
        <v>0.58816</v>
      </c>
      <c r="AM23" s="100">
        <v>0.410678</v>
      </c>
      <c r="AN23" s="100">
        <v>0.418033</v>
      </c>
      <c r="AO23" s="98">
        <v>1258.7412587412587</v>
      </c>
      <c r="AP23" s="158">
        <v>0.7362861633</v>
      </c>
      <c r="AQ23" s="100" t="s">
        <v>635</v>
      </c>
      <c r="AR23" s="100" t="s">
        <v>635</v>
      </c>
      <c r="AS23" s="98">
        <v>192.30769230769232</v>
      </c>
      <c r="AT23" s="98">
        <v>174.82517482517483</v>
      </c>
      <c r="AU23" s="98" t="s">
        <v>635</v>
      </c>
      <c r="AV23" s="98">
        <v>139.86013986013987</v>
      </c>
      <c r="AW23" s="98">
        <v>926.5734265734266</v>
      </c>
      <c r="AX23" s="98">
        <v>367.13286713286715</v>
      </c>
      <c r="AY23" s="98">
        <v>979.020979020979</v>
      </c>
      <c r="AZ23" s="98">
        <v>506.993006993007</v>
      </c>
      <c r="BA23" s="100" t="s">
        <v>635</v>
      </c>
      <c r="BB23" s="100" t="s">
        <v>635</v>
      </c>
      <c r="BC23" s="100" t="s">
        <v>635</v>
      </c>
      <c r="BD23" s="158">
        <v>0.5760985565</v>
      </c>
      <c r="BE23" s="158">
        <v>0.9272305298000001</v>
      </c>
      <c r="BF23" s="162">
        <v>547</v>
      </c>
      <c r="BG23" s="162">
        <v>530</v>
      </c>
      <c r="BH23" s="162">
        <v>1571</v>
      </c>
      <c r="BI23" s="162">
        <v>487</v>
      </c>
      <c r="BJ23" s="162">
        <v>244</v>
      </c>
      <c r="BK23" s="97"/>
      <c r="BL23" s="97"/>
      <c r="BM23" s="97"/>
      <c r="BN23" s="97"/>
    </row>
    <row r="24" spans="1:66" ht="12.75">
      <c r="A24" s="79" t="s">
        <v>589</v>
      </c>
      <c r="B24" s="79" t="s">
        <v>322</v>
      </c>
      <c r="C24" s="79" t="s">
        <v>107</v>
      </c>
      <c r="D24" s="99">
        <v>10456</v>
      </c>
      <c r="E24" s="99">
        <v>856</v>
      </c>
      <c r="F24" s="99" t="s">
        <v>382</v>
      </c>
      <c r="G24" s="99">
        <v>18</v>
      </c>
      <c r="H24" s="99">
        <v>7</v>
      </c>
      <c r="I24" s="99">
        <v>60</v>
      </c>
      <c r="J24" s="99">
        <v>471</v>
      </c>
      <c r="K24" s="99">
        <v>228</v>
      </c>
      <c r="L24" s="99">
        <v>1410</v>
      </c>
      <c r="M24" s="99">
        <v>168</v>
      </c>
      <c r="N24" s="99">
        <v>107</v>
      </c>
      <c r="O24" s="99">
        <v>48</v>
      </c>
      <c r="P24" s="159">
        <v>48</v>
      </c>
      <c r="Q24" s="99">
        <v>7</v>
      </c>
      <c r="R24" s="99">
        <v>19</v>
      </c>
      <c r="S24" s="99">
        <v>8</v>
      </c>
      <c r="T24" s="99">
        <v>9</v>
      </c>
      <c r="U24" s="99" t="s">
        <v>635</v>
      </c>
      <c r="V24" s="99" t="s">
        <v>635</v>
      </c>
      <c r="W24" s="99">
        <v>37</v>
      </c>
      <c r="X24" s="99">
        <v>21</v>
      </c>
      <c r="Y24" s="99">
        <v>80</v>
      </c>
      <c r="Z24" s="99">
        <v>30</v>
      </c>
      <c r="AA24" s="99" t="s">
        <v>635</v>
      </c>
      <c r="AB24" s="99" t="s">
        <v>635</v>
      </c>
      <c r="AC24" s="99" t="s">
        <v>635</v>
      </c>
      <c r="AD24" s="98" t="s">
        <v>362</v>
      </c>
      <c r="AE24" s="100">
        <v>0.08186687069625095</v>
      </c>
      <c r="AF24" s="100">
        <v>0.22</v>
      </c>
      <c r="AG24" s="98">
        <v>172.14996174445295</v>
      </c>
      <c r="AH24" s="98">
        <v>66.94720734506504</v>
      </c>
      <c r="AI24" s="100">
        <v>0.006</v>
      </c>
      <c r="AJ24" s="100">
        <v>0.633065</v>
      </c>
      <c r="AK24" s="100">
        <v>0.65896</v>
      </c>
      <c r="AL24" s="100">
        <v>0.60205</v>
      </c>
      <c r="AM24" s="100">
        <v>0.284746</v>
      </c>
      <c r="AN24" s="100">
        <v>0.345161</v>
      </c>
      <c r="AO24" s="98">
        <v>459.0665646518745</v>
      </c>
      <c r="AP24" s="158">
        <v>0.348710556</v>
      </c>
      <c r="AQ24" s="100">
        <v>0.14583333333333334</v>
      </c>
      <c r="AR24" s="100">
        <v>0.3684210526315789</v>
      </c>
      <c r="AS24" s="98">
        <v>76.51109410864575</v>
      </c>
      <c r="AT24" s="98">
        <v>86.07498087222648</v>
      </c>
      <c r="AU24" s="98" t="s">
        <v>635</v>
      </c>
      <c r="AV24" s="98" t="s">
        <v>635</v>
      </c>
      <c r="AW24" s="98">
        <v>353.8638102524866</v>
      </c>
      <c r="AX24" s="98">
        <v>200.84162203519512</v>
      </c>
      <c r="AY24" s="98">
        <v>765.1109410864575</v>
      </c>
      <c r="AZ24" s="98">
        <v>286.9166029074216</v>
      </c>
      <c r="BA24" s="100" t="s">
        <v>635</v>
      </c>
      <c r="BB24" s="100" t="s">
        <v>635</v>
      </c>
      <c r="BC24" s="100" t="s">
        <v>635</v>
      </c>
      <c r="BD24" s="158">
        <v>0.2571116257</v>
      </c>
      <c r="BE24" s="158">
        <v>0.462339592</v>
      </c>
      <c r="BF24" s="162">
        <v>744</v>
      </c>
      <c r="BG24" s="162">
        <v>346</v>
      </c>
      <c r="BH24" s="162">
        <v>2342</v>
      </c>
      <c r="BI24" s="162">
        <v>590</v>
      </c>
      <c r="BJ24" s="162">
        <v>310</v>
      </c>
      <c r="BK24" s="97"/>
      <c r="BL24" s="97"/>
      <c r="BM24" s="97"/>
      <c r="BN24" s="97"/>
    </row>
    <row r="25" spans="1:66" ht="12.75">
      <c r="A25" s="79" t="s">
        <v>574</v>
      </c>
      <c r="B25" s="79" t="s">
        <v>307</v>
      </c>
      <c r="C25" s="79" t="s">
        <v>107</v>
      </c>
      <c r="D25" s="99">
        <v>5178</v>
      </c>
      <c r="E25" s="99">
        <v>548</v>
      </c>
      <c r="F25" s="99" t="s">
        <v>382</v>
      </c>
      <c r="G25" s="99" t="s">
        <v>635</v>
      </c>
      <c r="H25" s="99" t="s">
        <v>635</v>
      </c>
      <c r="I25" s="99">
        <v>32</v>
      </c>
      <c r="J25" s="99">
        <v>364</v>
      </c>
      <c r="K25" s="99">
        <v>346</v>
      </c>
      <c r="L25" s="99">
        <v>870</v>
      </c>
      <c r="M25" s="99">
        <v>114</v>
      </c>
      <c r="N25" s="99">
        <v>61</v>
      </c>
      <c r="O25" s="99">
        <v>49</v>
      </c>
      <c r="P25" s="159">
        <v>49</v>
      </c>
      <c r="Q25" s="99" t="s">
        <v>635</v>
      </c>
      <c r="R25" s="99">
        <v>12</v>
      </c>
      <c r="S25" s="99">
        <v>10</v>
      </c>
      <c r="T25" s="99">
        <v>16</v>
      </c>
      <c r="U25" s="99" t="s">
        <v>635</v>
      </c>
      <c r="V25" s="99" t="s">
        <v>635</v>
      </c>
      <c r="W25" s="99">
        <v>23</v>
      </c>
      <c r="X25" s="99" t="s">
        <v>635</v>
      </c>
      <c r="Y25" s="99">
        <v>55</v>
      </c>
      <c r="Z25" s="99">
        <v>22</v>
      </c>
      <c r="AA25" s="99" t="s">
        <v>635</v>
      </c>
      <c r="AB25" s="99" t="s">
        <v>635</v>
      </c>
      <c r="AC25" s="99" t="s">
        <v>635</v>
      </c>
      <c r="AD25" s="98" t="s">
        <v>362</v>
      </c>
      <c r="AE25" s="100">
        <v>0.10583236770954037</v>
      </c>
      <c r="AF25" s="100">
        <v>0.23</v>
      </c>
      <c r="AG25" s="98" t="s">
        <v>635</v>
      </c>
      <c r="AH25" s="98" t="s">
        <v>635</v>
      </c>
      <c r="AI25" s="100">
        <v>0.006</v>
      </c>
      <c r="AJ25" s="100">
        <v>0.686792</v>
      </c>
      <c r="AK25" s="100">
        <v>0.677104</v>
      </c>
      <c r="AL25" s="100">
        <v>0.674942</v>
      </c>
      <c r="AM25" s="100">
        <v>0.285714</v>
      </c>
      <c r="AN25" s="100">
        <v>0.291866</v>
      </c>
      <c r="AO25" s="98">
        <v>946.3113171108536</v>
      </c>
      <c r="AP25" s="158">
        <v>0.6197322464</v>
      </c>
      <c r="AQ25" s="100" t="s">
        <v>635</v>
      </c>
      <c r="AR25" s="100" t="s">
        <v>635</v>
      </c>
      <c r="AS25" s="98">
        <v>193.12475859405177</v>
      </c>
      <c r="AT25" s="98">
        <v>308.9996137504828</v>
      </c>
      <c r="AU25" s="98" t="s">
        <v>635</v>
      </c>
      <c r="AV25" s="98" t="s">
        <v>635</v>
      </c>
      <c r="AW25" s="98">
        <v>444.186944766319</v>
      </c>
      <c r="AX25" s="98" t="s">
        <v>635</v>
      </c>
      <c r="AY25" s="98">
        <v>1062.1861722672847</v>
      </c>
      <c r="AZ25" s="98">
        <v>424.8744689069139</v>
      </c>
      <c r="BA25" s="100" t="s">
        <v>635</v>
      </c>
      <c r="BB25" s="100" t="s">
        <v>635</v>
      </c>
      <c r="BC25" s="100" t="s">
        <v>635</v>
      </c>
      <c r="BD25" s="158">
        <v>0.4584813309</v>
      </c>
      <c r="BE25" s="158">
        <v>0.8193188477</v>
      </c>
      <c r="BF25" s="162">
        <v>530</v>
      </c>
      <c r="BG25" s="162">
        <v>511</v>
      </c>
      <c r="BH25" s="162">
        <v>1289</v>
      </c>
      <c r="BI25" s="162">
        <v>399</v>
      </c>
      <c r="BJ25" s="162">
        <v>209</v>
      </c>
      <c r="BK25" s="97"/>
      <c r="BL25" s="97"/>
      <c r="BM25" s="97"/>
      <c r="BN25" s="97"/>
    </row>
    <row r="26" spans="1:66" ht="12.75">
      <c r="A26" s="79" t="s">
        <v>559</v>
      </c>
      <c r="B26" s="79" t="s">
        <v>293</v>
      </c>
      <c r="C26" s="79" t="s">
        <v>107</v>
      </c>
      <c r="D26" s="99">
        <v>5909</v>
      </c>
      <c r="E26" s="99">
        <v>586</v>
      </c>
      <c r="F26" s="99" t="s">
        <v>382</v>
      </c>
      <c r="G26" s="99" t="s">
        <v>635</v>
      </c>
      <c r="H26" s="99" t="s">
        <v>635</v>
      </c>
      <c r="I26" s="99">
        <v>92</v>
      </c>
      <c r="J26" s="99">
        <v>355</v>
      </c>
      <c r="K26" s="99" t="s">
        <v>635</v>
      </c>
      <c r="L26" s="99">
        <v>1210</v>
      </c>
      <c r="M26" s="99">
        <v>224</v>
      </c>
      <c r="N26" s="99">
        <v>135</v>
      </c>
      <c r="O26" s="99">
        <v>73</v>
      </c>
      <c r="P26" s="159">
        <v>73</v>
      </c>
      <c r="Q26" s="99">
        <v>7</v>
      </c>
      <c r="R26" s="99">
        <v>21</v>
      </c>
      <c r="S26" s="99">
        <v>14</v>
      </c>
      <c r="T26" s="99">
        <v>19</v>
      </c>
      <c r="U26" s="99" t="s">
        <v>635</v>
      </c>
      <c r="V26" s="99">
        <v>8</v>
      </c>
      <c r="W26" s="99">
        <v>40</v>
      </c>
      <c r="X26" s="99">
        <v>25</v>
      </c>
      <c r="Y26" s="99">
        <v>91</v>
      </c>
      <c r="Z26" s="99">
        <v>29</v>
      </c>
      <c r="AA26" s="99" t="s">
        <v>635</v>
      </c>
      <c r="AB26" s="99" t="s">
        <v>635</v>
      </c>
      <c r="AC26" s="99" t="s">
        <v>635</v>
      </c>
      <c r="AD26" s="98" t="s">
        <v>362</v>
      </c>
      <c r="AE26" s="100">
        <v>0.09917075647317651</v>
      </c>
      <c r="AF26" s="100">
        <v>0.17</v>
      </c>
      <c r="AG26" s="98" t="s">
        <v>635</v>
      </c>
      <c r="AH26" s="98" t="s">
        <v>635</v>
      </c>
      <c r="AI26" s="100">
        <v>0.016</v>
      </c>
      <c r="AJ26" s="100">
        <v>0.632799</v>
      </c>
      <c r="AK26" s="100" t="s">
        <v>635</v>
      </c>
      <c r="AL26" s="100">
        <v>0.694205</v>
      </c>
      <c r="AM26" s="100">
        <v>0.478632</v>
      </c>
      <c r="AN26" s="100">
        <v>0.507519</v>
      </c>
      <c r="AO26" s="98">
        <v>1235.4036215941783</v>
      </c>
      <c r="AP26" s="158">
        <v>0.8150405884</v>
      </c>
      <c r="AQ26" s="100">
        <v>0.0958904109589041</v>
      </c>
      <c r="AR26" s="100">
        <v>0.3333333333333333</v>
      </c>
      <c r="AS26" s="98">
        <v>236.92672194956845</v>
      </c>
      <c r="AT26" s="98">
        <v>321.54340836012864</v>
      </c>
      <c r="AU26" s="98" t="s">
        <v>635</v>
      </c>
      <c r="AV26" s="98">
        <v>135.38669825689627</v>
      </c>
      <c r="AW26" s="98">
        <v>676.9334912844813</v>
      </c>
      <c r="AX26" s="98">
        <v>423.0834320528008</v>
      </c>
      <c r="AY26" s="98">
        <v>1540.023692672195</v>
      </c>
      <c r="AZ26" s="98">
        <v>490.77678118124896</v>
      </c>
      <c r="BA26" s="100" t="s">
        <v>635</v>
      </c>
      <c r="BB26" s="100" t="s">
        <v>635</v>
      </c>
      <c r="BC26" s="100" t="s">
        <v>635</v>
      </c>
      <c r="BD26" s="158">
        <v>0.6388617325</v>
      </c>
      <c r="BE26" s="158">
        <v>1.024791183</v>
      </c>
      <c r="BF26" s="162">
        <v>561</v>
      </c>
      <c r="BG26" s="162" t="s">
        <v>635</v>
      </c>
      <c r="BH26" s="162">
        <v>1743</v>
      </c>
      <c r="BI26" s="162">
        <v>468</v>
      </c>
      <c r="BJ26" s="162">
        <v>266</v>
      </c>
      <c r="BK26" s="97"/>
      <c r="BL26" s="97"/>
      <c r="BM26" s="97"/>
      <c r="BN26" s="97"/>
    </row>
    <row r="27" spans="1:66" ht="12.75">
      <c r="A27" s="79" t="s">
        <v>551</v>
      </c>
      <c r="B27" s="79" t="s">
        <v>285</v>
      </c>
      <c r="C27" s="79" t="s">
        <v>107</v>
      </c>
      <c r="D27" s="99">
        <v>3025</v>
      </c>
      <c r="E27" s="99">
        <v>246</v>
      </c>
      <c r="F27" s="99" t="s">
        <v>382</v>
      </c>
      <c r="G27" s="99" t="s">
        <v>635</v>
      </c>
      <c r="H27" s="99">
        <v>6</v>
      </c>
      <c r="I27" s="99">
        <v>26</v>
      </c>
      <c r="J27" s="99">
        <v>210</v>
      </c>
      <c r="K27" s="99">
        <v>201</v>
      </c>
      <c r="L27" s="99">
        <v>699</v>
      </c>
      <c r="M27" s="99">
        <v>83</v>
      </c>
      <c r="N27" s="99">
        <v>48</v>
      </c>
      <c r="O27" s="99">
        <v>12</v>
      </c>
      <c r="P27" s="159">
        <v>12</v>
      </c>
      <c r="Q27" s="99" t="s">
        <v>635</v>
      </c>
      <c r="R27" s="99">
        <v>9</v>
      </c>
      <c r="S27" s="99" t="s">
        <v>635</v>
      </c>
      <c r="T27" s="99" t="s">
        <v>635</v>
      </c>
      <c r="U27" s="99" t="s">
        <v>635</v>
      </c>
      <c r="V27" s="99" t="s">
        <v>635</v>
      </c>
      <c r="W27" s="99">
        <v>20</v>
      </c>
      <c r="X27" s="99">
        <v>8</v>
      </c>
      <c r="Y27" s="99">
        <v>31</v>
      </c>
      <c r="Z27" s="99">
        <v>22</v>
      </c>
      <c r="AA27" s="99" t="s">
        <v>635</v>
      </c>
      <c r="AB27" s="99" t="s">
        <v>635</v>
      </c>
      <c r="AC27" s="99" t="s">
        <v>635</v>
      </c>
      <c r="AD27" s="98" t="s">
        <v>362</v>
      </c>
      <c r="AE27" s="100">
        <v>0.08132231404958677</v>
      </c>
      <c r="AF27" s="100">
        <v>0.19</v>
      </c>
      <c r="AG27" s="98" t="s">
        <v>635</v>
      </c>
      <c r="AH27" s="98">
        <v>198.34710743801654</v>
      </c>
      <c r="AI27" s="100">
        <v>0.009000000000000001</v>
      </c>
      <c r="AJ27" s="100">
        <v>0.664557</v>
      </c>
      <c r="AK27" s="100">
        <v>0.665563</v>
      </c>
      <c r="AL27" s="100">
        <v>0.722854</v>
      </c>
      <c r="AM27" s="100">
        <v>0.451087</v>
      </c>
      <c r="AN27" s="100">
        <v>0.48</v>
      </c>
      <c r="AO27" s="98">
        <v>396.6942148760331</v>
      </c>
      <c r="AP27" s="158">
        <v>0.2615097809</v>
      </c>
      <c r="AQ27" s="100" t="s">
        <v>635</v>
      </c>
      <c r="AR27" s="100" t="s">
        <v>635</v>
      </c>
      <c r="AS27" s="98" t="s">
        <v>635</v>
      </c>
      <c r="AT27" s="98" t="s">
        <v>635</v>
      </c>
      <c r="AU27" s="98" t="s">
        <v>635</v>
      </c>
      <c r="AV27" s="98" t="s">
        <v>635</v>
      </c>
      <c r="AW27" s="98">
        <v>661.1570247933885</v>
      </c>
      <c r="AX27" s="98">
        <v>264.46280991735534</v>
      </c>
      <c r="AY27" s="98">
        <v>1024.793388429752</v>
      </c>
      <c r="AZ27" s="98">
        <v>727.2727272727273</v>
      </c>
      <c r="BA27" s="100" t="s">
        <v>635</v>
      </c>
      <c r="BB27" s="100" t="s">
        <v>635</v>
      </c>
      <c r="BC27" s="100" t="s">
        <v>635</v>
      </c>
      <c r="BD27" s="158">
        <v>0.1351259232</v>
      </c>
      <c r="BE27" s="158">
        <v>0.4568049622</v>
      </c>
      <c r="BF27" s="162">
        <v>316</v>
      </c>
      <c r="BG27" s="162">
        <v>302</v>
      </c>
      <c r="BH27" s="162">
        <v>967</v>
      </c>
      <c r="BI27" s="162">
        <v>184</v>
      </c>
      <c r="BJ27" s="162">
        <v>100</v>
      </c>
      <c r="BK27" s="97"/>
      <c r="BL27" s="97"/>
      <c r="BM27" s="97"/>
      <c r="BN27" s="97"/>
    </row>
    <row r="28" spans="1:66" ht="12.75">
      <c r="A28" s="79" t="s">
        <v>557</v>
      </c>
      <c r="B28" s="79" t="s">
        <v>291</v>
      </c>
      <c r="C28" s="79" t="s">
        <v>107</v>
      </c>
      <c r="D28" s="99">
        <v>8146</v>
      </c>
      <c r="E28" s="99">
        <v>988</v>
      </c>
      <c r="F28" s="99" t="s">
        <v>385</v>
      </c>
      <c r="G28" s="99">
        <v>27</v>
      </c>
      <c r="H28" s="99">
        <v>19</v>
      </c>
      <c r="I28" s="99">
        <v>98</v>
      </c>
      <c r="J28" s="99">
        <v>511</v>
      </c>
      <c r="K28" s="99">
        <v>463</v>
      </c>
      <c r="L28" s="99">
        <v>1551</v>
      </c>
      <c r="M28" s="99">
        <v>289</v>
      </c>
      <c r="N28" s="99">
        <v>138</v>
      </c>
      <c r="O28" s="99">
        <v>115</v>
      </c>
      <c r="P28" s="159">
        <v>115</v>
      </c>
      <c r="Q28" s="99">
        <v>15</v>
      </c>
      <c r="R28" s="99">
        <v>35</v>
      </c>
      <c r="S28" s="99">
        <v>40</v>
      </c>
      <c r="T28" s="99">
        <v>18</v>
      </c>
      <c r="U28" s="99">
        <v>6</v>
      </c>
      <c r="V28" s="99" t="s">
        <v>635</v>
      </c>
      <c r="W28" s="99">
        <v>54</v>
      </c>
      <c r="X28" s="99">
        <v>31</v>
      </c>
      <c r="Y28" s="99">
        <v>91</v>
      </c>
      <c r="Z28" s="99">
        <v>50</v>
      </c>
      <c r="AA28" s="99" t="s">
        <v>635</v>
      </c>
      <c r="AB28" s="99" t="s">
        <v>635</v>
      </c>
      <c r="AC28" s="99" t="s">
        <v>635</v>
      </c>
      <c r="AD28" s="98" t="s">
        <v>362</v>
      </c>
      <c r="AE28" s="100">
        <v>0.12128652099189786</v>
      </c>
      <c r="AF28" s="100">
        <v>0.13</v>
      </c>
      <c r="AG28" s="98">
        <v>331.45101890498404</v>
      </c>
      <c r="AH28" s="98">
        <v>233.24330959980358</v>
      </c>
      <c r="AI28" s="100">
        <v>0.012</v>
      </c>
      <c r="AJ28" s="100">
        <v>0.684987</v>
      </c>
      <c r="AK28" s="100">
        <v>0.648459</v>
      </c>
      <c r="AL28" s="100">
        <v>0.68964</v>
      </c>
      <c r="AM28" s="100">
        <v>0.453689</v>
      </c>
      <c r="AN28" s="100">
        <v>0.432602</v>
      </c>
      <c r="AO28" s="98">
        <v>1411.735821261969</v>
      </c>
      <c r="AP28" s="158">
        <v>0.8747149658</v>
      </c>
      <c r="AQ28" s="100">
        <v>0.13043478260869565</v>
      </c>
      <c r="AR28" s="100">
        <v>0.42857142857142855</v>
      </c>
      <c r="AS28" s="98">
        <v>491.0385465259023</v>
      </c>
      <c r="AT28" s="98">
        <v>220.96734593665602</v>
      </c>
      <c r="AU28" s="98">
        <v>73.65578197888534</v>
      </c>
      <c r="AV28" s="98" t="s">
        <v>635</v>
      </c>
      <c r="AW28" s="98">
        <v>662.9020378099681</v>
      </c>
      <c r="AX28" s="98">
        <v>380.5548735575743</v>
      </c>
      <c r="AY28" s="98">
        <v>1117.1126933464277</v>
      </c>
      <c r="AZ28" s="98">
        <v>613.7981831573778</v>
      </c>
      <c r="BA28" s="100" t="s">
        <v>635</v>
      </c>
      <c r="BB28" s="100" t="s">
        <v>635</v>
      </c>
      <c r="BC28" s="100" t="s">
        <v>635</v>
      </c>
      <c r="BD28" s="158">
        <v>0.7221669769000001</v>
      </c>
      <c r="BE28" s="158">
        <v>1.049962921</v>
      </c>
      <c r="BF28" s="162">
        <v>746</v>
      </c>
      <c r="BG28" s="162">
        <v>714</v>
      </c>
      <c r="BH28" s="162">
        <v>2249</v>
      </c>
      <c r="BI28" s="162">
        <v>637</v>
      </c>
      <c r="BJ28" s="162">
        <v>319</v>
      </c>
      <c r="BK28" s="97"/>
      <c r="BL28" s="97"/>
      <c r="BM28" s="97"/>
      <c r="BN28" s="97"/>
    </row>
    <row r="29" spans="1:66" ht="12.75">
      <c r="A29" s="79" t="s">
        <v>565</v>
      </c>
      <c r="B29" s="79" t="s">
        <v>298</v>
      </c>
      <c r="C29" s="79" t="s">
        <v>107</v>
      </c>
      <c r="D29" s="99">
        <v>9695</v>
      </c>
      <c r="E29" s="99">
        <v>1202</v>
      </c>
      <c r="F29" s="99" t="s">
        <v>385</v>
      </c>
      <c r="G29" s="99">
        <v>43</v>
      </c>
      <c r="H29" s="99">
        <v>15</v>
      </c>
      <c r="I29" s="99">
        <v>130</v>
      </c>
      <c r="J29" s="99">
        <v>663</v>
      </c>
      <c r="K29" s="99">
        <v>6</v>
      </c>
      <c r="L29" s="99">
        <v>1799</v>
      </c>
      <c r="M29" s="99">
        <v>412</v>
      </c>
      <c r="N29" s="99">
        <v>235</v>
      </c>
      <c r="O29" s="99">
        <v>114</v>
      </c>
      <c r="P29" s="159">
        <v>114</v>
      </c>
      <c r="Q29" s="99">
        <v>9</v>
      </c>
      <c r="R29" s="99">
        <v>26</v>
      </c>
      <c r="S29" s="99">
        <v>23</v>
      </c>
      <c r="T29" s="99">
        <v>24</v>
      </c>
      <c r="U29" s="99" t="s">
        <v>635</v>
      </c>
      <c r="V29" s="99" t="s">
        <v>635</v>
      </c>
      <c r="W29" s="99">
        <v>45</v>
      </c>
      <c r="X29" s="99">
        <v>37</v>
      </c>
      <c r="Y29" s="99">
        <v>99</v>
      </c>
      <c r="Z29" s="99">
        <v>48</v>
      </c>
      <c r="AA29" s="99" t="s">
        <v>635</v>
      </c>
      <c r="AB29" s="99" t="s">
        <v>635</v>
      </c>
      <c r="AC29" s="99" t="s">
        <v>635</v>
      </c>
      <c r="AD29" s="98" t="s">
        <v>362</v>
      </c>
      <c r="AE29" s="100">
        <v>0.12398143372872615</v>
      </c>
      <c r="AF29" s="100">
        <v>0.14</v>
      </c>
      <c r="AG29" s="98">
        <v>443.527591542032</v>
      </c>
      <c r="AH29" s="98">
        <v>154.71892728210418</v>
      </c>
      <c r="AI29" s="100">
        <v>0.013000000000000001</v>
      </c>
      <c r="AJ29" s="100">
        <v>0.636888</v>
      </c>
      <c r="AK29" s="100">
        <v>0.333333</v>
      </c>
      <c r="AL29" s="100">
        <v>0.691126</v>
      </c>
      <c r="AM29" s="100">
        <v>0.499394</v>
      </c>
      <c r="AN29" s="100">
        <v>0.51087</v>
      </c>
      <c r="AO29" s="98">
        <v>1175.8638473439917</v>
      </c>
      <c r="AP29" s="158">
        <v>0.7247277069</v>
      </c>
      <c r="AQ29" s="100">
        <v>0.07894736842105263</v>
      </c>
      <c r="AR29" s="100">
        <v>0.34615384615384615</v>
      </c>
      <c r="AS29" s="98">
        <v>237.2356884992264</v>
      </c>
      <c r="AT29" s="98">
        <v>247.5502836513667</v>
      </c>
      <c r="AU29" s="98" t="s">
        <v>635</v>
      </c>
      <c r="AV29" s="98" t="s">
        <v>635</v>
      </c>
      <c r="AW29" s="98">
        <v>464.1567818463125</v>
      </c>
      <c r="AX29" s="98">
        <v>381.6400206291903</v>
      </c>
      <c r="AY29" s="98">
        <v>1021.1449200618875</v>
      </c>
      <c r="AZ29" s="98">
        <v>495.1005673027334</v>
      </c>
      <c r="BA29" s="100" t="s">
        <v>635</v>
      </c>
      <c r="BB29" s="100" t="s">
        <v>635</v>
      </c>
      <c r="BC29" s="100" t="s">
        <v>635</v>
      </c>
      <c r="BD29" s="158">
        <v>0.5978109741000001</v>
      </c>
      <c r="BE29" s="158">
        <v>0.8706193542</v>
      </c>
      <c r="BF29" s="162">
        <v>1041</v>
      </c>
      <c r="BG29" s="162">
        <v>18</v>
      </c>
      <c r="BH29" s="162">
        <v>2603</v>
      </c>
      <c r="BI29" s="162">
        <v>825</v>
      </c>
      <c r="BJ29" s="162">
        <v>460</v>
      </c>
      <c r="BK29" s="97"/>
      <c r="BL29" s="97"/>
      <c r="BM29" s="97"/>
      <c r="BN29" s="97"/>
    </row>
    <row r="30" spans="1:66" ht="12.75">
      <c r="A30" s="79" t="s">
        <v>577</v>
      </c>
      <c r="B30" s="79" t="s">
        <v>310</v>
      </c>
      <c r="C30" s="79" t="s">
        <v>107</v>
      </c>
      <c r="D30" s="99">
        <v>3310</v>
      </c>
      <c r="E30" s="99">
        <v>300</v>
      </c>
      <c r="F30" s="99" t="s">
        <v>383</v>
      </c>
      <c r="G30" s="99">
        <v>11</v>
      </c>
      <c r="H30" s="99" t="s">
        <v>635</v>
      </c>
      <c r="I30" s="99">
        <v>43</v>
      </c>
      <c r="J30" s="99">
        <v>212</v>
      </c>
      <c r="K30" s="99">
        <v>157</v>
      </c>
      <c r="L30" s="99">
        <v>616</v>
      </c>
      <c r="M30" s="99">
        <v>106</v>
      </c>
      <c r="N30" s="99">
        <v>71</v>
      </c>
      <c r="O30" s="99">
        <v>22</v>
      </c>
      <c r="P30" s="159">
        <v>22</v>
      </c>
      <c r="Q30" s="99" t="s">
        <v>635</v>
      </c>
      <c r="R30" s="99">
        <v>8</v>
      </c>
      <c r="S30" s="99" t="s">
        <v>635</v>
      </c>
      <c r="T30" s="99" t="s">
        <v>635</v>
      </c>
      <c r="U30" s="99" t="s">
        <v>635</v>
      </c>
      <c r="V30" s="99" t="s">
        <v>635</v>
      </c>
      <c r="W30" s="99">
        <v>8</v>
      </c>
      <c r="X30" s="99" t="s">
        <v>635</v>
      </c>
      <c r="Y30" s="99">
        <v>13</v>
      </c>
      <c r="Z30" s="99">
        <v>14</v>
      </c>
      <c r="AA30" s="99" t="s">
        <v>635</v>
      </c>
      <c r="AB30" s="99" t="s">
        <v>635</v>
      </c>
      <c r="AC30" s="99" t="s">
        <v>635</v>
      </c>
      <c r="AD30" s="98" t="s">
        <v>362</v>
      </c>
      <c r="AE30" s="100">
        <v>0.09063444108761329</v>
      </c>
      <c r="AF30" s="100">
        <v>0.26</v>
      </c>
      <c r="AG30" s="98">
        <v>332.3262839879154</v>
      </c>
      <c r="AH30" s="98" t="s">
        <v>635</v>
      </c>
      <c r="AI30" s="100">
        <v>0.013000000000000001</v>
      </c>
      <c r="AJ30" s="100">
        <v>0.686084</v>
      </c>
      <c r="AK30" s="100">
        <v>0.625498</v>
      </c>
      <c r="AL30" s="100">
        <v>0.69526</v>
      </c>
      <c r="AM30" s="100">
        <v>0.425703</v>
      </c>
      <c r="AN30" s="100">
        <v>0.507143</v>
      </c>
      <c r="AO30" s="98">
        <v>664.6525679758308</v>
      </c>
      <c r="AP30" s="158">
        <v>0.4684069061</v>
      </c>
      <c r="AQ30" s="100" t="s">
        <v>635</v>
      </c>
      <c r="AR30" s="100" t="s">
        <v>635</v>
      </c>
      <c r="AS30" s="98" t="s">
        <v>635</v>
      </c>
      <c r="AT30" s="98" t="s">
        <v>635</v>
      </c>
      <c r="AU30" s="98" t="s">
        <v>635</v>
      </c>
      <c r="AV30" s="98" t="s">
        <v>635</v>
      </c>
      <c r="AW30" s="98">
        <v>241.6918429003021</v>
      </c>
      <c r="AX30" s="98" t="s">
        <v>635</v>
      </c>
      <c r="AY30" s="98">
        <v>392.74924471299096</v>
      </c>
      <c r="AZ30" s="98">
        <v>422.9607250755287</v>
      </c>
      <c r="BA30" s="100" t="s">
        <v>635</v>
      </c>
      <c r="BB30" s="100" t="s">
        <v>635</v>
      </c>
      <c r="BC30" s="100" t="s">
        <v>635</v>
      </c>
      <c r="BD30" s="158">
        <v>0.2935481071</v>
      </c>
      <c r="BE30" s="158">
        <v>0.7091736603</v>
      </c>
      <c r="BF30" s="162">
        <v>309</v>
      </c>
      <c r="BG30" s="162">
        <v>251</v>
      </c>
      <c r="BH30" s="162">
        <v>886</v>
      </c>
      <c r="BI30" s="162">
        <v>249</v>
      </c>
      <c r="BJ30" s="162">
        <v>140</v>
      </c>
      <c r="BK30" s="97"/>
      <c r="BL30" s="97"/>
      <c r="BM30" s="97"/>
      <c r="BN30" s="97"/>
    </row>
    <row r="31" spans="1:66" ht="12.75">
      <c r="A31" s="79" t="s">
        <v>572</v>
      </c>
      <c r="B31" s="79" t="s">
        <v>305</v>
      </c>
      <c r="C31" s="79" t="s">
        <v>107</v>
      </c>
      <c r="D31" s="99">
        <v>4151</v>
      </c>
      <c r="E31" s="99">
        <v>406</v>
      </c>
      <c r="F31" s="99" t="s">
        <v>382</v>
      </c>
      <c r="G31" s="99">
        <v>10</v>
      </c>
      <c r="H31" s="99" t="s">
        <v>635</v>
      </c>
      <c r="I31" s="99">
        <v>33</v>
      </c>
      <c r="J31" s="99">
        <v>201</v>
      </c>
      <c r="K31" s="99">
        <v>61</v>
      </c>
      <c r="L31" s="99">
        <v>703</v>
      </c>
      <c r="M31" s="99">
        <v>88</v>
      </c>
      <c r="N31" s="99">
        <v>52</v>
      </c>
      <c r="O31" s="99">
        <v>57</v>
      </c>
      <c r="P31" s="159">
        <v>57</v>
      </c>
      <c r="Q31" s="99" t="s">
        <v>635</v>
      </c>
      <c r="R31" s="99">
        <v>9</v>
      </c>
      <c r="S31" s="99" t="s">
        <v>635</v>
      </c>
      <c r="T31" s="99">
        <v>7</v>
      </c>
      <c r="U31" s="99" t="s">
        <v>635</v>
      </c>
      <c r="V31" s="99">
        <v>7</v>
      </c>
      <c r="W31" s="99">
        <v>13</v>
      </c>
      <c r="X31" s="99">
        <v>16</v>
      </c>
      <c r="Y31" s="99">
        <v>45</v>
      </c>
      <c r="Z31" s="99">
        <v>12</v>
      </c>
      <c r="AA31" s="99" t="s">
        <v>635</v>
      </c>
      <c r="AB31" s="99" t="s">
        <v>635</v>
      </c>
      <c r="AC31" s="99" t="s">
        <v>635</v>
      </c>
      <c r="AD31" s="98" t="s">
        <v>362</v>
      </c>
      <c r="AE31" s="100">
        <v>0.09780775716694773</v>
      </c>
      <c r="AF31" s="100">
        <v>0.23</v>
      </c>
      <c r="AG31" s="98">
        <v>240.9058058299205</v>
      </c>
      <c r="AH31" s="98" t="s">
        <v>635</v>
      </c>
      <c r="AI31" s="100">
        <v>0.008</v>
      </c>
      <c r="AJ31" s="100">
        <v>0.636076</v>
      </c>
      <c r="AK31" s="100">
        <v>0.824324</v>
      </c>
      <c r="AL31" s="100">
        <v>0.722508</v>
      </c>
      <c r="AM31" s="100">
        <v>0.347826</v>
      </c>
      <c r="AN31" s="100">
        <v>0.433333</v>
      </c>
      <c r="AO31" s="98">
        <v>1373.1630932305468</v>
      </c>
      <c r="AP31" s="158">
        <v>0.9937693023999999</v>
      </c>
      <c r="AQ31" s="100" t="s">
        <v>635</v>
      </c>
      <c r="AR31" s="100" t="s">
        <v>635</v>
      </c>
      <c r="AS31" s="98" t="s">
        <v>635</v>
      </c>
      <c r="AT31" s="98">
        <v>168.63406408094434</v>
      </c>
      <c r="AU31" s="98" t="s">
        <v>635</v>
      </c>
      <c r="AV31" s="98">
        <v>168.63406408094434</v>
      </c>
      <c r="AW31" s="98">
        <v>313.1775475788967</v>
      </c>
      <c r="AX31" s="98">
        <v>385.4492893278728</v>
      </c>
      <c r="AY31" s="98">
        <v>1084.0761262346423</v>
      </c>
      <c r="AZ31" s="98">
        <v>289.0869669959046</v>
      </c>
      <c r="BA31" s="100" t="s">
        <v>635</v>
      </c>
      <c r="BB31" s="100" t="s">
        <v>635</v>
      </c>
      <c r="BC31" s="100" t="s">
        <v>635</v>
      </c>
      <c r="BD31" s="158">
        <v>0.7526711273</v>
      </c>
      <c r="BE31" s="158">
        <v>1.287543335</v>
      </c>
      <c r="BF31" s="162">
        <v>316</v>
      </c>
      <c r="BG31" s="162">
        <v>74</v>
      </c>
      <c r="BH31" s="162">
        <v>973</v>
      </c>
      <c r="BI31" s="162">
        <v>253</v>
      </c>
      <c r="BJ31" s="162">
        <v>120</v>
      </c>
      <c r="BK31" s="97"/>
      <c r="BL31" s="97"/>
      <c r="BM31" s="97"/>
      <c r="BN31" s="97"/>
    </row>
    <row r="32" spans="1:66" ht="12.75">
      <c r="A32" s="79" t="s">
        <v>626</v>
      </c>
      <c r="B32" s="79" t="s">
        <v>359</v>
      </c>
      <c r="C32" s="79" t="s">
        <v>107</v>
      </c>
      <c r="D32" s="99">
        <v>8157</v>
      </c>
      <c r="E32" s="99">
        <v>686</v>
      </c>
      <c r="F32" s="99" t="s">
        <v>382</v>
      </c>
      <c r="G32" s="99">
        <v>10</v>
      </c>
      <c r="H32" s="99">
        <v>12</v>
      </c>
      <c r="I32" s="99">
        <v>46</v>
      </c>
      <c r="J32" s="99">
        <v>318</v>
      </c>
      <c r="K32" s="99">
        <v>12</v>
      </c>
      <c r="L32" s="99">
        <v>1154</v>
      </c>
      <c r="M32" s="99">
        <v>112</v>
      </c>
      <c r="N32" s="99">
        <v>63</v>
      </c>
      <c r="O32" s="99">
        <v>22</v>
      </c>
      <c r="P32" s="159">
        <v>22</v>
      </c>
      <c r="Q32" s="99" t="s">
        <v>635</v>
      </c>
      <c r="R32" s="99">
        <v>14</v>
      </c>
      <c r="S32" s="99">
        <v>8</v>
      </c>
      <c r="T32" s="99">
        <v>6</v>
      </c>
      <c r="U32" s="99" t="s">
        <v>635</v>
      </c>
      <c r="V32" s="99" t="s">
        <v>635</v>
      </c>
      <c r="W32" s="99">
        <v>31</v>
      </c>
      <c r="X32" s="99">
        <v>25</v>
      </c>
      <c r="Y32" s="99">
        <v>66</v>
      </c>
      <c r="Z32" s="99">
        <v>24</v>
      </c>
      <c r="AA32" s="99" t="s">
        <v>635</v>
      </c>
      <c r="AB32" s="99" t="s">
        <v>635</v>
      </c>
      <c r="AC32" s="99" t="s">
        <v>635</v>
      </c>
      <c r="AD32" s="98" t="s">
        <v>362</v>
      </c>
      <c r="AE32" s="100">
        <v>0.08409954640186343</v>
      </c>
      <c r="AF32" s="100">
        <v>0.24</v>
      </c>
      <c r="AG32" s="98">
        <v>122.59409096481549</v>
      </c>
      <c r="AH32" s="98">
        <v>147.1129091577786</v>
      </c>
      <c r="AI32" s="100">
        <v>0.006</v>
      </c>
      <c r="AJ32" s="100">
        <v>0.497653</v>
      </c>
      <c r="AK32" s="100">
        <v>0.4</v>
      </c>
      <c r="AL32" s="100">
        <v>0.594845</v>
      </c>
      <c r="AM32" s="100">
        <v>0.238298</v>
      </c>
      <c r="AN32" s="100">
        <v>0.273913</v>
      </c>
      <c r="AO32" s="98">
        <v>269.7070001225941</v>
      </c>
      <c r="AP32" s="158">
        <v>0.2022080803</v>
      </c>
      <c r="AQ32" s="100" t="s">
        <v>635</v>
      </c>
      <c r="AR32" s="100" t="s">
        <v>635</v>
      </c>
      <c r="AS32" s="98">
        <v>98.0752727718524</v>
      </c>
      <c r="AT32" s="98">
        <v>73.5564545788893</v>
      </c>
      <c r="AU32" s="98" t="s">
        <v>635</v>
      </c>
      <c r="AV32" s="98" t="s">
        <v>635</v>
      </c>
      <c r="AW32" s="98">
        <v>380.04168199092805</v>
      </c>
      <c r="AX32" s="98">
        <v>306.48522741203874</v>
      </c>
      <c r="AY32" s="98">
        <v>809.1210003677822</v>
      </c>
      <c r="AZ32" s="98">
        <v>294.2258183155572</v>
      </c>
      <c r="BA32" s="100" t="s">
        <v>635</v>
      </c>
      <c r="BB32" s="100" t="s">
        <v>635</v>
      </c>
      <c r="BC32" s="100" t="s">
        <v>635</v>
      </c>
      <c r="BD32" s="158">
        <v>0.12672272680000002</v>
      </c>
      <c r="BE32" s="158">
        <v>0.3061454582</v>
      </c>
      <c r="BF32" s="162">
        <v>639</v>
      </c>
      <c r="BG32" s="162">
        <v>30</v>
      </c>
      <c r="BH32" s="162">
        <v>1940</v>
      </c>
      <c r="BI32" s="162">
        <v>470</v>
      </c>
      <c r="BJ32" s="162">
        <v>230</v>
      </c>
      <c r="BK32" s="97"/>
      <c r="BL32" s="97"/>
      <c r="BM32" s="97"/>
      <c r="BN32" s="97"/>
    </row>
    <row r="33" spans="1:66" ht="12.75">
      <c r="A33" s="79" t="s">
        <v>550</v>
      </c>
      <c r="B33" s="79" t="s">
        <v>284</v>
      </c>
      <c r="C33" s="79" t="s">
        <v>107</v>
      </c>
      <c r="D33" s="99">
        <v>4939</v>
      </c>
      <c r="E33" s="99">
        <v>686</v>
      </c>
      <c r="F33" s="99" t="s">
        <v>383</v>
      </c>
      <c r="G33" s="99" t="s">
        <v>635</v>
      </c>
      <c r="H33" s="99">
        <v>14</v>
      </c>
      <c r="I33" s="99">
        <v>61</v>
      </c>
      <c r="J33" s="99">
        <v>354</v>
      </c>
      <c r="K33" s="99">
        <v>26</v>
      </c>
      <c r="L33" s="99">
        <v>878</v>
      </c>
      <c r="M33" s="99">
        <v>148</v>
      </c>
      <c r="N33" s="99">
        <v>64</v>
      </c>
      <c r="O33" s="99">
        <v>33</v>
      </c>
      <c r="P33" s="159">
        <v>33</v>
      </c>
      <c r="Q33" s="99" t="s">
        <v>635</v>
      </c>
      <c r="R33" s="99">
        <v>10</v>
      </c>
      <c r="S33" s="99" t="s">
        <v>635</v>
      </c>
      <c r="T33" s="99" t="s">
        <v>635</v>
      </c>
      <c r="U33" s="99" t="s">
        <v>635</v>
      </c>
      <c r="V33" s="99" t="s">
        <v>635</v>
      </c>
      <c r="W33" s="99">
        <v>21</v>
      </c>
      <c r="X33" s="99">
        <v>15</v>
      </c>
      <c r="Y33" s="99">
        <v>54</v>
      </c>
      <c r="Z33" s="99">
        <v>34</v>
      </c>
      <c r="AA33" s="99" t="s">
        <v>635</v>
      </c>
      <c r="AB33" s="99" t="s">
        <v>635</v>
      </c>
      <c r="AC33" s="99" t="s">
        <v>635</v>
      </c>
      <c r="AD33" s="98" t="s">
        <v>362</v>
      </c>
      <c r="AE33" s="100">
        <v>0.13889451305932374</v>
      </c>
      <c r="AF33" s="100">
        <v>0.25</v>
      </c>
      <c r="AG33" s="98" t="s">
        <v>635</v>
      </c>
      <c r="AH33" s="98">
        <v>283.45818991698724</v>
      </c>
      <c r="AI33" s="100">
        <v>0.012</v>
      </c>
      <c r="AJ33" s="100">
        <v>0.645985</v>
      </c>
      <c r="AK33" s="100">
        <v>0.684211</v>
      </c>
      <c r="AL33" s="100">
        <v>0.669207</v>
      </c>
      <c r="AM33" s="100">
        <v>0.356627</v>
      </c>
      <c r="AN33" s="100">
        <v>0.326531</v>
      </c>
      <c r="AO33" s="98">
        <v>668.1514476614699</v>
      </c>
      <c r="AP33" s="158">
        <v>0.39461841579999996</v>
      </c>
      <c r="AQ33" s="100" t="s">
        <v>635</v>
      </c>
      <c r="AR33" s="100" t="s">
        <v>635</v>
      </c>
      <c r="AS33" s="98" t="s">
        <v>635</v>
      </c>
      <c r="AT33" s="98" t="s">
        <v>635</v>
      </c>
      <c r="AU33" s="98" t="s">
        <v>635</v>
      </c>
      <c r="AV33" s="98" t="s">
        <v>635</v>
      </c>
      <c r="AW33" s="98">
        <v>425.1872848754809</v>
      </c>
      <c r="AX33" s="98">
        <v>303.70520348248635</v>
      </c>
      <c r="AY33" s="98">
        <v>1093.3387325369508</v>
      </c>
      <c r="AZ33" s="98">
        <v>688.3984612269691</v>
      </c>
      <c r="BA33" s="101" t="s">
        <v>635</v>
      </c>
      <c r="BB33" s="101" t="s">
        <v>635</v>
      </c>
      <c r="BC33" s="101" t="s">
        <v>635</v>
      </c>
      <c r="BD33" s="158">
        <v>0.2716371536</v>
      </c>
      <c r="BE33" s="158">
        <v>0.5541909789999999</v>
      </c>
      <c r="BF33" s="162">
        <v>548</v>
      </c>
      <c r="BG33" s="162">
        <v>38</v>
      </c>
      <c r="BH33" s="162">
        <v>1312</v>
      </c>
      <c r="BI33" s="162">
        <v>415</v>
      </c>
      <c r="BJ33" s="162">
        <v>196</v>
      </c>
      <c r="BK33" s="97"/>
      <c r="BL33" s="97"/>
      <c r="BM33" s="97"/>
      <c r="BN33" s="97"/>
    </row>
    <row r="34" spans="1:66" ht="12.75">
      <c r="A34" s="79" t="s">
        <v>555</v>
      </c>
      <c r="B34" s="79" t="s">
        <v>289</v>
      </c>
      <c r="C34" s="79" t="s">
        <v>107</v>
      </c>
      <c r="D34" s="99">
        <v>1800</v>
      </c>
      <c r="E34" s="99">
        <v>366</v>
      </c>
      <c r="F34" s="99" t="s">
        <v>382</v>
      </c>
      <c r="G34" s="99">
        <v>8</v>
      </c>
      <c r="H34" s="99" t="s">
        <v>635</v>
      </c>
      <c r="I34" s="99">
        <v>29</v>
      </c>
      <c r="J34" s="99">
        <v>152</v>
      </c>
      <c r="K34" s="99">
        <v>139</v>
      </c>
      <c r="L34" s="99">
        <v>247</v>
      </c>
      <c r="M34" s="99">
        <v>91</v>
      </c>
      <c r="N34" s="99">
        <v>45</v>
      </c>
      <c r="O34" s="99">
        <v>8</v>
      </c>
      <c r="P34" s="159">
        <v>8</v>
      </c>
      <c r="Q34" s="99" t="s">
        <v>635</v>
      </c>
      <c r="R34" s="99">
        <v>6</v>
      </c>
      <c r="S34" s="99">
        <v>6</v>
      </c>
      <c r="T34" s="99" t="s">
        <v>635</v>
      </c>
      <c r="U34" s="99" t="s">
        <v>635</v>
      </c>
      <c r="V34" s="99" t="s">
        <v>635</v>
      </c>
      <c r="W34" s="99">
        <v>12</v>
      </c>
      <c r="X34" s="99" t="s">
        <v>635</v>
      </c>
      <c r="Y34" s="99">
        <v>34</v>
      </c>
      <c r="Z34" s="99">
        <v>11</v>
      </c>
      <c r="AA34" s="99" t="s">
        <v>635</v>
      </c>
      <c r="AB34" s="99" t="s">
        <v>635</v>
      </c>
      <c r="AC34" s="99" t="s">
        <v>635</v>
      </c>
      <c r="AD34" s="98" t="s">
        <v>362</v>
      </c>
      <c r="AE34" s="100">
        <v>0.20333333333333334</v>
      </c>
      <c r="AF34" s="100">
        <v>0.23</v>
      </c>
      <c r="AG34" s="98">
        <v>444.44444444444446</v>
      </c>
      <c r="AH34" s="98" t="s">
        <v>635</v>
      </c>
      <c r="AI34" s="100">
        <v>0.016</v>
      </c>
      <c r="AJ34" s="100">
        <v>0.638655</v>
      </c>
      <c r="AK34" s="100">
        <v>0.620536</v>
      </c>
      <c r="AL34" s="100">
        <v>0.560091</v>
      </c>
      <c r="AM34" s="100">
        <v>0.429245</v>
      </c>
      <c r="AN34" s="100">
        <v>0.473684</v>
      </c>
      <c r="AO34" s="98">
        <v>444.44444444444446</v>
      </c>
      <c r="AP34" s="158">
        <v>0.2172032928</v>
      </c>
      <c r="AQ34" s="100" t="s">
        <v>635</v>
      </c>
      <c r="AR34" s="100" t="s">
        <v>635</v>
      </c>
      <c r="AS34" s="98">
        <v>333.3333333333333</v>
      </c>
      <c r="AT34" s="98" t="s">
        <v>635</v>
      </c>
      <c r="AU34" s="98" t="s">
        <v>635</v>
      </c>
      <c r="AV34" s="98" t="s">
        <v>635</v>
      </c>
      <c r="AW34" s="98">
        <v>666.6666666666666</v>
      </c>
      <c r="AX34" s="98" t="s">
        <v>635</v>
      </c>
      <c r="AY34" s="98">
        <v>1888.888888888889</v>
      </c>
      <c r="AZ34" s="98">
        <v>611.1111111111111</v>
      </c>
      <c r="BA34" s="100" t="s">
        <v>635</v>
      </c>
      <c r="BB34" s="100" t="s">
        <v>635</v>
      </c>
      <c r="BC34" s="100" t="s">
        <v>635</v>
      </c>
      <c r="BD34" s="158">
        <v>0.09377296448</v>
      </c>
      <c r="BE34" s="158">
        <v>0.42797706599999996</v>
      </c>
      <c r="BF34" s="162">
        <v>238</v>
      </c>
      <c r="BG34" s="162">
        <v>224</v>
      </c>
      <c r="BH34" s="162">
        <v>441</v>
      </c>
      <c r="BI34" s="162">
        <v>212</v>
      </c>
      <c r="BJ34" s="162">
        <v>95</v>
      </c>
      <c r="BK34" s="97"/>
      <c r="BL34" s="97"/>
      <c r="BM34" s="97"/>
      <c r="BN34" s="97"/>
    </row>
    <row r="35" spans="1:66" ht="12.75">
      <c r="A35" s="79" t="s">
        <v>579</v>
      </c>
      <c r="B35" s="79" t="s">
        <v>312</v>
      </c>
      <c r="C35" s="79" t="s">
        <v>107</v>
      </c>
      <c r="D35" s="99">
        <v>3554</v>
      </c>
      <c r="E35" s="99">
        <v>422</v>
      </c>
      <c r="F35" s="99" t="s">
        <v>382</v>
      </c>
      <c r="G35" s="99" t="s">
        <v>635</v>
      </c>
      <c r="H35" s="99" t="s">
        <v>635</v>
      </c>
      <c r="I35" s="99">
        <v>26</v>
      </c>
      <c r="J35" s="99">
        <v>333</v>
      </c>
      <c r="K35" s="99">
        <v>254</v>
      </c>
      <c r="L35" s="99">
        <v>612</v>
      </c>
      <c r="M35" s="99">
        <v>93</v>
      </c>
      <c r="N35" s="99">
        <v>42</v>
      </c>
      <c r="O35" s="99">
        <v>11</v>
      </c>
      <c r="P35" s="159">
        <v>11</v>
      </c>
      <c r="Q35" s="99" t="s">
        <v>635</v>
      </c>
      <c r="R35" s="99">
        <v>8</v>
      </c>
      <c r="S35" s="99" t="s">
        <v>635</v>
      </c>
      <c r="T35" s="99" t="s">
        <v>635</v>
      </c>
      <c r="U35" s="99" t="s">
        <v>635</v>
      </c>
      <c r="V35" s="99" t="s">
        <v>635</v>
      </c>
      <c r="W35" s="99">
        <v>17</v>
      </c>
      <c r="X35" s="99" t="s">
        <v>635</v>
      </c>
      <c r="Y35" s="99">
        <v>33</v>
      </c>
      <c r="Z35" s="99">
        <v>16</v>
      </c>
      <c r="AA35" s="99" t="s">
        <v>635</v>
      </c>
      <c r="AB35" s="99" t="s">
        <v>635</v>
      </c>
      <c r="AC35" s="99" t="s">
        <v>635</v>
      </c>
      <c r="AD35" s="98" t="s">
        <v>362</v>
      </c>
      <c r="AE35" s="100">
        <v>0.11873944850872256</v>
      </c>
      <c r="AF35" s="100">
        <v>0.23</v>
      </c>
      <c r="AG35" s="98" t="s">
        <v>635</v>
      </c>
      <c r="AH35" s="98" t="s">
        <v>635</v>
      </c>
      <c r="AI35" s="100">
        <v>0.006999999999999999</v>
      </c>
      <c r="AJ35" s="100">
        <v>0.743304</v>
      </c>
      <c r="AK35" s="100">
        <v>0.680965</v>
      </c>
      <c r="AL35" s="100">
        <v>0.676243</v>
      </c>
      <c r="AM35" s="100">
        <v>0.265714</v>
      </c>
      <c r="AN35" s="100">
        <v>0.24</v>
      </c>
      <c r="AO35" s="98">
        <v>309.5104108047271</v>
      </c>
      <c r="AP35" s="158">
        <v>0.1924094772</v>
      </c>
      <c r="AQ35" s="100" t="s">
        <v>635</v>
      </c>
      <c r="AR35" s="100" t="s">
        <v>635</v>
      </c>
      <c r="AS35" s="98" t="s">
        <v>635</v>
      </c>
      <c r="AT35" s="98" t="s">
        <v>635</v>
      </c>
      <c r="AU35" s="98" t="s">
        <v>635</v>
      </c>
      <c r="AV35" s="98" t="s">
        <v>635</v>
      </c>
      <c r="AW35" s="98">
        <v>478.3342712436691</v>
      </c>
      <c r="AX35" s="98" t="s">
        <v>635</v>
      </c>
      <c r="AY35" s="98">
        <v>928.5312324141812</v>
      </c>
      <c r="AZ35" s="98">
        <v>450.1969611705121</v>
      </c>
      <c r="BA35" s="100" t="s">
        <v>635</v>
      </c>
      <c r="BB35" s="100" t="s">
        <v>635</v>
      </c>
      <c r="BC35" s="100" t="s">
        <v>635</v>
      </c>
      <c r="BD35" s="158">
        <v>0.09605011940000001</v>
      </c>
      <c r="BE35" s="158">
        <v>0.3442736816</v>
      </c>
      <c r="BF35" s="162">
        <v>448</v>
      </c>
      <c r="BG35" s="162">
        <v>373</v>
      </c>
      <c r="BH35" s="162">
        <v>905</v>
      </c>
      <c r="BI35" s="162">
        <v>350</v>
      </c>
      <c r="BJ35" s="162">
        <v>175</v>
      </c>
      <c r="BK35" s="97"/>
      <c r="BL35" s="97"/>
      <c r="BM35" s="97"/>
      <c r="BN35" s="97"/>
    </row>
    <row r="36" spans="1:66" ht="12.75">
      <c r="A36" s="79" t="s">
        <v>582</v>
      </c>
      <c r="B36" s="79" t="s">
        <v>315</v>
      </c>
      <c r="C36" s="79" t="s">
        <v>107</v>
      </c>
      <c r="D36" s="99">
        <v>4631</v>
      </c>
      <c r="E36" s="99">
        <v>517</v>
      </c>
      <c r="F36" s="99" t="s">
        <v>382</v>
      </c>
      <c r="G36" s="99">
        <v>17</v>
      </c>
      <c r="H36" s="99">
        <v>7</v>
      </c>
      <c r="I36" s="99">
        <v>61</v>
      </c>
      <c r="J36" s="99">
        <v>254</v>
      </c>
      <c r="K36" s="99">
        <v>10</v>
      </c>
      <c r="L36" s="99">
        <v>865</v>
      </c>
      <c r="M36" s="99">
        <v>154</v>
      </c>
      <c r="N36" s="99">
        <v>93</v>
      </c>
      <c r="O36" s="99">
        <v>50</v>
      </c>
      <c r="P36" s="159">
        <v>50</v>
      </c>
      <c r="Q36" s="99" t="s">
        <v>635</v>
      </c>
      <c r="R36" s="99">
        <v>16</v>
      </c>
      <c r="S36" s="99">
        <v>11</v>
      </c>
      <c r="T36" s="99">
        <v>10</v>
      </c>
      <c r="U36" s="99" t="s">
        <v>635</v>
      </c>
      <c r="V36" s="99" t="s">
        <v>635</v>
      </c>
      <c r="W36" s="99">
        <v>25</v>
      </c>
      <c r="X36" s="99">
        <v>25</v>
      </c>
      <c r="Y36" s="99">
        <v>51</v>
      </c>
      <c r="Z36" s="99">
        <v>23</v>
      </c>
      <c r="AA36" s="99" t="s">
        <v>635</v>
      </c>
      <c r="AB36" s="99" t="s">
        <v>635</v>
      </c>
      <c r="AC36" s="99" t="s">
        <v>635</v>
      </c>
      <c r="AD36" s="98" t="s">
        <v>362</v>
      </c>
      <c r="AE36" s="100">
        <v>0.11163895486935867</v>
      </c>
      <c r="AF36" s="100">
        <v>0.21</v>
      </c>
      <c r="AG36" s="98">
        <v>367.0913409630749</v>
      </c>
      <c r="AH36" s="98">
        <v>151.15525804361909</v>
      </c>
      <c r="AI36" s="100">
        <v>0.013000000000000001</v>
      </c>
      <c r="AJ36" s="100">
        <v>0.62716</v>
      </c>
      <c r="AK36" s="100">
        <v>0.47619</v>
      </c>
      <c r="AL36" s="100">
        <v>0.67631</v>
      </c>
      <c r="AM36" s="100">
        <v>0.445087</v>
      </c>
      <c r="AN36" s="100">
        <v>0.460396</v>
      </c>
      <c r="AO36" s="98">
        <v>1079.6804145972792</v>
      </c>
      <c r="AP36" s="158">
        <v>0.6994229126</v>
      </c>
      <c r="AQ36" s="100" t="s">
        <v>635</v>
      </c>
      <c r="AR36" s="100" t="s">
        <v>635</v>
      </c>
      <c r="AS36" s="98">
        <v>237.52969121140143</v>
      </c>
      <c r="AT36" s="98">
        <v>215.93608291945583</v>
      </c>
      <c r="AU36" s="98" t="s">
        <v>635</v>
      </c>
      <c r="AV36" s="98" t="s">
        <v>635</v>
      </c>
      <c r="AW36" s="98">
        <v>539.8402072986396</v>
      </c>
      <c r="AX36" s="98">
        <v>539.8402072986396</v>
      </c>
      <c r="AY36" s="98">
        <v>1101.2740228892249</v>
      </c>
      <c r="AZ36" s="98">
        <v>496.65299071474846</v>
      </c>
      <c r="BA36" s="100" t="s">
        <v>635</v>
      </c>
      <c r="BB36" s="100" t="s">
        <v>635</v>
      </c>
      <c r="BC36" s="100" t="s">
        <v>635</v>
      </c>
      <c r="BD36" s="158">
        <v>0.5191251754999999</v>
      </c>
      <c r="BE36" s="158">
        <v>0.9221018982</v>
      </c>
      <c r="BF36" s="162">
        <v>405</v>
      </c>
      <c r="BG36" s="162">
        <v>21</v>
      </c>
      <c r="BH36" s="162">
        <v>1279</v>
      </c>
      <c r="BI36" s="162">
        <v>346</v>
      </c>
      <c r="BJ36" s="162">
        <v>202</v>
      </c>
      <c r="BK36" s="97"/>
      <c r="BL36" s="97"/>
      <c r="BM36" s="97"/>
      <c r="BN36" s="97"/>
    </row>
    <row r="37" spans="1:66" ht="12.75">
      <c r="A37" s="79" t="s">
        <v>602</v>
      </c>
      <c r="B37" s="79" t="s">
        <v>335</v>
      </c>
      <c r="C37" s="79" t="s">
        <v>107</v>
      </c>
      <c r="D37" s="99">
        <v>4738</v>
      </c>
      <c r="E37" s="99">
        <v>357</v>
      </c>
      <c r="F37" s="99" t="s">
        <v>382</v>
      </c>
      <c r="G37" s="99">
        <v>11</v>
      </c>
      <c r="H37" s="99" t="s">
        <v>635</v>
      </c>
      <c r="I37" s="99">
        <v>34</v>
      </c>
      <c r="J37" s="99">
        <v>206</v>
      </c>
      <c r="K37" s="99">
        <v>12</v>
      </c>
      <c r="L37" s="99">
        <v>900</v>
      </c>
      <c r="M37" s="99">
        <v>81</v>
      </c>
      <c r="N37" s="99">
        <v>45</v>
      </c>
      <c r="O37" s="99">
        <v>23</v>
      </c>
      <c r="P37" s="159">
        <v>23</v>
      </c>
      <c r="Q37" s="99" t="s">
        <v>635</v>
      </c>
      <c r="R37" s="99" t="s">
        <v>635</v>
      </c>
      <c r="S37" s="99" t="s">
        <v>635</v>
      </c>
      <c r="T37" s="99" t="s">
        <v>635</v>
      </c>
      <c r="U37" s="99" t="s">
        <v>635</v>
      </c>
      <c r="V37" s="99" t="s">
        <v>635</v>
      </c>
      <c r="W37" s="99">
        <v>17</v>
      </c>
      <c r="X37" s="99">
        <v>15</v>
      </c>
      <c r="Y37" s="99">
        <v>34</v>
      </c>
      <c r="Z37" s="99">
        <v>18</v>
      </c>
      <c r="AA37" s="99" t="s">
        <v>635</v>
      </c>
      <c r="AB37" s="99" t="s">
        <v>635</v>
      </c>
      <c r="AC37" s="99" t="s">
        <v>635</v>
      </c>
      <c r="AD37" s="98" t="s">
        <v>362</v>
      </c>
      <c r="AE37" s="100">
        <v>0.07534824820599409</v>
      </c>
      <c r="AF37" s="100">
        <v>0.18</v>
      </c>
      <c r="AG37" s="98">
        <v>232.16547066272688</v>
      </c>
      <c r="AH37" s="98" t="s">
        <v>635</v>
      </c>
      <c r="AI37" s="100">
        <v>0.006999999999999999</v>
      </c>
      <c r="AJ37" s="100">
        <v>0.602339</v>
      </c>
      <c r="AK37" s="100">
        <v>0.631579</v>
      </c>
      <c r="AL37" s="100">
        <v>0.742574</v>
      </c>
      <c r="AM37" s="100">
        <v>0.329268</v>
      </c>
      <c r="AN37" s="100">
        <v>0.346154</v>
      </c>
      <c r="AO37" s="98">
        <v>485.43689320388347</v>
      </c>
      <c r="AP37" s="158">
        <v>0.389407196</v>
      </c>
      <c r="AQ37" s="100" t="s">
        <v>635</v>
      </c>
      <c r="AR37" s="100" t="s">
        <v>635</v>
      </c>
      <c r="AS37" s="98" t="s">
        <v>635</v>
      </c>
      <c r="AT37" s="98" t="s">
        <v>635</v>
      </c>
      <c r="AU37" s="98" t="s">
        <v>635</v>
      </c>
      <c r="AV37" s="98" t="s">
        <v>635</v>
      </c>
      <c r="AW37" s="98">
        <v>358.8011819333052</v>
      </c>
      <c r="AX37" s="98">
        <v>316.58927817644576</v>
      </c>
      <c r="AY37" s="98">
        <v>717.6023638666104</v>
      </c>
      <c r="AZ37" s="98">
        <v>379.9071338117349</v>
      </c>
      <c r="BA37" s="100" t="s">
        <v>635</v>
      </c>
      <c r="BB37" s="100" t="s">
        <v>635</v>
      </c>
      <c r="BC37" s="100" t="s">
        <v>635</v>
      </c>
      <c r="BD37" s="158">
        <v>0.2468507576</v>
      </c>
      <c r="BE37" s="158">
        <v>0.5843019867</v>
      </c>
      <c r="BF37" s="162">
        <v>342</v>
      </c>
      <c r="BG37" s="162">
        <v>19</v>
      </c>
      <c r="BH37" s="162">
        <v>1212</v>
      </c>
      <c r="BI37" s="162">
        <v>246</v>
      </c>
      <c r="BJ37" s="162">
        <v>130</v>
      </c>
      <c r="BK37" s="97"/>
      <c r="BL37" s="97"/>
      <c r="BM37" s="97"/>
      <c r="BN37" s="97"/>
    </row>
    <row r="38" spans="1:66" ht="12.75">
      <c r="A38" s="79" t="s">
        <v>576</v>
      </c>
      <c r="B38" s="79" t="s">
        <v>309</v>
      </c>
      <c r="C38" s="79" t="s">
        <v>107</v>
      </c>
      <c r="D38" s="99">
        <v>7423</v>
      </c>
      <c r="E38" s="99">
        <v>422</v>
      </c>
      <c r="F38" s="99" t="s">
        <v>385</v>
      </c>
      <c r="G38" s="99">
        <v>8</v>
      </c>
      <c r="H38" s="99" t="s">
        <v>635</v>
      </c>
      <c r="I38" s="99">
        <v>35</v>
      </c>
      <c r="J38" s="99">
        <v>306</v>
      </c>
      <c r="K38" s="99">
        <v>8</v>
      </c>
      <c r="L38" s="99">
        <v>1198</v>
      </c>
      <c r="M38" s="99">
        <v>123</v>
      </c>
      <c r="N38" s="99">
        <v>68</v>
      </c>
      <c r="O38" s="99">
        <v>78</v>
      </c>
      <c r="P38" s="159">
        <v>78</v>
      </c>
      <c r="Q38" s="99" t="s">
        <v>635</v>
      </c>
      <c r="R38" s="99">
        <v>7</v>
      </c>
      <c r="S38" s="99">
        <v>20</v>
      </c>
      <c r="T38" s="99">
        <v>13</v>
      </c>
      <c r="U38" s="99" t="s">
        <v>635</v>
      </c>
      <c r="V38" s="99" t="s">
        <v>635</v>
      </c>
      <c r="W38" s="99">
        <v>33</v>
      </c>
      <c r="X38" s="99">
        <v>12</v>
      </c>
      <c r="Y38" s="99">
        <v>84</v>
      </c>
      <c r="Z38" s="99" t="s">
        <v>635</v>
      </c>
      <c r="AA38" s="99" t="s">
        <v>635</v>
      </c>
      <c r="AB38" s="99" t="s">
        <v>635</v>
      </c>
      <c r="AC38" s="99" t="s">
        <v>635</v>
      </c>
      <c r="AD38" s="98" t="s">
        <v>362</v>
      </c>
      <c r="AE38" s="100">
        <v>0.05685033005523373</v>
      </c>
      <c r="AF38" s="100">
        <v>0.16</v>
      </c>
      <c r="AG38" s="98">
        <v>107.7731375454668</v>
      </c>
      <c r="AH38" s="98" t="s">
        <v>635</v>
      </c>
      <c r="AI38" s="100">
        <v>0.005</v>
      </c>
      <c r="AJ38" s="100">
        <v>0.588462</v>
      </c>
      <c r="AK38" s="100">
        <v>0.4</v>
      </c>
      <c r="AL38" s="100">
        <v>0.60444</v>
      </c>
      <c r="AM38" s="100">
        <v>0.348442</v>
      </c>
      <c r="AN38" s="100">
        <v>0.365591</v>
      </c>
      <c r="AO38" s="98">
        <v>1050.7880910683011</v>
      </c>
      <c r="AP38" s="158">
        <v>0.8656160735999999</v>
      </c>
      <c r="AQ38" s="100" t="s">
        <v>635</v>
      </c>
      <c r="AR38" s="100" t="s">
        <v>635</v>
      </c>
      <c r="AS38" s="98">
        <v>269.43284386366696</v>
      </c>
      <c r="AT38" s="98">
        <v>175.13134851138355</v>
      </c>
      <c r="AU38" s="98" t="s">
        <v>635</v>
      </c>
      <c r="AV38" s="98" t="s">
        <v>635</v>
      </c>
      <c r="AW38" s="98">
        <v>444.56419237505054</v>
      </c>
      <c r="AX38" s="98">
        <v>161.6597063182002</v>
      </c>
      <c r="AY38" s="98">
        <v>1131.6179442274013</v>
      </c>
      <c r="AZ38" s="98" t="s">
        <v>635</v>
      </c>
      <c r="BA38" s="100" t="s">
        <v>635</v>
      </c>
      <c r="BB38" s="100" t="s">
        <v>635</v>
      </c>
      <c r="BC38" s="100" t="s">
        <v>635</v>
      </c>
      <c r="BD38" s="158">
        <v>0.6842335509999999</v>
      </c>
      <c r="BE38" s="158">
        <v>1.080328064</v>
      </c>
      <c r="BF38" s="162">
        <v>520</v>
      </c>
      <c r="BG38" s="162">
        <v>20</v>
      </c>
      <c r="BH38" s="162">
        <v>1982</v>
      </c>
      <c r="BI38" s="162">
        <v>353</v>
      </c>
      <c r="BJ38" s="162">
        <v>186</v>
      </c>
      <c r="BK38" s="97"/>
      <c r="BL38" s="97"/>
      <c r="BM38" s="97"/>
      <c r="BN38" s="97"/>
    </row>
    <row r="39" spans="1:66" ht="12.75">
      <c r="A39" s="79" t="s">
        <v>552</v>
      </c>
      <c r="B39" s="79" t="s">
        <v>286</v>
      </c>
      <c r="C39" s="79" t="s">
        <v>107</v>
      </c>
      <c r="D39" s="99">
        <v>8572</v>
      </c>
      <c r="E39" s="99">
        <v>993</v>
      </c>
      <c r="F39" s="99" t="s">
        <v>386</v>
      </c>
      <c r="G39" s="99">
        <v>26</v>
      </c>
      <c r="H39" s="99">
        <v>14</v>
      </c>
      <c r="I39" s="99">
        <v>132</v>
      </c>
      <c r="J39" s="99">
        <v>711</v>
      </c>
      <c r="K39" s="99">
        <v>694</v>
      </c>
      <c r="L39" s="99">
        <v>1874</v>
      </c>
      <c r="M39" s="99">
        <v>400</v>
      </c>
      <c r="N39" s="99">
        <v>188</v>
      </c>
      <c r="O39" s="99">
        <v>102</v>
      </c>
      <c r="P39" s="159">
        <v>102</v>
      </c>
      <c r="Q39" s="99">
        <v>9</v>
      </c>
      <c r="R39" s="99">
        <v>34</v>
      </c>
      <c r="S39" s="99">
        <v>35</v>
      </c>
      <c r="T39" s="99">
        <v>19</v>
      </c>
      <c r="U39" s="99" t="s">
        <v>635</v>
      </c>
      <c r="V39" s="99" t="s">
        <v>635</v>
      </c>
      <c r="W39" s="99">
        <v>77</v>
      </c>
      <c r="X39" s="99">
        <v>30</v>
      </c>
      <c r="Y39" s="99">
        <v>70</v>
      </c>
      <c r="Z39" s="99">
        <v>46</v>
      </c>
      <c r="AA39" s="99" t="s">
        <v>635</v>
      </c>
      <c r="AB39" s="99" t="s">
        <v>635</v>
      </c>
      <c r="AC39" s="99" t="s">
        <v>635</v>
      </c>
      <c r="AD39" s="98" t="s">
        <v>362</v>
      </c>
      <c r="AE39" s="100">
        <v>0.11584227718152124</v>
      </c>
      <c r="AF39" s="100">
        <v>0.08</v>
      </c>
      <c r="AG39" s="98">
        <v>303.31311245916936</v>
      </c>
      <c r="AH39" s="98">
        <v>163.32244517032197</v>
      </c>
      <c r="AI39" s="100">
        <v>0.015</v>
      </c>
      <c r="AJ39" s="100">
        <v>0.740625</v>
      </c>
      <c r="AK39" s="100">
        <v>0.744635</v>
      </c>
      <c r="AL39" s="100">
        <v>0.677268</v>
      </c>
      <c r="AM39" s="100">
        <v>0.527009</v>
      </c>
      <c r="AN39" s="100">
        <v>0.523677</v>
      </c>
      <c r="AO39" s="98">
        <v>1189.920671955203</v>
      </c>
      <c r="AP39" s="158">
        <v>0.7019541931000001</v>
      </c>
      <c r="AQ39" s="100">
        <v>0.08823529411764706</v>
      </c>
      <c r="AR39" s="100">
        <v>0.2647058823529412</v>
      </c>
      <c r="AS39" s="98">
        <v>408.30611292580494</v>
      </c>
      <c r="AT39" s="98">
        <v>221.6518898740084</v>
      </c>
      <c r="AU39" s="98" t="s">
        <v>635</v>
      </c>
      <c r="AV39" s="98" t="s">
        <v>635</v>
      </c>
      <c r="AW39" s="98">
        <v>898.2734484367709</v>
      </c>
      <c r="AX39" s="98">
        <v>349.9766682221185</v>
      </c>
      <c r="AY39" s="98">
        <v>816.6122258516099</v>
      </c>
      <c r="AZ39" s="98">
        <v>536.630891273915</v>
      </c>
      <c r="BA39" s="100" t="s">
        <v>635</v>
      </c>
      <c r="BB39" s="100" t="s">
        <v>635</v>
      </c>
      <c r="BC39" s="100" t="s">
        <v>635</v>
      </c>
      <c r="BD39" s="158">
        <v>0.5723597717</v>
      </c>
      <c r="BE39" s="158">
        <v>0.8521245575</v>
      </c>
      <c r="BF39" s="162">
        <v>960</v>
      </c>
      <c r="BG39" s="162">
        <v>932</v>
      </c>
      <c r="BH39" s="162">
        <v>2767</v>
      </c>
      <c r="BI39" s="162">
        <v>759</v>
      </c>
      <c r="BJ39" s="162">
        <v>359</v>
      </c>
      <c r="BK39" s="97"/>
      <c r="BL39" s="97"/>
      <c r="BM39" s="97"/>
      <c r="BN39" s="97"/>
    </row>
    <row r="40" spans="1:66" ht="12.75">
      <c r="A40" s="79" t="s">
        <v>567</v>
      </c>
      <c r="B40" s="79" t="s">
        <v>300</v>
      </c>
      <c r="C40" s="79" t="s">
        <v>107</v>
      </c>
      <c r="D40" s="99">
        <v>3282</v>
      </c>
      <c r="E40" s="99">
        <v>404</v>
      </c>
      <c r="F40" s="99" t="s">
        <v>383</v>
      </c>
      <c r="G40" s="99">
        <v>10</v>
      </c>
      <c r="H40" s="99" t="s">
        <v>635</v>
      </c>
      <c r="I40" s="99">
        <v>24</v>
      </c>
      <c r="J40" s="99">
        <v>234</v>
      </c>
      <c r="K40" s="99">
        <v>219</v>
      </c>
      <c r="L40" s="99">
        <v>508</v>
      </c>
      <c r="M40" s="99">
        <v>107</v>
      </c>
      <c r="N40" s="99">
        <v>52</v>
      </c>
      <c r="O40" s="99">
        <v>74</v>
      </c>
      <c r="P40" s="159">
        <v>74</v>
      </c>
      <c r="Q40" s="99" t="s">
        <v>635</v>
      </c>
      <c r="R40" s="99">
        <v>10</v>
      </c>
      <c r="S40" s="99">
        <v>12</v>
      </c>
      <c r="T40" s="99">
        <v>18</v>
      </c>
      <c r="U40" s="99" t="s">
        <v>635</v>
      </c>
      <c r="V40" s="99">
        <v>12</v>
      </c>
      <c r="W40" s="99">
        <v>24</v>
      </c>
      <c r="X40" s="99">
        <v>30</v>
      </c>
      <c r="Y40" s="99">
        <v>50</v>
      </c>
      <c r="Z40" s="99">
        <v>9</v>
      </c>
      <c r="AA40" s="99" t="s">
        <v>635</v>
      </c>
      <c r="AB40" s="99" t="s">
        <v>635</v>
      </c>
      <c r="AC40" s="99" t="s">
        <v>635</v>
      </c>
      <c r="AD40" s="98" t="s">
        <v>362</v>
      </c>
      <c r="AE40" s="100">
        <v>0.12309567336989641</v>
      </c>
      <c r="AF40" s="100">
        <v>0.27</v>
      </c>
      <c r="AG40" s="98">
        <v>304.69226081657524</v>
      </c>
      <c r="AH40" s="98" t="s">
        <v>635</v>
      </c>
      <c r="AI40" s="100">
        <v>0.006999999999999999</v>
      </c>
      <c r="AJ40" s="100">
        <v>0.715596</v>
      </c>
      <c r="AK40" s="100">
        <v>0.699681</v>
      </c>
      <c r="AL40" s="100">
        <v>0.623313</v>
      </c>
      <c r="AM40" s="100">
        <v>0.42126</v>
      </c>
      <c r="AN40" s="100">
        <v>0.436975</v>
      </c>
      <c r="AO40" s="98">
        <v>2254.722730042657</v>
      </c>
      <c r="AP40" s="158">
        <v>1.4253723139999999</v>
      </c>
      <c r="AQ40" s="100" t="s">
        <v>635</v>
      </c>
      <c r="AR40" s="100" t="s">
        <v>635</v>
      </c>
      <c r="AS40" s="98">
        <v>365.6307129798903</v>
      </c>
      <c r="AT40" s="98">
        <v>548.4460694698355</v>
      </c>
      <c r="AU40" s="98" t="s">
        <v>635</v>
      </c>
      <c r="AV40" s="98">
        <v>365.6307129798903</v>
      </c>
      <c r="AW40" s="98">
        <v>731.2614259597806</v>
      </c>
      <c r="AX40" s="98">
        <v>914.0767824497258</v>
      </c>
      <c r="AY40" s="98">
        <v>1523.4613040828763</v>
      </c>
      <c r="AZ40" s="98">
        <v>274.22303473491775</v>
      </c>
      <c r="BA40" s="101" t="s">
        <v>635</v>
      </c>
      <c r="BB40" s="101" t="s">
        <v>635</v>
      </c>
      <c r="BC40" s="101" t="s">
        <v>635</v>
      </c>
      <c r="BD40" s="158">
        <v>1.1192238620000001</v>
      </c>
      <c r="BE40" s="158">
        <v>1.7894244380000002</v>
      </c>
      <c r="BF40" s="162">
        <v>327</v>
      </c>
      <c r="BG40" s="162">
        <v>313</v>
      </c>
      <c r="BH40" s="162">
        <v>815</v>
      </c>
      <c r="BI40" s="162">
        <v>254</v>
      </c>
      <c r="BJ40" s="162">
        <v>119</v>
      </c>
      <c r="BK40" s="97"/>
      <c r="BL40" s="97"/>
      <c r="BM40" s="97"/>
      <c r="BN40" s="97"/>
    </row>
    <row r="41" spans="1:66" ht="12.75">
      <c r="A41" s="79" t="s">
        <v>570</v>
      </c>
      <c r="B41" s="79" t="s">
        <v>303</v>
      </c>
      <c r="C41" s="79" t="s">
        <v>107</v>
      </c>
      <c r="D41" s="99">
        <v>3851</v>
      </c>
      <c r="E41" s="99">
        <v>422</v>
      </c>
      <c r="F41" s="99" t="s">
        <v>382</v>
      </c>
      <c r="G41" s="99">
        <v>8</v>
      </c>
      <c r="H41" s="99" t="s">
        <v>635</v>
      </c>
      <c r="I41" s="99">
        <v>69</v>
      </c>
      <c r="J41" s="99">
        <v>222</v>
      </c>
      <c r="K41" s="99" t="s">
        <v>635</v>
      </c>
      <c r="L41" s="99">
        <v>791</v>
      </c>
      <c r="M41" s="99">
        <v>135</v>
      </c>
      <c r="N41" s="99">
        <v>70</v>
      </c>
      <c r="O41" s="99">
        <v>65</v>
      </c>
      <c r="P41" s="159">
        <v>65</v>
      </c>
      <c r="Q41" s="99">
        <v>8</v>
      </c>
      <c r="R41" s="99">
        <v>11</v>
      </c>
      <c r="S41" s="99">
        <v>21</v>
      </c>
      <c r="T41" s="99">
        <v>14</v>
      </c>
      <c r="U41" s="99" t="s">
        <v>635</v>
      </c>
      <c r="V41" s="99">
        <v>9</v>
      </c>
      <c r="W41" s="99">
        <v>26</v>
      </c>
      <c r="X41" s="99">
        <v>21</v>
      </c>
      <c r="Y41" s="99">
        <v>42</v>
      </c>
      <c r="Z41" s="99">
        <v>12</v>
      </c>
      <c r="AA41" s="99" t="s">
        <v>635</v>
      </c>
      <c r="AB41" s="99" t="s">
        <v>635</v>
      </c>
      <c r="AC41" s="99" t="s">
        <v>635</v>
      </c>
      <c r="AD41" s="98" t="s">
        <v>362</v>
      </c>
      <c r="AE41" s="100">
        <v>0.10958192677226694</v>
      </c>
      <c r="AF41" s="100">
        <v>0.2</v>
      </c>
      <c r="AG41" s="98">
        <v>207.7382498052454</v>
      </c>
      <c r="AH41" s="98" t="s">
        <v>635</v>
      </c>
      <c r="AI41" s="100">
        <v>0.018000000000000002</v>
      </c>
      <c r="AJ41" s="100">
        <v>0.680982</v>
      </c>
      <c r="AK41" s="100" t="s">
        <v>635</v>
      </c>
      <c r="AL41" s="100">
        <v>0.737185</v>
      </c>
      <c r="AM41" s="100">
        <v>0.503731</v>
      </c>
      <c r="AN41" s="100">
        <v>0.507246</v>
      </c>
      <c r="AO41" s="98">
        <v>1687.8732796676188</v>
      </c>
      <c r="AP41" s="158">
        <v>1.103937454</v>
      </c>
      <c r="AQ41" s="100">
        <v>0.12307692307692308</v>
      </c>
      <c r="AR41" s="100">
        <v>0.7272727272727273</v>
      </c>
      <c r="AS41" s="98">
        <v>545.3129057387691</v>
      </c>
      <c r="AT41" s="98">
        <v>363.54193715917944</v>
      </c>
      <c r="AU41" s="98" t="s">
        <v>635</v>
      </c>
      <c r="AV41" s="98">
        <v>233.70553103090106</v>
      </c>
      <c r="AW41" s="98">
        <v>675.1493118670476</v>
      </c>
      <c r="AX41" s="98">
        <v>545.3129057387691</v>
      </c>
      <c r="AY41" s="98">
        <v>1090.6258114775383</v>
      </c>
      <c r="AZ41" s="98">
        <v>311.6073747078681</v>
      </c>
      <c r="BA41" s="100" t="s">
        <v>635</v>
      </c>
      <c r="BB41" s="100" t="s">
        <v>635</v>
      </c>
      <c r="BC41" s="100" t="s">
        <v>635</v>
      </c>
      <c r="BD41" s="158">
        <v>0.8519956207</v>
      </c>
      <c r="BE41" s="158">
        <v>1.407058868</v>
      </c>
      <c r="BF41" s="162">
        <v>326</v>
      </c>
      <c r="BG41" s="162" t="s">
        <v>635</v>
      </c>
      <c r="BH41" s="162">
        <v>1073</v>
      </c>
      <c r="BI41" s="162">
        <v>268</v>
      </c>
      <c r="BJ41" s="162">
        <v>138</v>
      </c>
      <c r="BK41" s="97"/>
      <c r="BL41" s="97"/>
      <c r="BM41" s="97"/>
      <c r="BN41" s="97"/>
    </row>
    <row r="42" spans="1:66" ht="12.75">
      <c r="A42" s="79" t="s">
        <v>584</v>
      </c>
      <c r="B42" s="79" t="s">
        <v>317</v>
      </c>
      <c r="C42" s="79" t="s">
        <v>107</v>
      </c>
      <c r="D42" s="99">
        <v>2881</v>
      </c>
      <c r="E42" s="99">
        <v>269</v>
      </c>
      <c r="F42" s="99" t="s">
        <v>385</v>
      </c>
      <c r="G42" s="99">
        <v>9</v>
      </c>
      <c r="H42" s="99" t="s">
        <v>635</v>
      </c>
      <c r="I42" s="99">
        <v>27</v>
      </c>
      <c r="J42" s="99">
        <v>127</v>
      </c>
      <c r="K42" s="99" t="s">
        <v>635</v>
      </c>
      <c r="L42" s="99">
        <v>550</v>
      </c>
      <c r="M42" s="99">
        <v>65</v>
      </c>
      <c r="N42" s="99">
        <v>36</v>
      </c>
      <c r="O42" s="99">
        <v>18</v>
      </c>
      <c r="P42" s="159">
        <v>18</v>
      </c>
      <c r="Q42" s="99" t="s">
        <v>635</v>
      </c>
      <c r="R42" s="99">
        <v>6</v>
      </c>
      <c r="S42" s="99" t="s">
        <v>635</v>
      </c>
      <c r="T42" s="99" t="s">
        <v>635</v>
      </c>
      <c r="U42" s="99" t="s">
        <v>635</v>
      </c>
      <c r="V42" s="99" t="s">
        <v>635</v>
      </c>
      <c r="W42" s="99">
        <v>12</v>
      </c>
      <c r="X42" s="99" t="s">
        <v>635</v>
      </c>
      <c r="Y42" s="99">
        <v>28</v>
      </c>
      <c r="Z42" s="99">
        <v>13</v>
      </c>
      <c r="AA42" s="99" t="s">
        <v>635</v>
      </c>
      <c r="AB42" s="99" t="s">
        <v>635</v>
      </c>
      <c r="AC42" s="99" t="s">
        <v>635</v>
      </c>
      <c r="AD42" s="98" t="s">
        <v>362</v>
      </c>
      <c r="AE42" s="100">
        <v>0.09337035751475183</v>
      </c>
      <c r="AF42" s="100">
        <v>0.13</v>
      </c>
      <c r="AG42" s="98">
        <v>312.3915307185005</v>
      </c>
      <c r="AH42" s="98" t="s">
        <v>635</v>
      </c>
      <c r="AI42" s="100">
        <v>0.009000000000000001</v>
      </c>
      <c r="AJ42" s="100">
        <v>0.616505</v>
      </c>
      <c r="AK42" s="100" t="s">
        <v>635</v>
      </c>
      <c r="AL42" s="100">
        <v>0.68323</v>
      </c>
      <c r="AM42" s="100">
        <v>0.382353</v>
      </c>
      <c r="AN42" s="100">
        <v>0.375</v>
      </c>
      <c r="AO42" s="98">
        <v>624.783061437001</v>
      </c>
      <c r="AP42" s="158">
        <v>0.4488772583</v>
      </c>
      <c r="AQ42" s="100" t="s">
        <v>635</v>
      </c>
      <c r="AR42" s="100" t="s">
        <v>635</v>
      </c>
      <c r="AS42" s="98" t="s">
        <v>635</v>
      </c>
      <c r="AT42" s="98" t="s">
        <v>635</v>
      </c>
      <c r="AU42" s="98" t="s">
        <v>635</v>
      </c>
      <c r="AV42" s="98" t="s">
        <v>635</v>
      </c>
      <c r="AW42" s="98">
        <v>416.5220409580007</v>
      </c>
      <c r="AX42" s="98" t="s">
        <v>635</v>
      </c>
      <c r="AY42" s="98">
        <v>971.884762235335</v>
      </c>
      <c r="AZ42" s="98">
        <v>451.2322110378341</v>
      </c>
      <c r="BA42" s="100" t="s">
        <v>635</v>
      </c>
      <c r="BB42" s="100" t="s">
        <v>635</v>
      </c>
      <c r="BC42" s="100" t="s">
        <v>635</v>
      </c>
      <c r="BD42" s="158">
        <v>0.2660331154</v>
      </c>
      <c r="BE42" s="158">
        <v>0.709419632</v>
      </c>
      <c r="BF42" s="162">
        <v>206</v>
      </c>
      <c r="BG42" s="162" t="s">
        <v>635</v>
      </c>
      <c r="BH42" s="162">
        <v>805</v>
      </c>
      <c r="BI42" s="162">
        <v>170</v>
      </c>
      <c r="BJ42" s="162">
        <v>96</v>
      </c>
      <c r="BK42" s="97"/>
      <c r="BL42" s="97"/>
      <c r="BM42" s="97"/>
      <c r="BN42" s="97"/>
    </row>
    <row r="43" spans="1:66" ht="12.75">
      <c r="A43" s="79" t="s">
        <v>566</v>
      </c>
      <c r="B43" s="79" t="s">
        <v>299</v>
      </c>
      <c r="C43" s="79" t="s">
        <v>107</v>
      </c>
      <c r="D43" s="99">
        <v>9212</v>
      </c>
      <c r="E43" s="99">
        <v>1345</v>
      </c>
      <c r="F43" s="99" t="s">
        <v>384</v>
      </c>
      <c r="G43" s="99">
        <v>32</v>
      </c>
      <c r="H43" s="99">
        <v>10</v>
      </c>
      <c r="I43" s="99">
        <v>188</v>
      </c>
      <c r="J43" s="99">
        <v>752</v>
      </c>
      <c r="K43" s="99">
        <v>701</v>
      </c>
      <c r="L43" s="99">
        <v>1958</v>
      </c>
      <c r="M43" s="99">
        <v>496</v>
      </c>
      <c r="N43" s="99">
        <v>256</v>
      </c>
      <c r="O43" s="99">
        <v>138</v>
      </c>
      <c r="P43" s="159">
        <v>138</v>
      </c>
      <c r="Q43" s="99">
        <v>8</v>
      </c>
      <c r="R43" s="99">
        <v>36</v>
      </c>
      <c r="S43" s="99">
        <v>41</v>
      </c>
      <c r="T43" s="99">
        <v>27</v>
      </c>
      <c r="U43" s="99" t="s">
        <v>635</v>
      </c>
      <c r="V43" s="99" t="s">
        <v>635</v>
      </c>
      <c r="W43" s="99">
        <v>83</v>
      </c>
      <c r="X43" s="99">
        <v>25</v>
      </c>
      <c r="Y43" s="99">
        <v>86</v>
      </c>
      <c r="Z43" s="99">
        <v>44</v>
      </c>
      <c r="AA43" s="99" t="s">
        <v>635</v>
      </c>
      <c r="AB43" s="99" t="s">
        <v>635</v>
      </c>
      <c r="AC43" s="99" t="s">
        <v>635</v>
      </c>
      <c r="AD43" s="98" t="s">
        <v>362</v>
      </c>
      <c r="AE43" s="100">
        <v>0.14600521059487626</v>
      </c>
      <c r="AF43" s="100">
        <v>0.09</v>
      </c>
      <c r="AG43" s="98">
        <v>347.37299174989147</v>
      </c>
      <c r="AH43" s="98">
        <v>108.55405992184107</v>
      </c>
      <c r="AI43" s="100">
        <v>0.02</v>
      </c>
      <c r="AJ43" s="100">
        <v>0.659649</v>
      </c>
      <c r="AK43" s="100">
        <v>0.637853</v>
      </c>
      <c r="AL43" s="100">
        <v>0.716691</v>
      </c>
      <c r="AM43" s="100">
        <v>0.521008</v>
      </c>
      <c r="AN43" s="100">
        <v>0.538947</v>
      </c>
      <c r="AO43" s="98">
        <v>1498.0460269214068</v>
      </c>
      <c r="AP43" s="158">
        <v>0.8254231262</v>
      </c>
      <c r="AQ43" s="100">
        <v>0.057971014492753624</v>
      </c>
      <c r="AR43" s="100">
        <v>0.2222222222222222</v>
      </c>
      <c r="AS43" s="98">
        <v>445.0716456795484</v>
      </c>
      <c r="AT43" s="98">
        <v>293.0959617889709</v>
      </c>
      <c r="AU43" s="98" t="s">
        <v>635</v>
      </c>
      <c r="AV43" s="98" t="s">
        <v>635</v>
      </c>
      <c r="AW43" s="98">
        <v>900.998697351281</v>
      </c>
      <c r="AX43" s="98">
        <v>271.3851498046027</v>
      </c>
      <c r="AY43" s="98">
        <v>933.5649153278332</v>
      </c>
      <c r="AZ43" s="98">
        <v>477.63786365610076</v>
      </c>
      <c r="BA43" s="100" t="s">
        <v>635</v>
      </c>
      <c r="BB43" s="100" t="s">
        <v>635</v>
      </c>
      <c r="BC43" s="100" t="s">
        <v>635</v>
      </c>
      <c r="BD43" s="158">
        <v>0.6934565735</v>
      </c>
      <c r="BE43" s="158">
        <v>0.9751939392</v>
      </c>
      <c r="BF43" s="162">
        <v>1140</v>
      </c>
      <c r="BG43" s="162">
        <v>1099</v>
      </c>
      <c r="BH43" s="162">
        <v>2732</v>
      </c>
      <c r="BI43" s="162">
        <v>952</v>
      </c>
      <c r="BJ43" s="162">
        <v>475</v>
      </c>
      <c r="BK43" s="97"/>
      <c r="BL43" s="97"/>
      <c r="BM43" s="97"/>
      <c r="BN43" s="97"/>
    </row>
    <row r="44" spans="1:66" ht="12.75">
      <c r="A44" s="79" t="s">
        <v>621</v>
      </c>
      <c r="B44" s="79" t="s">
        <v>354</v>
      </c>
      <c r="C44" s="79" t="s">
        <v>107</v>
      </c>
      <c r="D44" s="99">
        <v>1832</v>
      </c>
      <c r="E44" s="99">
        <v>249</v>
      </c>
      <c r="F44" s="99" t="s">
        <v>382</v>
      </c>
      <c r="G44" s="99">
        <v>7</v>
      </c>
      <c r="H44" s="99" t="s">
        <v>635</v>
      </c>
      <c r="I44" s="99">
        <v>25</v>
      </c>
      <c r="J44" s="99">
        <v>134</v>
      </c>
      <c r="K44" s="99" t="s">
        <v>635</v>
      </c>
      <c r="L44" s="99">
        <v>346</v>
      </c>
      <c r="M44" s="99">
        <v>79</v>
      </c>
      <c r="N44" s="99">
        <v>48</v>
      </c>
      <c r="O44" s="99">
        <v>6</v>
      </c>
      <c r="P44" s="159">
        <v>6</v>
      </c>
      <c r="Q44" s="99" t="s">
        <v>635</v>
      </c>
      <c r="R44" s="99" t="s">
        <v>635</v>
      </c>
      <c r="S44" s="99" t="s">
        <v>635</v>
      </c>
      <c r="T44" s="99" t="s">
        <v>635</v>
      </c>
      <c r="U44" s="99" t="s">
        <v>635</v>
      </c>
      <c r="V44" s="99" t="s">
        <v>635</v>
      </c>
      <c r="W44" s="99">
        <v>14</v>
      </c>
      <c r="X44" s="99">
        <v>7</v>
      </c>
      <c r="Y44" s="99">
        <v>11</v>
      </c>
      <c r="Z44" s="99">
        <v>10</v>
      </c>
      <c r="AA44" s="99" t="s">
        <v>635</v>
      </c>
      <c r="AB44" s="99" t="s">
        <v>635</v>
      </c>
      <c r="AC44" s="99" t="s">
        <v>635</v>
      </c>
      <c r="AD44" s="98" t="s">
        <v>362</v>
      </c>
      <c r="AE44" s="100">
        <v>0.1359170305676856</v>
      </c>
      <c r="AF44" s="100">
        <v>0.18</v>
      </c>
      <c r="AG44" s="98">
        <v>382.09606986899564</v>
      </c>
      <c r="AH44" s="98" t="s">
        <v>635</v>
      </c>
      <c r="AI44" s="100">
        <v>0.013999999999999999</v>
      </c>
      <c r="AJ44" s="100">
        <v>0.606335</v>
      </c>
      <c r="AK44" s="100" t="s">
        <v>635</v>
      </c>
      <c r="AL44" s="100">
        <v>0.700405</v>
      </c>
      <c r="AM44" s="100">
        <v>0.381643</v>
      </c>
      <c r="AN44" s="100">
        <v>0.377953</v>
      </c>
      <c r="AO44" s="98">
        <v>327.51091703056767</v>
      </c>
      <c r="AP44" s="158">
        <v>0.1840160751</v>
      </c>
      <c r="AQ44" s="100" t="s">
        <v>635</v>
      </c>
      <c r="AR44" s="100" t="s">
        <v>635</v>
      </c>
      <c r="AS44" s="98" t="s">
        <v>635</v>
      </c>
      <c r="AT44" s="98" t="s">
        <v>635</v>
      </c>
      <c r="AU44" s="98" t="s">
        <v>635</v>
      </c>
      <c r="AV44" s="98" t="s">
        <v>635</v>
      </c>
      <c r="AW44" s="98">
        <v>764.1921397379913</v>
      </c>
      <c r="AX44" s="98">
        <v>382.09606986899564</v>
      </c>
      <c r="AY44" s="98">
        <v>600.4366812227074</v>
      </c>
      <c r="AZ44" s="98">
        <v>545.8515283842795</v>
      </c>
      <c r="BA44" s="101" t="s">
        <v>635</v>
      </c>
      <c r="BB44" s="101" t="s">
        <v>635</v>
      </c>
      <c r="BC44" s="101" t="s">
        <v>635</v>
      </c>
      <c r="BD44" s="158">
        <v>0.06753065586</v>
      </c>
      <c r="BE44" s="158">
        <v>0.40052551270000003</v>
      </c>
      <c r="BF44" s="162">
        <v>221</v>
      </c>
      <c r="BG44" s="162" t="s">
        <v>635</v>
      </c>
      <c r="BH44" s="162">
        <v>494</v>
      </c>
      <c r="BI44" s="162">
        <v>207</v>
      </c>
      <c r="BJ44" s="162">
        <v>127</v>
      </c>
      <c r="BK44" s="97"/>
      <c r="BL44" s="97"/>
      <c r="BM44" s="97"/>
      <c r="BN44" s="97"/>
    </row>
    <row r="45" spans="1:66" ht="12.75">
      <c r="A45" s="79" t="s">
        <v>627</v>
      </c>
      <c r="B45" s="79" t="s">
        <v>361</v>
      </c>
      <c r="C45" s="79" t="s">
        <v>107</v>
      </c>
      <c r="D45" s="99">
        <v>2997</v>
      </c>
      <c r="E45" s="99">
        <v>285</v>
      </c>
      <c r="F45" s="99" t="s">
        <v>382</v>
      </c>
      <c r="G45" s="99">
        <v>7</v>
      </c>
      <c r="H45" s="99" t="s">
        <v>635</v>
      </c>
      <c r="I45" s="99">
        <v>20</v>
      </c>
      <c r="J45" s="99">
        <v>223</v>
      </c>
      <c r="K45" s="99">
        <v>206</v>
      </c>
      <c r="L45" s="99">
        <v>471</v>
      </c>
      <c r="M45" s="99">
        <v>59</v>
      </c>
      <c r="N45" s="99">
        <v>30</v>
      </c>
      <c r="O45" s="99">
        <v>22</v>
      </c>
      <c r="P45" s="159">
        <v>22</v>
      </c>
      <c r="Q45" s="99" t="s">
        <v>635</v>
      </c>
      <c r="R45" s="99">
        <v>6</v>
      </c>
      <c r="S45" s="99" t="s">
        <v>635</v>
      </c>
      <c r="T45" s="99" t="s">
        <v>635</v>
      </c>
      <c r="U45" s="99" t="s">
        <v>635</v>
      </c>
      <c r="V45" s="99" t="s">
        <v>635</v>
      </c>
      <c r="W45" s="99">
        <v>11</v>
      </c>
      <c r="X45" s="99">
        <v>9</v>
      </c>
      <c r="Y45" s="99">
        <v>29</v>
      </c>
      <c r="Z45" s="99">
        <v>7</v>
      </c>
      <c r="AA45" s="99" t="s">
        <v>635</v>
      </c>
      <c r="AB45" s="99" t="s">
        <v>635</v>
      </c>
      <c r="AC45" s="99" t="s">
        <v>635</v>
      </c>
      <c r="AD45" s="98" t="s">
        <v>362</v>
      </c>
      <c r="AE45" s="100">
        <v>0.09509509509509509</v>
      </c>
      <c r="AF45" s="100">
        <v>0.2</v>
      </c>
      <c r="AG45" s="98">
        <v>233.5669002335669</v>
      </c>
      <c r="AH45" s="98" t="s">
        <v>635</v>
      </c>
      <c r="AI45" s="100">
        <v>0.006999999999999999</v>
      </c>
      <c r="AJ45" s="100">
        <v>0.726384</v>
      </c>
      <c r="AK45" s="100">
        <v>0.698305</v>
      </c>
      <c r="AL45" s="100">
        <v>0.593947</v>
      </c>
      <c r="AM45" s="100">
        <v>0.257642</v>
      </c>
      <c r="AN45" s="100">
        <v>0.245902</v>
      </c>
      <c r="AO45" s="98">
        <v>734.0674007340674</v>
      </c>
      <c r="AP45" s="158">
        <v>0.4906162643</v>
      </c>
      <c r="AQ45" s="100" t="s">
        <v>635</v>
      </c>
      <c r="AR45" s="100" t="s">
        <v>635</v>
      </c>
      <c r="AS45" s="98" t="s">
        <v>635</v>
      </c>
      <c r="AT45" s="98" t="s">
        <v>635</v>
      </c>
      <c r="AU45" s="98" t="s">
        <v>635</v>
      </c>
      <c r="AV45" s="98" t="s">
        <v>635</v>
      </c>
      <c r="AW45" s="98">
        <v>367.0337003670337</v>
      </c>
      <c r="AX45" s="98">
        <v>300.3003003003003</v>
      </c>
      <c r="AY45" s="98">
        <v>967.6343009676343</v>
      </c>
      <c r="AZ45" s="98">
        <v>233.5669002335669</v>
      </c>
      <c r="BA45" s="100" t="s">
        <v>635</v>
      </c>
      <c r="BB45" s="100" t="s">
        <v>635</v>
      </c>
      <c r="BC45" s="100" t="s">
        <v>635</v>
      </c>
      <c r="BD45" s="158">
        <v>0.3074666023</v>
      </c>
      <c r="BE45" s="158">
        <v>0.7427989196999999</v>
      </c>
      <c r="BF45" s="162">
        <v>307</v>
      </c>
      <c r="BG45" s="162">
        <v>295</v>
      </c>
      <c r="BH45" s="162">
        <v>793</v>
      </c>
      <c r="BI45" s="162">
        <v>229</v>
      </c>
      <c r="BJ45" s="162">
        <v>122</v>
      </c>
      <c r="BK45" s="97"/>
      <c r="BL45" s="97"/>
      <c r="BM45" s="97"/>
      <c r="BN45" s="97"/>
    </row>
    <row r="46" spans="1:66" ht="12.75">
      <c r="A46" s="79" t="s">
        <v>594</v>
      </c>
      <c r="B46" s="79" t="s">
        <v>327</v>
      </c>
      <c r="C46" s="79" t="s">
        <v>107</v>
      </c>
      <c r="D46" s="99">
        <v>3878</v>
      </c>
      <c r="E46" s="99">
        <v>397</v>
      </c>
      <c r="F46" s="99" t="s">
        <v>385</v>
      </c>
      <c r="G46" s="99">
        <v>24</v>
      </c>
      <c r="H46" s="99">
        <v>8</v>
      </c>
      <c r="I46" s="99">
        <v>45</v>
      </c>
      <c r="J46" s="99">
        <v>263</v>
      </c>
      <c r="K46" s="99">
        <v>256</v>
      </c>
      <c r="L46" s="99">
        <v>907</v>
      </c>
      <c r="M46" s="99">
        <v>121</v>
      </c>
      <c r="N46" s="99">
        <v>71</v>
      </c>
      <c r="O46" s="99">
        <v>60</v>
      </c>
      <c r="P46" s="159">
        <v>60</v>
      </c>
      <c r="Q46" s="99" t="s">
        <v>635</v>
      </c>
      <c r="R46" s="99">
        <v>10</v>
      </c>
      <c r="S46" s="99">
        <v>21</v>
      </c>
      <c r="T46" s="99">
        <v>11</v>
      </c>
      <c r="U46" s="99" t="s">
        <v>635</v>
      </c>
      <c r="V46" s="99" t="s">
        <v>635</v>
      </c>
      <c r="W46" s="99">
        <v>29</v>
      </c>
      <c r="X46" s="99">
        <v>8</v>
      </c>
      <c r="Y46" s="99">
        <v>38</v>
      </c>
      <c r="Z46" s="99">
        <v>20</v>
      </c>
      <c r="AA46" s="99" t="s">
        <v>635</v>
      </c>
      <c r="AB46" s="99" t="s">
        <v>635</v>
      </c>
      <c r="AC46" s="99" t="s">
        <v>635</v>
      </c>
      <c r="AD46" s="98" t="s">
        <v>362</v>
      </c>
      <c r="AE46" s="100">
        <v>0.10237235688499226</v>
      </c>
      <c r="AF46" s="100">
        <v>0.15</v>
      </c>
      <c r="AG46" s="98">
        <v>618.8757091284167</v>
      </c>
      <c r="AH46" s="98">
        <v>206.29190304280556</v>
      </c>
      <c r="AI46" s="100">
        <v>0.012</v>
      </c>
      <c r="AJ46" s="100">
        <v>0.660804</v>
      </c>
      <c r="AK46" s="100">
        <v>0.65641</v>
      </c>
      <c r="AL46" s="100">
        <v>0.696086</v>
      </c>
      <c r="AM46" s="100">
        <v>0.441606</v>
      </c>
      <c r="AN46" s="100">
        <v>0.493056</v>
      </c>
      <c r="AO46" s="98">
        <v>1547.1892728210419</v>
      </c>
      <c r="AP46" s="158">
        <v>0.9579662323</v>
      </c>
      <c r="AQ46" s="100" t="s">
        <v>635</v>
      </c>
      <c r="AR46" s="100" t="s">
        <v>635</v>
      </c>
      <c r="AS46" s="98">
        <v>541.5162454873646</v>
      </c>
      <c r="AT46" s="98">
        <v>283.65136668385765</v>
      </c>
      <c r="AU46" s="98" t="s">
        <v>635</v>
      </c>
      <c r="AV46" s="98" t="s">
        <v>635</v>
      </c>
      <c r="AW46" s="98">
        <v>747.8081485301702</v>
      </c>
      <c r="AX46" s="98">
        <v>206.29190304280556</v>
      </c>
      <c r="AY46" s="98">
        <v>979.8865394533265</v>
      </c>
      <c r="AZ46" s="98">
        <v>515.7297576070139</v>
      </c>
      <c r="BA46" s="100" t="s">
        <v>635</v>
      </c>
      <c r="BB46" s="100" t="s">
        <v>635</v>
      </c>
      <c r="BC46" s="100" t="s">
        <v>635</v>
      </c>
      <c r="BD46" s="158">
        <v>0.731029129</v>
      </c>
      <c r="BE46" s="158">
        <v>1.233092422</v>
      </c>
      <c r="BF46" s="162">
        <v>398</v>
      </c>
      <c r="BG46" s="162">
        <v>390</v>
      </c>
      <c r="BH46" s="162">
        <v>1303</v>
      </c>
      <c r="BI46" s="162">
        <v>274</v>
      </c>
      <c r="BJ46" s="162">
        <v>144</v>
      </c>
      <c r="BK46" s="97"/>
      <c r="BL46" s="97"/>
      <c r="BM46" s="97"/>
      <c r="BN46" s="97"/>
    </row>
    <row r="47" spans="1:66" ht="12.75">
      <c r="A47" s="79" t="s">
        <v>571</v>
      </c>
      <c r="B47" s="79" t="s">
        <v>304</v>
      </c>
      <c r="C47" s="79" t="s">
        <v>107</v>
      </c>
      <c r="D47" s="99">
        <v>3780</v>
      </c>
      <c r="E47" s="99">
        <v>389</v>
      </c>
      <c r="F47" s="99" t="s">
        <v>385</v>
      </c>
      <c r="G47" s="99">
        <v>12</v>
      </c>
      <c r="H47" s="99" t="s">
        <v>635</v>
      </c>
      <c r="I47" s="99">
        <v>48</v>
      </c>
      <c r="J47" s="99">
        <v>183</v>
      </c>
      <c r="K47" s="99">
        <v>178</v>
      </c>
      <c r="L47" s="99">
        <v>791</v>
      </c>
      <c r="M47" s="99">
        <v>91</v>
      </c>
      <c r="N47" s="99">
        <v>50</v>
      </c>
      <c r="O47" s="99">
        <v>31</v>
      </c>
      <c r="P47" s="159">
        <v>31</v>
      </c>
      <c r="Q47" s="99" t="s">
        <v>635</v>
      </c>
      <c r="R47" s="99">
        <v>10</v>
      </c>
      <c r="S47" s="99">
        <v>7</v>
      </c>
      <c r="T47" s="99">
        <v>7</v>
      </c>
      <c r="U47" s="99" t="s">
        <v>635</v>
      </c>
      <c r="V47" s="99" t="s">
        <v>635</v>
      </c>
      <c r="W47" s="99">
        <v>20</v>
      </c>
      <c r="X47" s="99">
        <v>11</v>
      </c>
      <c r="Y47" s="99">
        <v>30</v>
      </c>
      <c r="Z47" s="99">
        <v>10</v>
      </c>
      <c r="AA47" s="99" t="s">
        <v>635</v>
      </c>
      <c r="AB47" s="99" t="s">
        <v>635</v>
      </c>
      <c r="AC47" s="99" t="s">
        <v>635</v>
      </c>
      <c r="AD47" s="98" t="s">
        <v>362</v>
      </c>
      <c r="AE47" s="100">
        <v>0.10291005291005291</v>
      </c>
      <c r="AF47" s="100">
        <v>0.16</v>
      </c>
      <c r="AG47" s="98">
        <v>317.46031746031747</v>
      </c>
      <c r="AH47" s="98" t="s">
        <v>635</v>
      </c>
      <c r="AI47" s="100">
        <v>0.013000000000000001</v>
      </c>
      <c r="AJ47" s="100">
        <v>0.584665</v>
      </c>
      <c r="AK47" s="100">
        <v>0.581699</v>
      </c>
      <c r="AL47" s="100">
        <v>0.635852</v>
      </c>
      <c r="AM47" s="100">
        <v>0.380753</v>
      </c>
      <c r="AN47" s="100">
        <v>0.416667</v>
      </c>
      <c r="AO47" s="98">
        <v>820.1058201058202</v>
      </c>
      <c r="AP47" s="158">
        <v>0.5234752655</v>
      </c>
      <c r="AQ47" s="100" t="s">
        <v>635</v>
      </c>
      <c r="AR47" s="100" t="s">
        <v>635</v>
      </c>
      <c r="AS47" s="98">
        <v>185.1851851851852</v>
      </c>
      <c r="AT47" s="98">
        <v>185.1851851851852</v>
      </c>
      <c r="AU47" s="98" t="s">
        <v>635</v>
      </c>
      <c r="AV47" s="98" t="s">
        <v>635</v>
      </c>
      <c r="AW47" s="98">
        <v>529.1005291005291</v>
      </c>
      <c r="AX47" s="98">
        <v>291.005291005291</v>
      </c>
      <c r="AY47" s="98">
        <v>793.6507936507936</v>
      </c>
      <c r="AZ47" s="98">
        <v>264.55026455026456</v>
      </c>
      <c r="BA47" s="100" t="s">
        <v>635</v>
      </c>
      <c r="BB47" s="100" t="s">
        <v>635</v>
      </c>
      <c r="BC47" s="100" t="s">
        <v>635</v>
      </c>
      <c r="BD47" s="158">
        <v>0.3556760406</v>
      </c>
      <c r="BE47" s="158">
        <v>0.7430313873</v>
      </c>
      <c r="BF47" s="162">
        <v>313</v>
      </c>
      <c r="BG47" s="162">
        <v>306</v>
      </c>
      <c r="BH47" s="162">
        <v>1244</v>
      </c>
      <c r="BI47" s="162">
        <v>239</v>
      </c>
      <c r="BJ47" s="162">
        <v>120</v>
      </c>
      <c r="BK47" s="97"/>
      <c r="BL47" s="97"/>
      <c r="BM47" s="97"/>
      <c r="BN47" s="97"/>
    </row>
    <row r="48" spans="1:66" ht="12.75">
      <c r="A48" s="79" t="s">
        <v>625</v>
      </c>
      <c r="B48" s="79" t="s">
        <v>358</v>
      </c>
      <c r="C48" s="79" t="s">
        <v>107</v>
      </c>
      <c r="D48" s="99">
        <v>3212</v>
      </c>
      <c r="E48" s="99">
        <v>334</v>
      </c>
      <c r="F48" s="99" t="s">
        <v>382</v>
      </c>
      <c r="G48" s="99">
        <v>7</v>
      </c>
      <c r="H48" s="99">
        <v>8</v>
      </c>
      <c r="I48" s="99">
        <v>26</v>
      </c>
      <c r="J48" s="99">
        <v>87</v>
      </c>
      <c r="K48" s="99" t="s">
        <v>635</v>
      </c>
      <c r="L48" s="99">
        <v>487</v>
      </c>
      <c r="M48" s="99">
        <v>43</v>
      </c>
      <c r="N48" s="99">
        <v>20</v>
      </c>
      <c r="O48" s="99">
        <v>11</v>
      </c>
      <c r="P48" s="159">
        <v>11</v>
      </c>
      <c r="Q48" s="99" t="s">
        <v>635</v>
      </c>
      <c r="R48" s="99">
        <v>7</v>
      </c>
      <c r="S48" s="99" t="s">
        <v>635</v>
      </c>
      <c r="T48" s="99" t="s">
        <v>635</v>
      </c>
      <c r="U48" s="99" t="s">
        <v>635</v>
      </c>
      <c r="V48" s="99" t="s">
        <v>635</v>
      </c>
      <c r="W48" s="99">
        <v>20</v>
      </c>
      <c r="X48" s="99">
        <v>13</v>
      </c>
      <c r="Y48" s="99">
        <v>25</v>
      </c>
      <c r="Z48" s="99">
        <v>19</v>
      </c>
      <c r="AA48" s="99" t="s">
        <v>635</v>
      </c>
      <c r="AB48" s="99" t="s">
        <v>635</v>
      </c>
      <c r="AC48" s="99" t="s">
        <v>635</v>
      </c>
      <c r="AD48" s="98" t="s">
        <v>362</v>
      </c>
      <c r="AE48" s="100">
        <v>0.10398505603985056</v>
      </c>
      <c r="AF48" s="100">
        <v>0.24</v>
      </c>
      <c r="AG48" s="98">
        <v>217.9327521793275</v>
      </c>
      <c r="AH48" s="98">
        <v>249.06600249066003</v>
      </c>
      <c r="AI48" s="100">
        <v>0.008</v>
      </c>
      <c r="AJ48" s="100">
        <v>0.457895</v>
      </c>
      <c r="AK48" s="100" t="s">
        <v>635</v>
      </c>
      <c r="AL48" s="100">
        <v>0.69078</v>
      </c>
      <c r="AM48" s="100">
        <v>0.313869</v>
      </c>
      <c r="AN48" s="100">
        <v>0.307692</v>
      </c>
      <c r="AO48" s="98">
        <v>342.4657534246575</v>
      </c>
      <c r="AP48" s="158">
        <v>0.251867733</v>
      </c>
      <c r="AQ48" s="100" t="s">
        <v>635</v>
      </c>
      <c r="AR48" s="100" t="s">
        <v>635</v>
      </c>
      <c r="AS48" s="98" t="s">
        <v>635</v>
      </c>
      <c r="AT48" s="98" t="s">
        <v>635</v>
      </c>
      <c r="AU48" s="98" t="s">
        <v>635</v>
      </c>
      <c r="AV48" s="98" t="s">
        <v>635</v>
      </c>
      <c r="AW48" s="98">
        <v>622.66500622665</v>
      </c>
      <c r="AX48" s="98">
        <v>404.73225404732256</v>
      </c>
      <c r="AY48" s="98">
        <v>778.3312577833126</v>
      </c>
      <c r="AZ48" s="98">
        <v>591.5317559153176</v>
      </c>
      <c r="BA48" s="100" t="s">
        <v>635</v>
      </c>
      <c r="BB48" s="100" t="s">
        <v>635</v>
      </c>
      <c r="BC48" s="100" t="s">
        <v>635</v>
      </c>
      <c r="BD48" s="158">
        <v>0.1257314682</v>
      </c>
      <c r="BE48" s="158">
        <v>0.4506609726</v>
      </c>
      <c r="BF48" s="162">
        <v>190</v>
      </c>
      <c r="BG48" s="162" t="s">
        <v>635</v>
      </c>
      <c r="BH48" s="162">
        <v>705</v>
      </c>
      <c r="BI48" s="162">
        <v>137</v>
      </c>
      <c r="BJ48" s="162">
        <v>65</v>
      </c>
      <c r="BK48" s="97"/>
      <c r="BL48" s="97"/>
      <c r="BM48" s="97"/>
      <c r="BN48" s="97"/>
    </row>
    <row r="49" spans="1:66" ht="12.75">
      <c r="A49" s="79" t="s">
        <v>603</v>
      </c>
      <c r="B49" s="79" t="s">
        <v>336</v>
      </c>
      <c r="C49" s="79" t="s">
        <v>107</v>
      </c>
      <c r="D49" s="99">
        <v>3614</v>
      </c>
      <c r="E49" s="99">
        <v>339</v>
      </c>
      <c r="F49" s="99" t="s">
        <v>382</v>
      </c>
      <c r="G49" s="99">
        <v>11</v>
      </c>
      <c r="H49" s="99" t="s">
        <v>635</v>
      </c>
      <c r="I49" s="99">
        <v>32</v>
      </c>
      <c r="J49" s="99">
        <v>138</v>
      </c>
      <c r="K49" s="99" t="s">
        <v>635</v>
      </c>
      <c r="L49" s="99">
        <v>582</v>
      </c>
      <c r="M49" s="99">
        <v>73</v>
      </c>
      <c r="N49" s="99">
        <v>38</v>
      </c>
      <c r="O49" s="99">
        <v>43</v>
      </c>
      <c r="P49" s="159">
        <v>43</v>
      </c>
      <c r="Q49" s="99" t="s">
        <v>635</v>
      </c>
      <c r="R49" s="99" t="s">
        <v>635</v>
      </c>
      <c r="S49" s="99">
        <v>7</v>
      </c>
      <c r="T49" s="99">
        <v>6</v>
      </c>
      <c r="U49" s="99" t="s">
        <v>635</v>
      </c>
      <c r="V49" s="99" t="s">
        <v>635</v>
      </c>
      <c r="W49" s="99">
        <v>22</v>
      </c>
      <c r="X49" s="99">
        <v>17</v>
      </c>
      <c r="Y49" s="99">
        <v>72</v>
      </c>
      <c r="Z49" s="99">
        <v>9</v>
      </c>
      <c r="AA49" s="99" t="s">
        <v>635</v>
      </c>
      <c r="AB49" s="99" t="s">
        <v>635</v>
      </c>
      <c r="AC49" s="99" t="s">
        <v>635</v>
      </c>
      <c r="AD49" s="98" t="s">
        <v>362</v>
      </c>
      <c r="AE49" s="100">
        <v>0.09380188157166575</v>
      </c>
      <c r="AF49" s="100">
        <v>0.24</v>
      </c>
      <c r="AG49" s="98">
        <v>304.37188710570007</v>
      </c>
      <c r="AH49" s="98" t="s">
        <v>635</v>
      </c>
      <c r="AI49" s="100">
        <v>0.009000000000000001</v>
      </c>
      <c r="AJ49" s="100">
        <v>0.44373</v>
      </c>
      <c r="AK49" s="100" t="s">
        <v>635</v>
      </c>
      <c r="AL49" s="100">
        <v>0.709756</v>
      </c>
      <c r="AM49" s="100">
        <v>0.253472</v>
      </c>
      <c r="AN49" s="100">
        <v>0.263889</v>
      </c>
      <c r="AO49" s="98">
        <v>1189.8173768677366</v>
      </c>
      <c r="AP49" s="158">
        <v>0.855134201</v>
      </c>
      <c r="AQ49" s="100" t="s">
        <v>635</v>
      </c>
      <c r="AR49" s="100" t="s">
        <v>635</v>
      </c>
      <c r="AS49" s="98">
        <v>193.69120088544548</v>
      </c>
      <c r="AT49" s="98">
        <v>166.02102933038185</v>
      </c>
      <c r="AU49" s="98" t="s">
        <v>635</v>
      </c>
      <c r="AV49" s="98" t="s">
        <v>635</v>
      </c>
      <c r="AW49" s="98">
        <v>608.7437742114001</v>
      </c>
      <c r="AX49" s="98">
        <v>470.3929164360819</v>
      </c>
      <c r="AY49" s="98">
        <v>1992.2523519645822</v>
      </c>
      <c r="AZ49" s="98">
        <v>249.03154399557278</v>
      </c>
      <c r="BA49" s="100" t="s">
        <v>635</v>
      </c>
      <c r="BB49" s="100" t="s">
        <v>635</v>
      </c>
      <c r="BC49" s="100" t="s">
        <v>635</v>
      </c>
      <c r="BD49" s="158">
        <v>0.6188648605</v>
      </c>
      <c r="BE49" s="158">
        <v>1.1518601990000001</v>
      </c>
      <c r="BF49" s="162">
        <v>311</v>
      </c>
      <c r="BG49" s="162" t="s">
        <v>635</v>
      </c>
      <c r="BH49" s="162">
        <v>820</v>
      </c>
      <c r="BI49" s="162">
        <v>288</v>
      </c>
      <c r="BJ49" s="162">
        <v>144</v>
      </c>
      <c r="BK49" s="97"/>
      <c r="BL49" s="97"/>
      <c r="BM49" s="97"/>
      <c r="BN49" s="97"/>
    </row>
    <row r="50" spans="1:66" ht="12.75">
      <c r="A50" s="79" t="s">
        <v>583</v>
      </c>
      <c r="B50" s="79" t="s">
        <v>316</v>
      </c>
      <c r="C50" s="79" t="s">
        <v>107</v>
      </c>
      <c r="D50" s="99">
        <v>3258</v>
      </c>
      <c r="E50" s="99">
        <v>337</v>
      </c>
      <c r="F50" s="99" t="s">
        <v>383</v>
      </c>
      <c r="G50" s="99">
        <v>13</v>
      </c>
      <c r="H50" s="99">
        <v>8</v>
      </c>
      <c r="I50" s="99">
        <v>47</v>
      </c>
      <c r="J50" s="99">
        <v>146</v>
      </c>
      <c r="K50" s="99" t="s">
        <v>635</v>
      </c>
      <c r="L50" s="99">
        <v>499</v>
      </c>
      <c r="M50" s="99">
        <v>80</v>
      </c>
      <c r="N50" s="99">
        <v>36</v>
      </c>
      <c r="O50" s="99">
        <v>16</v>
      </c>
      <c r="P50" s="159">
        <v>16</v>
      </c>
      <c r="Q50" s="99" t="s">
        <v>635</v>
      </c>
      <c r="R50" s="99">
        <v>10</v>
      </c>
      <c r="S50" s="99">
        <v>10</v>
      </c>
      <c r="T50" s="99" t="s">
        <v>635</v>
      </c>
      <c r="U50" s="99" t="s">
        <v>635</v>
      </c>
      <c r="V50" s="99" t="s">
        <v>635</v>
      </c>
      <c r="W50" s="99">
        <v>18</v>
      </c>
      <c r="X50" s="99">
        <v>7</v>
      </c>
      <c r="Y50" s="99">
        <v>29</v>
      </c>
      <c r="Z50" s="99">
        <v>11</v>
      </c>
      <c r="AA50" s="99" t="s">
        <v>635</v>
      </c>
      <c r="AB50" s="99" t="s">
        <v>635</v>
      </c>
      <c r="AC50" s="99" t="s">
        <v>635</v>
      </c>
      <c r="AD50" s="98" t="s">
        <v>362</v>
      </c>
      <c r="AE50" s="100">
        <v>0.10343769183548189</v>
      </c>
      <c r="AF50" s="100">
        <v>0.24</v>
      </c>
      <c r="AG50" s="98">
        <v>399.01780233271944</v>
      </c>
      <c r="AH50" s="98">
        <v>245.54941682013506</v>
      </c>
      <c r="AI50" s="100">
        <v>0.013999999999999999</v>
      </c>
      <c r="AJ50" s="100">
        <v>0.581673</v>
      </c>
      <c r="AK50" s="100" t="s">
        <v>635</v>
      </c>
      <c r="AL50" s="100">
        <v>0.532551</v>
      </c>
      <c r="AM50" s="100">
        <v>0.4</v>
      </c>
      <c r="AN50" s="100">
        <v>0.339623</v>
      </c>
      <c r="AO50" s="98">
        <v>491.09883364027013</v>
      </c>
      <c r="AP50" s="158">
        <v>0.3340570068</v>
      </c>
      <c r="AQ50" s="100" t="s">
        <v>635</v>
      </c>
      <c r="AR50" s="100" t="s">
        <v>635</v>
      </c>
      <c r="AS50" s="98">
        <v>306.9367710251688</v>
      </c>
      <c r="AT50" s="98" t="s">
        <v>635</v>
      </c>
      <c r="AU50" s="98" t="s">
        <v>635</v>
      </c>
      <c r="AV50" s="98" t="s">
        <v>635</v>
      </c>
      <c r="AW50" s="98">
        <v>552.4861878453039</v>
      </c>
      <c r="AX50" s="98">
        <v>214.85573971761818</v>
      </c>
      <c r="AY50" s="98">
        <v>890.1166359729896</v>
      </c>
      <c r="AZ50" s="98">
        <v>337.6304481276857</v>
      </c>
      <c r="BA50" s="100" t="s">
        <v>635</v>
      </c>
      <c r="BB50" s="100" t="s">
        <v>635</v>
      </c>
      <c r="BC50" s="100" t="s">
        <v>635</v>
      </c>
      <c r="BD50" s="158">
        <v>0.19094244</v>
      </c>
      <c r="BE50" s="158">
        <v>0.5424876404</v>
      </c>
      <c r="BF50" s="162">
        <v>251</v>
      </c>
      <c r="BG50" s="162" t="s">
        <v>635</v>
      </c>
      <c r="BH50" s="162">
        <v>937</v>
      </c>
      <c r="BI50" s="162">
        <v>200</v>
      </c>
      <c r="BJ50" s="162">
        <v>106</v>
      </c>
      <c r="BK50" s="97"/>
      <c r="BL50" s="97"/>
      <c r="BM50" s="97"/>
      <c r="BN50" s="97"/>
    </row>
    <row r="51" spans="1:66" ht="12.75">
      <c r="A51" s="79" t="s">
        <v>548</v>
      </c>
      <c r="B51" s="79" t="s">
        <v>282</v>
      </c>
      <c r="C51" s="79" t="s">
        <v>107</v>
      </c>
      <c r="D51" s="99">
        <v>4005</v>
      </c>
      <c r="E51" s="99">
        <v>593</v>
      </c>
      <c r="F51" s="99" t="s">
        <v>385</v>
      </c>
      <c r="G51" s="99">
        <v>17</v>
      </c>
      <c r="H51" s="99" t="s">
        <v>635</v>
      </c>
      <c r="I51" s="99">
        <v>55</v>
      </c>
      <c r="J51" s="99">
        <v>265</v>
      </c>
      <c r="K51" s="99">
        <v>7</v>
      </c>
      <c r="L51" s="99">
        <v>708</v>
      </c>
      <c r="M51" s="99">
        <v>168</v>
      </c>
      <c r="N51" s="99">
        <v>89</v>
      </c>
      <c r="O51" s="99">
        <v>60</v>
      </c>
      <c r="P51" s="159">
        <v>60</v>
      </c>
      <c r="Q51" s="99" t="s">
        <v>635</v>
      </c>
      <c r="R51" s="99">
        <v>15</v>
      </c>
      <c r="S51" s="99">
        <v>11</v>
      </c>
      <c r="T51" s="99">
        <v>12</v>
      </c>
      <c r="U51" s="99" t="s">
        <v>635</v>
      </c>
      <c r="V51" s="99" t="s">
        <v>635</v>
      </c>
      <c r="W51" s="99">
        <v>31</v>
      </c>
      <c r="X51" s="99">
        <v>21</v>
      </c>
      <c r="Y51" s="99">
        <v>59</v>
      </c>
      <c r="Z51" s="99">
        <v>17</v>
      </c>
      <c r="AA51" s="99" t="s">
        <v>635</v>
      </c>
      <c r="AB51" s="99" t="s">
        <v>635</v>
      </c>
      <c r="AC51" s="99" t="s">
        <v>635</v>
      </c>
      <c r="AD51" s="98" t="s">
        <v>362</v>
      </c>
      <c r="AE51" s="100">
        <v>0.14806491885143572</v>
      </c>
      <c r="AF51" s="100">
        <v>0.13</v>
      </c>
      <c r="AG51" s="98">
        <v>424.46941323345817</v>
      </c>
      <c r="AH51" s="98" t="s">
        <v>635</v>
      </c>
      <c r="AI51" s="100">
        <v>0.013999999999999999</v>
      </c>
      <c r="AJ51" s="100">
        <v>0.616279</v>
      </c>
      <c r="AK51" s="100">
        <v>0.538462</v>
      </c>
      <c r="AL51" s="100">
        <v>0.676218</v>
      </c>
      <c r="AM51" s="100">
        <v>0.466667</v>
      </c>
      <c r="AN51" s="100">
        <v>0.473404</v>
      </c>
      <c r="AO51" s="98">
        <v>1498.1273408239701</v>
      </c>
      <c r="AP51" s="158">
        <v>0.869821167</v>
      </c>
      <c r="AQ51" s="100" t="s">
        <v>635</v>
      </c>
      <c r="AR51" s="100" t="s">
        <v>635</v>
      </c>
      <c r="AS51" s="98">
        <v>274.65667915106116</v>
      </c>
      <c r="AT51" s="98">
        <v>299.62546816479403</v>
      </c>
      <c r="AU51" s="98" t="s">
        <v>635</v>
      </c>
      <c r="AV51" s="98" t="s">
        <v>635</v>
      </c>
      <c r="AW51" s="98">
        <v>774.0324594257179</v>
      </c>
      <c r="AX51" s="98">
        <v>524.3445692883895</v>
      </c>
      <c r="AY51" s="98">
        <v>1473.1585518102372</v>
      </c>
      <c r="AZ51" s="98">
        <v>424.46941323345817</v>
      </c>
      <c r="BA51" s="100" t="s">
        <v>635</v>
      </c>
      <c r="BB51" s="100" t="s">
        <v>635</v>
      </c>
      <c r="BC51" s="100" t="s">
        <v>635</v>
      </c>
      <c r="BD51" s="158">
        <v>0.6637651825</v>
      </c>
      <c r="BE51" s="158">
        <v>1.119632263</v>
      </c>
      <c r="BF51" s="162">
        <v>430</v>
      </c>
      <c r="BG51" s="162">
        <v>13</v>
      </c>
      <c r="BH51" s="162">
        <v>1047</v>
      </c>
      <c r="BI51" s="162">
        <v>360</v>
      </c>
      <c r="BJ51" s="162">
        <v>188</v>
      </c>
      <c r="BK51" s="97"/>
      <c r="BL51" s="97"/>
      <c r="BM51" s="97"/>
      <c r="BN51" s="97"/>
    </row>
    <row r="52" spans="1:66" ht="12.75">
      <c r="A52" s="79" t="s">
        <v>588</v>
      </c>
      <c r="B52" s="79" t="s">
        <v>321</v>
      </c>
      <c r="C52" s="79" t="s">
        <v>107</v>
      </c>
      <c r="D52" s="99">
        <v>7331</v>
      </c>
      <c r="E52" s="99">
        <v>624</v>
      </c>
      <c r="F52" s="99" t="s">
        <v>385</v>
      </c>
      <c r="G52" s="99">
        <v>14</v>
      </c>
      <c r="H52" s="99">
        <v>10</v>
      </c>
      <c r="I52" s="99">
        <v>97</v>
      </c>
      <c r="J52" s="99">
        <v>475</v>
      </c>
      <c r="K52" s="99">
        <v>439</v>
      </c>
      <c r="L52" s="99">
        <v>1634</v>
      </c>
      <c r="M52" s="99">
        <v>234</v>
      </c>
      <c r="N52" s="99">
        <v>133</v>
      </c>
      <c r="O52" s="99">
        <v>118</v>
      </c>
      <c r="P52" s="159">
        <v>118</v>
      </c>
      <c r="Q52" s="99" t="s">
        <v>635</v>
      </c>
      <c r="R52" s="99">
        <v>17</v>
      </c>
      <c r="S52" s="99">
        <v>32</v>
      </c>
      <c r="T52" s="99">
        <v>25</v>
      </c>
      <c r="U52" s="99" t="s">
        <v>635</v>
      </c>
      <c r="V52" s="99">
        <v>7</v>
      </c>
      <c r="W52" s="99">
        <v>50</v>
      </c>
      <c r="X52" s="99">
        <v>14</v>
      </c>
      <c r="Y52" s="99">
        <v>73</v>
      </c>
      <c r="Z52" s="99">
        <v>22</v>
      </c>
      <c r="AA52" s="99" t="s">
        <v>635</v>
      </c>
      <c r="AB52" s="99" t="s">
        <v>635</v>
      </c>
      <c r="AC52" s="99" t="s">
        <v>635</v>
      </c>
      <c r="AD52" s="98" t="s">
        <v>362</v>
      </c>
      <c r="AE52" s="100">
        <v>0.08511799208839176</v>
      </c>
      <c r="AF52" s="100">
        <v>0.17</v>
      </c>
      <c r="AG52" s="98">
        <v>190.9698540444687</v>
      </c>
      <c r="AH52" s="98">
        <v>136.40703860319192</v>
      </c>
      <c r="AI52" s="100">
        <v>0.013000000000000001</v>
      </c>
      <c r="AJ52" s="100">
        <v>0.64276</v>
      </c>
      <c r="AK52" s="100">
        <v>0.626248</v>
      </c>
      <c r="AL52" s="100">
        <v>0.679418</v>
      </c>
      <c r="AM52" s="100">
        <v>0.468</v>
      </c>
      <c r="AN52" s="100">
        <v>0.534137</v>
      </c>
      <c r="AO52" s="98">
        <v>1609.6030555176646</v>
      </c>
      <c r="AP52" s="158">
        <v>1.068423004</v>
      </c>
      <c r="AQ52" s="100" t="s">
        <v>635</v>
      </c>
      <c r="AR52" s="100" t="s">
        <v>635</v>
      </c>
      <c r="AS52" s="98">
        <v>436.50252353021415</v>
      </c>
      <c r="AT52" s="98">
        <v>341.0175965079798</v>
      </c>
      <c r="AU52" s="98" t="s">
        <v>635</v>
      </c>
      <c r="AV52" s="98">
        <v>95.48492702223434</v>
      </c>
      <c r="AW52" s="98">
        <v>682.0351930159596</v>
      </c>
      <c r="AX52" s="98">
        <v>190.9698540444687</v>
      </c>
      <c r="AY52" s="98">
        <v>995.7713818033011</v>
      </c>
      <c r="AZ52" s="98">
        <v>300.09548492702226</v>
      </c>
      <c r="BA52" s="100" t="s">
        <v>635</v>
      </c>
      <c r="BB52" s="100" t="s">
        <v>635</v>
      </c>
      <c r="BC52" s="100" t="s">
        <v>635</v>
      </c>
      <c r="BD52" s="158">
        <v>0.8843619536999999</v>
      </c>
      <c r="BE52" s="158">
        <v>1.279495697</v>
      </c>
      <c r="BF52" s="162">
        <v>739</v>
      </c>
      <c r="BG52" s="162">
        <v>701</v>
      </c>
      <c r="BH52" s="162">
        <v>2405</v>
      </c>
      <c r="BI52" s="162">
        <v>500</v>
      </c>
      <c r="BJ52" s="162">
        <v>249</v>
      </c>
      <c r="BK52" s="97"/>
      <c r="BL52" s="97"/>
      <c r="BM52" s="97"/>
      <c r="BN52" s="97"/>
    </row>
    <row r="53" spans="1:66" ht="12.75">
      <c r="A53" s="79" t="s">
        <v>578</v>
      </c>
      <c r="B53" s="79" t="s">
        <v>311</v>
      </c>
      <c r="C53" s="79" t="s">
        <v>107</v>
      </c>
      <c r="D53" s="99">
        <v>2774</v>
      </c>
      <c r="E53" s="99">
        <v>310</v>
      </c>
      <c r="F53" s="99" t="s">
        <v>385</v>
      </c>
      <c r="G53" s="99">
        <v>12</v>
      </c>
      <c r="H53" s="99" t="s">
        <v>635</v>
      </c>
      <c r="I53" s="99">
        <v>40</v>
      </c>
      <c r="J53" s="99">
        <v>163</v>
      </c>
      <c r="K53" s="99">
        <v>150</v>
      </c>
      <c r="L53" s="99">
        <v>583</v>
      </c>
      <c r="M53" s="99">
        <v>109</v>
      </c>
      <c r="N53" s="99">
        <v>60</v>
      </c>
      <c r="O53" s="99">
        <v>50</v>
      </c>
      <c r="P53" s="159">
        <v>50</v>
      </c>
      <c r="Q53" s="99">
        <v>6</v>
      </c>
      <c r="R53" s="99">
        <v>15</v>
      </c>
      <c r="S53" s="99">
        <v>12</v>
      </c>
      <c r="T53" s="99">
        <v>17</v>
      </c>
      <c r="U53" s="99" t="s">
        <v>635</v>
      </c>
      <c r="V53" s="99" t="s">
        <v>635</v>
      </c>
      <c r="W53" s="99">
        <v>25</v>
      </c>
      <c r="X53" s="99">
        <v>7</v>
      </c>
      <c r="Y53" s="99">
        <v>27</v>
      </c>
      <c r="Z53" s="99">
        <v>6</v>
      </c>
      <c r="AA53" s="99" t="s">
        <v>635</v>
      </c>
      <c r="AB53" s="99" t="s">
        <v>635</v>
      </c>
      <c r="AC53" s="99" t="s">
        <v>635</v>
      </c>
      <c r="AD53" s="98" t="s">
        <v>362</v>
      </c>
      <c r="AE53" s="100">
        <v>0.11175198269646719</v>
      </c>
      <c r="AF53" s="100">
        <v>0.15</v>
      </c>
      <c r="AG53" s="98">
        <v>432.5883201153569</v>
      </c>
      <c r="AH53" s="98" t="s">
        <v>635</v>
      </c>
      <c r="AI53" s="100">
        <v>0.013999999999999999</v>
      </c>
      <c r="AJ53" s="100">
        <v>0.631783</v>
      </c>
      <c r="AK53" s="100">
        <v>0.614754</v>
      </c>
      <c r="AL53" s="100">
        <v>0.652125</v>
      </c>
      <c r="AM53" s="100">
        <v>0.514151</v>
      </c>
      <c r="AN53" s="100">
        <v>0.526316</v>
      </c>
      <c r="AO53" s="98">
        <v>1802.451333813987</v>
      </c>
      <c r="AP53" s="158">
        <v>1.1122537989999999</v>
      </c>
      <c r="AQ53" s="100">
        <v>0.12</v>
      </c>
      <c r="AR53" s="100">
        <v>0.4</v>
      </c>
      <c r="AS53" s="98">
        <v>432.5883201153569</v>
      </c>
      <c r="AT53" s="98">
        <v>612.8334534967556</v>
      </c>
      <c r="AU53" s="98" t="s">
        <v>635</v>
      </c>
      <c r="AV53" s="98" t="s">
        <v>635</v>
      </c>
      <c r="AW53" s="98">
        <v>901.2256669069935</v>
      </c>
      <c r="AX53" s="98">
        <v>252.3431867339582</v>
      </c>
      <c r="AY53" s="98">
        <v>973.3237202595529</v>
      </c>
      <c r="AZ53" s="98">
        <v>216.29416005767845</v>
      </c>
      <c r="BA53" s="100" t="s">
        <v>635</v>
      </c>
      <c r="BB53" s="100" t="s">
        <v>635</v>
      </c>
      <c r="BC53" s="100" t="s">
        <v>635</v>
      </c>
      <c r="BD53" s="158">
        <v>0.8255361938</v>
      </c>
      <c r="BE53" s="158">
        <v>1.46636795</v>
      </c>
      <c r="BF53" s="162">
        <v>258</v>
      </c>
      <c r="BG53" s="162">
        <v>244</v>
      </c>
      <c r="BH53" s="162">
        <v>894</v>
      </c>
      <c r="BI53" s="162">
        <v>212</v>
      </c>
      <c r="BJ53" s="162">
        <v>114</v>
      </c>
      <c r="BK53" s="97"/>
      <c r="BL53" s="97"/>
      <c r="BM53" s="97"/>
      <c r="BN53" s="97"/>
    </row>
    <row r="54" spans="1:66" ht="12.75">
      <c r="A54" s="79" t="s">
        <v>592</v>
      </c>
      <c r="B54" s="79" t="s">
        <v>325</v>
      </c>
      <c r="C54" s="79" t="s">
        <v>107</v>
      </c>
      <c r="D54" s="99">
        <v>8337</v>
      </c>
      <c r="E54" s="99">
        <v>901</v>
      </c>
      <c r="F54" s="99" t="s">
        <v>385</v>
      </c>
      <c r="G54" s="99">
        <v>16</v>
      </c>
      <c r="H54" s="99" t="s">
        <v>635</v>
      </c>
      <c r="I54" s="99">
        <v>108</v>
      </c>
      <c r="J54" s="99">
        <v>649</v>
      </c>
      <c r="K54" s="99">
        <v>512</v>
      </c>
      <c r="L54" s="99">
        <v>1646</v>
      </c>
      <c r="M54" s="99">
        <v>315</v>
      </c>
      <c r="N54" s="99">
        <v>167</v>
      </c>
      <c r="O54" s="99">
        <v>118</v>
      </c>
      <c r="P54" s="159">
        <v>118</v>
      </c>
      <c r="Q54" s="99">
        <v>7</v>
      </c>
      <c r="R54" s="99">
        <v>18</v>
      </c>
      <c r="S54" s="99">
        <v>35</v>
      </c>
      <c r="T54" s="99">
        <v>25</v>
      </c>
      <c r="U54" s="99" t="s">
        <v>635</v>
      </c>
      <c r="V54" s="99">
        <v>7</v>
      </c>
      <c r="W54" s="99">
        <v>58</v>
      </c>
      <c r="X54" s="99">
        <v>41</v>
      </c>
      <c r="Y54" s="99">
        <v>82</v>
      </c>
      <c r="Z54" s="99">
        <v>37</v>
      </c>
      <c r="AA54" s="99" t="s">
        <v>635</v>
      </c>
      <c r="AB54" s="99" t="s">
        <v>635</v>
      </c>
      <c r="AC54" s="99" t="s">
        <v>635</v>
      </c>
      <c r="AD54" s="98" t="s">
        <v>362</v>
      </c>
      <c r="AE54" s="100">
        <v>0.10807244812282596</v>
      </c>
      <c r="AF54" s="100">
        <v>0.16</v>
      </c>
      <c r="AG54" s="98">
        <v>191.91555715485185</v>
      </c>
      <c r="AH54" s="98" t="s">
        <v>635</v>
      </c>
      <c r="AI54" s="100">
        <v>0.013000000000000001</v>
      </c>
      <c r="AJ54" s="100">
        <v>0.759064</v>
      </c>
      <c r="AK54" s="100">
        <v>0.684492</v>
      </c>
      <c r="AL54" s="100">
        <v>0.722564</v>
      </c>
      <c r="AM54" s="100">
        <v>0.483871</v>
      </c>
      <c r="AN54" s="100">
        <v>0.465181</v>
      </c>
      <c r="AO54" s="98">
        <v>1415.3772340170326</v>
      </c>
      <c r="AP54" s="158">
        <v>0.9106658935999999</v>
      </c>
      <c r="AQ54" s="100">
        <v>0.059322033898305086</v>
      </c>
      <c r="AR54" s="100">
        <v>0.3888888888888889</v>
      </c>
      <c r="AS54" s="98">
        <v>419.81528127623847</v>
      </c>
      <c r="AT54" s="98">
        <v>299.868058054456</v>
      </c>
      <c r="AU54" s="98" t="s">
        <v>635</v>
      </c>
      <c r="AV54" s="98">
        <v>83.9630562552477</v>
      </c>
      <c r="AW54" s="98">
        <v>695.693894686338</v>
      </c>
      <c r="AX54" s="98">
        <v>491.7836152093079</v>
      </c>
      <c r="AY54" s="98">
        <v>983.5672304186158</v>
      </c>
      <c r="AZ54" s="98">
        <v>443.80472592059493</v>
      </c>
      <c r="BA54" s="100" t="s">
        <v>635</v>
      </c>
      <c r="BB54" s="100" t="s">
        <v>635</v>
      </c>
      <c r="BC54" s="100" t="s">
        <v>635</v>
      </c>
      <c r="BD54" s="158">
        <v>0.753782196</v>
      </c>
      <c r="BE54" s="158">
        <v>1.090572739</v>
      </c>
      <c r="BF54" s="162">
        <v>855</v>
      </c>
      <c r="BG54" s="162">
        <v>748</v>
      </c>
      <c r="BH54" s="162">
        <v>2278</v>
      </c>
      <c r="BI54" s="162">
        <v>651</v>
      </c>
      <c r="BJ54" s="162">
        <v>359</v>
      </c>
      <c r="BK54" s="97"/>
      <c r="BL54" s="97"/>
      <c r="BM54" s="97"/>
      <c r="BN54" s="97"/>
    </row>
    <row r="55" spans="1:66" ht="12.75">
      <c r="A55" s="79" t="s">
        <v>569</v>
      </c>
      <c r="B55" s="79" t="s">
        <v>302</v>
      </c>
      <c r="C55" s="79" t="s">
        <v>107</v>
      </c>
      <c r="D55" s="99">
        <v>3434</v>
      </c>
      <c r="E55" s="99">
        <v>401</v>
      </c>
      <c r="F55" s="99" t="s">
        <v>384</v>
      </c>
      <c r="G55" s="99" t="s">
        <v>635</v>
      </c>
      <c r="H55" s="99" t="s">
        <v>635</v>
      </c>
      <c r="I55" s="99">
        <v>44</v>
      </c>
      <c r="J55" s="99">
        <v>285</v>
      </c>
      <c r="K55" s="99">
        <v>287</v>
      </c>
      <c r="L55" s="99">
        <v>820</v>
      </c>
      <c r="M55" s="99">
        <v>189</v>
      </c>
      <c r="N55" s="99">
        <v>105</v>
      </c>
      <c r="O55" s="99">
        <v>35</v>
      </c>
      <c r="P55" s="159">
        <v>35</v>
      </c>
      <c r="Q55" s="99" t="s">
        <v>635</v>
      </c>
      <c r="R55" s="99">
        <v>9</v>
      </c>
      <c r="S55" s="99">
        <v>11</v>
      </c>
      <c r="T55" s="99">
        <v>8</v>
      </c>
      <c r="U55" s="99" t="s">
        <v>635</v>
      </c>
      <c r="V55" s="99" t="s">
        <v>635</v>
      </c>
      <c r="W55" s="99">
        <v>20</v>
      </c>
      <c r="X55" s="99">
        <v>10</v>
      </c>
      <c r="Y55" s="99">
        <v>25</v>
      </c>
      <c r="Z55" s="99">
        <v>17</v>
      </c>
      <c r="AA55" s="99" t="s">
        <v>635</v>
      </c>
      <c r="AB55" s="99" t="s">
        <v>635</v>
      </c>
      <c r="AC55" s="99" t="s">
        <v>635</v>
      </c>
      <c r="AD55" s="98" t="s">
        <v>362</v>
      </c>
      <c r="AE55" s="100">
        <v>0.11677344205008736</v>
      </c>
      <c r="AF55" s="100">
        <v>0.09</v>
      </c>
      <c r="AG55" s="98" t="s">
        <v>635</v>
      </c>
      <c r="AH55" s="98" t="s">
        <v>635</v>
      </c>
      <c r="AI55" s="100">
        <v>0.013000000000000001</v>
      </c>
      <c r="AJ55" s="100">
        <v>0.710723</v>
      </c>
      <c r="AK55" s="100">
        <v>0.724747</v>
      </c>
      <c r="AL55" s="100">
        <v>0.71741</v>
      </c>
      <c r="AM55" s="100">
        <v>0.510811</v>
      </c>
      <c r="AN55" s="100">
        <v>0.546875</v>
      </c>
      <c r="AO55" s="98">
        <v>1019.2195690157251</v>
      </c>
      <c r="AP55" s="158">
        <v>0.5837386703</v>
      </c>
      <c r="AQ55" s="100" t="s">
        <v>635</v>
      </c>
      <c r="AR55" s="100" t="s">
        <v>635</v>
      </c>
      <c r="AS55" s="98">
        <v>320.32615026208504</v>
      </c>
      <c r="AT55" s="98">
        <v>232.96447291788002</v>
      </c>
      <c r="AU55" s="98" t="s">
        <v>635</v>
      </c>
      <c r="AV55" s="98" t="s">
        <v>635</v>
      </c>
      <c r="AW55" s="98">
        <v>582.4111822947001</v>
      </c>
      <c r="AX55" s="98">
        <v>291.20559114735005</v>
      </c>
      <c r="AY55" s="98">
        <v>728.013977868375</v>
      </c>
      <c r="AZ55" s="98">
        <v>495.0495049504951</v>
      </c>
      <c r="BA55" s="100" t="s">
        <v>635</v>
      </c>
      <c r="BB55" s="100" t="s">
        <v>635</v>
      </c>
      <c r="BC55" s="100" t="s">
        <v>635</v>
      </c>
      <c r="BD55" s="158">
        <v>0.4065953827</v>
      </c>
      <c r="BE55" s="158">
        <v>0.8118392181</v>
      </c>
      <c r="BF55" s="162">
        <v>401</v>
      </c>
      <c r="BG55" s="162">
        <v>396</v>
      </c>
      <c r="BH55" s="162">
        <v>1143</v>
      </c>
      <c r="BI55" s="162">
        <v>370</v>
      </c>
      <c r="BJ55" s="162">
        <v>192</v>
      </c>
      <c r="BK55" s="97"/>
      <c r="BL55" s="97"/>
      <c r="BM55" s="97"/>
      <c r="BN55" s="97"/>
    </row>
    <row r="56" spans="1:66" ht="12.75">
      <c r="A56" s="79" t="s">
        <v>611</v>
      </c>
      <c r="B56" s="79" t="s">
        <v>344</v>
      </c>
      <c r="C56" s="79" t="s">
        <v>107</v>
      </c>
      <c r="D56" s="99">
        <v>2823</v>
      </c>
      <c r="E56" s="99">
        <v>377</v>
      </c>
      <c r="F56" s="99" t="s">
        <v>384</v>
      </c>
      <c r="G56" s="99" t="s">
        <v>635</v>
      </c>
      <c r="H56" s="99" t="s">
        <v>635</v>
      </c>
      <c r="I56" s="99">
        <v>34</v>
      </c>
      <c r="J56" s="99">
        <v>176</v>
      </c>
      <c r="K56" s="99">
        <v>156</v>
      </c>
      <c r="L56" s="99">
        <v>497</v>
      </c>
      <c r="M56" s="99">
        <v>120</v>
      </c>
      <c r="N56" s="99">
        <v>60</v>
      </c>
      <c r="O56" s="99">
        <v>17</v>
      </c>
      <c r="P56" s="159">
        <v>17</v>
      </c>
      <c r="Q56" s="99" t="s">
        <v>635</v>
      </c>
      <c r="R56" s="99">
        <v>8</v>
      </c>
      <c r="S56" s="99" t="s">
        <v>635</v>
      </c>
      <c r="T56" s="99" t="s">
        <v>635</v>
      </c>
      <c r="U56" s="99" t="s">
        <v>635</v>
      </c>
      <c r="V56" s="99" t="s">
        <v>635</v>
      </c>
      <c r="W56" s="99">
        <v>15</v>
      </c>
      <c r="X56" s="99">
        <v>7</v>
      </c>
      <c r="Y56" s="99">
        <v>19</v>
      </c>
      <c r="Z56" s="99">
        <v>8</v>
      </c>
      <c r="AA56" s="99" t="s">
        <v>635</v>
      </c>
      <c r="AB56" s="99" t="s">
        <v>635</v>
      </c>
      <c r="AC56" s="99" t="s">
        <v>635</v>
      </c>
      <c r="AD56" s="98" t="s">
        <v>362</v>
      </c>
      <c r="AE56" s="100">
        <v>0.13354587318455544</v>
      </c>
      <c r="AF56" s="100">
        <v>0.09</v>
      </c>
      <c r="AG56" s="98" t="s">
        <v>635</v>
      </c>
      <c r="AH56" s="98" t="s">
        <v>635</v>
      </c>
      <c r="AI56" s="100">
        <v>0.012</v>
      </c>
      <c r="AJ56" s="100">
        <v>0.664151</v>
      </c>
      <c r="AK56" s="100">
        <v>0.619048</v>
      </c>
      <c r="AL56" s="100">
        <v>0.582649</v>
      </c>
      <c r="AM56" s="100">
        <v>0.515021</v>
      </c>
      <c r="AN56" s="100">
        <v>0.535714</v>
      </c>
      <c r="AO56" s="98">
        <v>602.1962451292951</v>
      </c>
      <c r="AP56" s="158">
        <v>0.3535333252</v>
      </c>
      <c r="AQ56" s="100" t="s">
        <v>635</v>
      </c>
      <c r="AR56" s="100" t="s">
        <v>635</v>
      </c>
      <c r="AS56" s="98" t="s">
        <v>635</v>
      </c>
      <c r="AT56" s="98" t="s">
        <v>635</v>
      </c>
      <c r="AU56" s="98" t="s">
        <v>635</v>
      </c>
      <c r="AV56" s="98" t="s">
        <v>635</v>
      </c>
      <c r="AW56" s="98">
        <v>531.3496280552604</v>
      </c>
      <c r="AX56" s="98">
        <v>247.9631597591215</v>
      </c>
      <c r="AY56" s="98">
        <v>673.0428622033298</v>
      </c>
      <c r="AZ56" s="98">
        <v>283.38646829613884</v>
      </c>
      <c r="BA56" s="100" t="s">
        <v>635</v>
      </c>
      <c r="BB56" s="100" t="s">
        <v>635</v>
      </c>
      <c r="BC56" s="100" t="s">
        <v>635</v>
      </c>
      <c r="BD56" s="158">
        <v>0.2059461784</v>
      </c>
      <c r="BE56" s="158">
        <v>0.566041069</v>
      </c>
      <c r="BF56" s="162">
        <v>265</v>
      </c>
      <c r="BG56" s="162">
        <v>252</v>
      </c>
      <c r="BH56" s="162">
        <v>853</v>
      </c>
      <c r="BI56" s="162">
        <v>233</v>
      </c>
      <c r="BJ56" s="162">
        <v>112</v>
      </c>
      <c r="BK56" s="97"/>
      <c r="BL56" s="97"/>
      <c r="BM56" s="97"/>
      <c r="BN56" s="97"/>
    </row>
    <row r="57" spans="1:66" ht="12.75">
      <c r="A57" s="79" t="s">
        <v>612</v>
      </c>
      <c r="B57" s="79" t="s">
        <v>345</v>
      </c>
      <c r="C57" s="79" t="s">
        <v>107</v>
      </c>
      <c r="D57" s="99">
        <v>1264</v>
      </c>
      <c r="E57" s="99">
        <v>143</v>
      </c>
      <c r="F57" s="99" t="s">
        <v>382</v>
      </c>
      <c r="G57" s="99">
        <v>8</v>
      </c>
      <c r="H57" s="99" t="s">
        <v>635</v>
      </c>
      <c r="I57" s="99">
        <v>20</v>
      </c>
      <c r="J57" s="99">
        <v>43</v>
      </c>
      <c r="K57" s="99" t="s">
        <v>635</v>
      </c>
      <c r="L57" s="99">
        <v>247</v>
      </c>
      <c r="M57" s="99">
        <v>32</v>
      </c>
      <c r="N57" s="99">
        <v>15</v>
      </c>
      <c r="O57" s="99" t="s">
        <v>635</v>
      </c>
      <c r="P57" s="159" t="s">
        <v>635</v>
      </c>
      <c r="Q57" s="99" t="s">
        <v>635</v>
      </c>
      <c r="R57" s="99" t="s">
        <v>635</v>
      </c>
      <c r="S57" s="99" t="s">
        <v>635</v>
      </c>
      <c r="T57" s="99" t="s">
        <v>635</v>
      </c>
      <c r="U57" s="99" t="s">
        <v>635</v>
      </c>
      <c r="V57" s="99" t="s">
        <v>635</v>
      </c>
      <c r="W57" s="99">
        <v>6</v>
      </c>
      <c r="X57" s="99">
        <v>6</v>
      </c>
      <c r="Y57" s="99">
        <v>20</v>
      </c>
      <c r="Z57" s="99" t="s">
        <v>635</v>
      </c>
      <c r="AA57" s="99" t="s">
        <v>635</v>
      </c>
      <c r="AB57" s="99" t="s">
        <v>635</v>
      </c>
      <c r="AC57" s="99" t="s">
        <v>635</v>
      </c>
      <c r="AD57" s="98" t="s">
        <v>362</v>
      </c>
      <c r="AE57" s="100">
        <v>0.11313291139240507</v>
      </c>
      <c r="AF57" s="100">
        <v>0.22</v>
      </c>
      <c r="AG57" s="98">
        <v>632.9113924050633</v>
      </c>
      <c r="AH57" s="98" t="s">
        <v>635</v>
      </c>
      <c r="AI57" s="100">
        <v>0.016</v>
      </c>
      <c r="AJ57" s="100">
        <v>0.434343</v>
      </c>
      <c r="AK57" s="100" t="s">
        <v>635</v>
      </c>
      <c r="AL57" s="100">
        <v>0.764706</v>
      </c>
      <c r="AM57" s="100">
        <v>0.372093</v>
      </c>
      <c r="AN57" s="100">
        <v>0.405405</v>
      </c>
      <c r="AO57" s="98" t="s">
        <v>635</v>
      </c>
      <c r="AP57" s="158" t="s">
        <v>635</v>
      </c>
      <c r="AQ57" s="100" t="s">
        <v>635</v>
      </c>
      <c r="AR57" s="100" t="s">
        <v>635</v>
      </c>
      <c r="AS57" s="98" t="s">
        <v>635</v>
      </c>
      <c r="AT57" s="98" t="s">
        <v>635</v>
      </c>
      <c r="AU57" s="98" t="s">
        <v>635</v>
      </c>
      <c r="AV57" s="98" t="s">
        <v>635</v>
      </c>
      <c r="AW57" s="98">
        <v>474.6835443037975</v>
      </c>
      <c r="AX57" s="98">
        <v>474.6835443037975</v>
      </c>
      <c r="AY57" s="98">
        <v>1582.2784810126582</v>
      </c>
      <c r="AZ57" s="98" t="s">
        <v>635</v>
      </c>
      <c r="BA57" s="100" t="s">
        <v>635</v>
      </c>
      <c r="BB57" s="100" t="s">
        <v>635</v>
      </c>
      <c r="BC57" s="100" t="s">
        <v>635</v>
      </c>
      <c r="BD57" s="158" t="s">
        <v>635</v>
      </c>
      <c r="BE57" s="158" t="s">
        <v>635</v>
      </c>
      <c r="BF57" s="162">
        <v>99</v>
      </c>
      <c r="BG57" s="162" t="s">
        <v>635</v>
      </c>
      <c r="BH57" s="162">
        <v>323</v>
      </c>
      <c r="BI57" s="162">
        <v>86</v>
      </c>
      <c r="BJ57" s="162">
        <v>37</v>
      </c>
      <c r="BK57" s="97"/>
      <c r="BL57" s="97"/>
      <c r="BM57" s="97"/>
      <c r="BN57" s="97"/>
    </row>
    <row r="58" spans="1:66" ht="12.75">
      <c r="A58" s="79" t="s">
        <v>601</v>
      </c>
      <c r="B58" s="79" t="s">
        <v>334</v>
      </c>
      <c r="C58" s="79" t="s">
        <v>107</v>
      </c>
      <c r="D58" s="99">
        <v>2797</v>
      </c>
      <c r="E58" s="99">
        <v>359</v>
      </c>
      <c r="F58" s="99" t="s">
        <v>382</v>
      </c>
      <c r="G58" s="99" t="s">
        <v>635</v>
      </c>
      <c r="H58" s="99" t="s">
        <v>635</v>
      </c>
      <c r="I58" s="99">
        <v>32</v>
      </c>
      <c r="J58" s="99">
        <v>101</v>
      </c>
      <c r="K58" s="99" t="s">
        <v>635</v>
      </c>
      <c r="L58" s="99">
        <v>417</v>
      </c>
      <c r="M58" s="99">
        <v>80</v>
      </c>
      <c r="N58" s="99">
        <v>41</v>
      </c>
      <c r="O58" s="99">
        <v>62</v>
      </c>
      <c r="P58" s="159">
        <v>62</v>
      </c>
      <c r="Q58" s="99" t="s">
        <v>635</v>
      </c>
      <c r="R58" s="99">
        <v>9</v>
      </c>
      <c r="S58" s="99">
        <v>6</v>
      </c>
      <c r="T58" s="99">
        <v>15</v>
      </c>
      <c r="U58" s="99" t="s">
        <v>635</v>
      </c>
      <c r="V58" s="99" t="s">
        <v>635</v>
      </c>
      <c r="W58" s="99">
        <v>27</v>
      </c>
      <c r="X58" s="99">
        <v>10</v>
      </c>
      <c r="Y58" s="99">
        <v>42</v>
      </c>
      <c r="Z58" s="99">
        <v>16</v>
      </c>
      <c r="AA58" s="99" t="s">
        <v>635</v>
      </c>
      <c r="AB58" s="99" t="s">
        <v>635</v>
      </c>
      <c r="AC58" s="99" t="s">
        <v>635</v>
      </c>
      <c r="AD58" s="98" t="s">
        <v>362</v>
      </c>
      <c r="AE58" s="100">
        <v>0.12835180550589917</v>
      </c>
      <c r="AF58" s="100">
        <v>0.21</v>
      </c>
      <c r="AG58" s="98" t="s">
        <v>635</v>
      </c>
      <c r="AH58" s="98" t="s">
        <v>635</v>
      </c>
      <c r="AI58" s="100">
        <v>0.011000000000000001</v>
      </c>
      <c r="AJ58" s="100">
        <v>0.492683</v>
      </c>
      <c r="AK58" s="100" t="s">
        <v>635</v>
      </c>
      <c r="AL58" s="100">
        <v>0.539457</v>
      </c>
      <c r="AM58" s="100">
        <v>0.358744</v>
      </c>
      <c r="AN58" s="100">
        <v>0.376147</v>
      </c>
      <c r="AO58" s="98">
        <v>2216.660707901323</v>
      </c>
      <c r="AP58" s="158">
        <v>1.36921051</v>
      </c>
      <c r="AQ58" s="100" t="s">
        <v>635</v>
      </c>
      <c r="AR58" s="100" t="s">
        <v>635</v>
      </c>
      <c r="AS58" s="98">
        <v>214.51555237754738</v>
      </c>
      <c r="AT58" s="98">
        <v>536.2888809438684</v>
      </c>
      <c r="AU58" s="98" t="s">
        <v>635</v>
      </c>
      <c r="AV58" s="98" t="s">
        <v>635</v>
      </c>
      <c r="AW58" s="98">
        <v>965.3199856989631</v>
      </c>
      <c r="AX58" s="98">
        <v>357.5259206292456</v>
      </c>
      <c r="AY58" s="98">
        <v>1501.6088666428316</v>
      </c>
      <c r="AZ58" s="98">
        <v>572.041473006793</v>
      </c>
      <c r="BA58" s="100" t="s">
        <v>635</v>
      </c>
      <c r="BB58" s="100" t="s">
        <v>635</v>
      </c>
      <c r="BC58" s="100" t="s">
        <v>635</v>
      </c>
      <c r="BD58" s="158">
        <v>1.049765854</v>
      </c>
      <c r="BE58" s="158">
        <v>1.7552661130000002</v>
      </c>
      <c r="BF58" s="162">
        <v>205</v>
      </c>
      <c r="BG58" s="162" t="s">
        <v>635</v>
      </c>
      <c r="BH58" s="162">
        <v>773</v>
      </c>
      <c r="BI58" s="162">
        <v>223</v>
      </c>
      <c r="BJ58" s="162">
        <v>109</v>
      </c>
      <c r="BK58" s="97"/>
      <c r="BL58" s="97"/>
      <c r="BM58" s="97"/>
      <c r="BN58" s="97"/>
    </row>
    <row r="59" spans="1:66" ht="12.75">
      <c r="A59" s="79" t="s">
        <v>606</v>
      </c>
      <c r="B59" s="79" t="s">
        <v>339</v>
      </c>
      <c r="C59" s="79" t="s">
        <v>107</v>
      </c>
      <c r="D59" s="99">
        <v>1369</v>
      </c>
      <c r="E59" s="99">
        <v>235</v>
      </c>
      <c r="F59" s="99" t="s">
        <v>382</v>
      </c>
      <c r="G59" s="99">
        <v>9</v>
      </c>
      <c r="H59" s="99" t="s">
        <v>635</v>
      </c>
      <c r="I59" s="99">
        <v>31</v>
      </c>
      <c r="J59" s="99">
        <v>87</v>
      </c>
      <c r="K59" s="99">
        <v>81</v>
      </c>
      <c r="L59" s="99">
        <v>169</v>
      </c>
      <c r="M59" s="99">
        <v>58</v>
      </c>
      <c r="N59" s="99">
        <v>27</v>
      </c>
      <c r="O59" s="99">
        <v>9</v>
      </c>
      <c r="P59" s="159">
        <v>9</v>
      </c>
      <c r="Q59" s="99" t="s">
        <v>635</v>
      </c>
      <c r="R59" s="99">
        <v>8</v>
      </c>
      <c r="S59" s="99" t="s">
        <v>635</v>
      </c>
      <c r="T59" s="99" t="s">
        <v>635</v>
      </c>
      <c r="U59" s="99" t="s">
        <v>635</v>
      </c>
      <c r="V59" s="99">
        <v>6</v>
      </c>
      <c r="W59" s="99" t="s">
        <v>635</v>
      </c>
      <c r="X59" s="99" t="s">
        <v>635</v>
      </c>
      <c r="Y59" s="99">
        <v>6</v>
      </c>
      <c r="Z59" s="99">
        <v>8</v>
      </c>
      <c r="AA59" s="99" t="s">
        <v>635</v>
      </c>
      <c r="AB59" s="99" t="s">
        <v>635</v>
      </c>
      <c r="AC59" s="99" t="s">
        <v>635</v>
      </c>
      <c r="AD59" s="98" t="s">
        <v>362</v>
      </c>
      <c r="AE59" s="100">
        <v>0.17165814463111762</v>
      </c>
      <c r="AF59" s="100">
        <v>0.17</v>
      </c>
      <c r="AG59" s="98">
        <v>657.4141709276845</v>
      </c>
      <c r="AH59" s="98" t="s">
        <v>635</v>
      </c>
      <c r="AI59" s="100">
        <v>0.023</v>
      </c>
      <c r="AJ59" s="100">
        <v>0.690476</v>
      </c>
      <c r="AK59" s="100">
        <v>0.642857</v>
      </c>
      <c r="AL59" s="100">
        <v>0.481481</v>
      </c>
      <c r="AM59" s="100">
        <v>0.391892</v>
      </c>
      <c r="AN59" s="100">
        <v>0.409091</v>
      </c>
      <c r="AO59" s="98">
        <v>657.4141709276845</v>
      </c>
      <c r="AP59" s="158">
        <v>0.3565265274</v>
      </c>
      <c r="AQ59" s="100" t="s">
        <v>635</v>
      </c>
      <c r="AR59" s="100" t="s">
        <v>635</v>
      </c>
      <c r="AS59" s="98" t="s">
        <v>635</v>
      </c>
      <c r="AT59" s="98" t="s">
        <v>635</v>
      </c>
      <c r="AU59" s="98" t="s">
        <v>635</v>
      </c>
      <c r="AV59" s="98">
        <v>438.2761139517896</v>
      </c>
      <c r="AW59" s="98" t="s">
        <v>635</v>
      </c>
      <c r="AX59" s="98" t="s">
        <v>635</v>
      </c>
      <c r="AY59" s="98">
        <v>438.2761139517896</v>
      </c>
      <c r="AZ59" s="98">
        <v>584.3681519357195</v>
      </c>
      <c r="BA59" s="100" t="s">
        <v>635</v>
      </c>
      <c r="BB59" s="100" t="s">
        <v>635</v>
      </c>
      <c r="BC59" s="100" t="s">
        <v>635</v>
      </c>
      <c r="BD59" s="158">
        <v>0.163026638</v>
      </c>
      <c r="BE59" s="158">
        <v>0.6767984009</v>
      </c>
      <c r="BF59" s="162">
        <v>126</v>
      </c>
      <c r="BG59" s="162">
        <v>126</v>
      </c>
      <c r="BH59" s="162">
        <v>351</v>
      </c>
      <c r="BI59" s="162">
        <v>148</v>
      </c>
      <c r="BJ59" s="162">
        <v>66</v>
      </c>
      <c r="BK59" s="97"/>
      <c r="BL59" s="97"/>
      <c r="BM59" s="97"/>
      <c r="BN59" s="97"/>
    </row>
    <row r="60" spans="1:66" ht="12.75">
      <c r="A60" s="79" t="s">
        <v>591</v>
      </c>
      <c r="B60" s="79" t="s">
        <v>324</v>
      </c>
      <c r="C60" s="79" t="s">
        <v>107</v>
      </c>
      <c r="D60" s="99">
        <v>4578</v>
      </c>
      <c r="E60" s="99">
        <v>456</v>
      </c>
      <c r="F60" s="99" t="s">
        <v>384</v>
      </c>
      <c r="G60" s="99">
        <v>7</v>
      </c>
      <c r="H60" s="99" t="s">
        <v>635</v>
      </c>
      <c r="I60" s="99">
        <v>55</v>
      </c>
      <c r="J60" s="99">
        <v>244</v>
      </c>
      <c r="K60" s="99">
        <v>8</v>
      </c>
      <c r="L60" s="99">
        <v>843</v>
      </c>
      <c r="M60" s="99">
        <v>192</v>
      </c>
      <c r="N60" s="99">
        <v>102</v>
      </c>
      <c r="O60" s="99">
        <v>32</v>
      </c>
      <c r="P60" s="159">
        <v>32</v>
      </c>
      <c r="Q60" s="99">
        <v>9</v>
      </c>
      <c r="R60" s="99">
        <v>20</v>
      </c>
      <c r="S60" s="99">
        <v>7</v>
      </c>
      <c r="T60" s="99">
        <v>7</v>
      </c>
      <c r="U60" s="99" t="s">
        <v>635</v>
      </c>
      <c r="V60" s="99" t="s">
        <v>635</v>
      </c>
      <c r="W60" s="99">
        <v>20</v>
      </c>
      <c r="X60" s="99">
        <v>10</v>
      </c>
      <c r="Y60" s="99">
        <v>33</v>
      </c>
      <c r="Z60" s="99">
        <v>20</v>
      </c>
      <c r="AA60" s="99" t="s">
        <v>635</v>
      </c>
      <c r="AB60" s="99" t="s">
        <v>635</v>
      </c>
      <c r="AC60" s="99" t="s">
        <v>635</v>
      </c>
      <c r="AD60" s="98" t="s">
        <v>362</v>
      </c>
      <c r="AE60" s="100">
        <v>0.09960681520314547</v>
      </c>
      <c r="AF60" s="100">
        <v>0.1</v>
      </c>
      <c r="AG60" s="98">
        <v>152.9051987767584</v>
      </c>
      <c r="AH60" s="98" t="s">
        <v>635</v>
      </c>
      <c r="AI60" s="100">
        <v>0.012</v>
      </c>
      <c r="AJ60" s="100">
        <v>0.590799</v>
      </c>
      <c r="AK60" s="100">
        <v>0.470588</v>
      </c>
      <c r="AL60" s="100">
        <v>0.565772</v>
      </c>
      <c r="AM60" s="100">
        <v>0.491049</v>
      </c>
      <c r="AN60" s="100">
        <v>0.490385</v>
      </c>
      <c r="AO60" s="98">
        <v>698.9951944080384</v>
      </c>
      <c r="AP60" s="158">
        <v>0.4381243134</v>
      </c>
      <c r="AQ60" s="100">
        <v>0.28125</v>
      </c>
      <c r="AR60" s="100">
        <v>0.45</v>
      </c>
      <c r="AS60" s="98">
        <v>152.9051987767584</v>
      </c>
      <c r="AT60" s="98">
        <v>152.9051987767584</v>
      </c>
      <c r="AU60" s="98" t="s">
        <v>635</v>
      </c>
      <c r="AV60" s="98" t="s">
        <v>635</v>
      </c>
      <c r="AW60" s="98">
        <v>436.871996505024</v>
      </c>
      <c r="AX60" s="98">
        <v>218.435998252512</v>
      </c>
      <c r="AY60" s="98">
        <v>720.8387942332896</v>
      </c>
      <c r="AZ60" s="98">
        <v>436.871996505024</v>
      </c>
      <c r="BA60" s="100" t="s">
        <v>635</v>
      </c>
      <c r="BB60" s="100" t="s">
        <v>635</v>
      </c>
      <c r="BC60" s="100" t="s">
        <v>635</v>
      </c>
      <c r="BD60" s="158">
        <v>0.2996767044</v>
      </c>
      <c r="BE60" s="158">
        <v>0.6185007858</v>
      </c>
      <c r="BF60" s="162">
        <v>413</v>
      </c>
      <c r="BG60" s="162">
        <v>17</v>
      </c>
      <c r="BH60" s="162">
        <v>1490</v>
      </c>
      <c r="BI60" s="162">
        <v>391</v>
      </c>
      <c r="BJ60" s="162">
        <v>208</v>
      </c>
      <c r="BK60" s="97"/>
      <c r="BL60" s="97"/>
      <c r="BM60" s="97"/>
      <c r="BN60" s="97"/>
    </row>
    <row r="61" spans="1:66" ht="12.75">
      <c r="A61" s="79" t="s">
        <v>608</v>
      </c>
      <c r="B61" s="79" t="s">
        <v>341</v>
      </c>
      <c r="C61" s="79" t="s">
        <v>107</v>
      </c>
      <c r="D61" s="99">
        <v>6843</v>
      </c>
      <c r="E61" s="99">
        <v>603</v>
      </c>
      <c r="F61" s="99" t="s">
        <v>382</v>
      </c>
      <c r="G61" s="99">
        <v>18</v>
      </c>
      <c r="H61" s="99">
        <v>8</v>
      </c>
      <c r="I61" s="99">
        <v>47</v>
      </c>
      <c r="J61" s="99">
        <v>278</v>
      </c>
      <c r="K61" s="99">
        <v>18</v>
      </c>
      <c r="L61" s="99">
        <v>1241</v>
      </c>
      <c r="M61" s="99">
        <v>158</v>
      </c>
      <c r="N61" s="99">
        <v>83</v>
      </c>
      <c r="O61" s="99">
        <v>69</v>
      </c>
      <c r="P61" s="159">
        <v>69</v>
      </c>
      <c r="Q61" s="99" t="s">
        <v>635</v>
      </c>
      <c r="R61" s="99">
        <v>11</v>
      </c>
      <c r="S61" s="99">
        <v>19</v>
      </c>
      <c r="T61" s="99">
        <v>8</v>
      </c>
      <c r="U61" s="99" t="s">
        <v>635</v>
      </c>
      <c r="V61" s="99" t="s">
        <v>635</v>
      </c>
      <c r="W61" s="99">
        <v>30</v>
      </c>
      <c r="X61" s="99">
        <v>21</v>
      </c>
      <c r="Y61" s="99">
        <v>47</v>
      </c>
      <c r="Z61" s="99">
        <v>28</v>
      </c>
      <c r="AA61" s="99" t="s">
        <v>635</v>
      </c>
      <c r="AB61" s="99" t="s">
        <v>635</v>
      </c>
      <c r="AC61" s="99" t="s">
        <v>635</v>
      </c>
      <c r="AD61" s="98" t="s">
        <v>362</v>
      </c>
      <c r="AE61" s="100">
        <v>0.08811924594476107</v>
      </c>
      <c r="AF61" s="100">
        <v>0.19</v>
      </c>
      <c r="AG61" s="98">
        <v>263.042525208242</v>
      </c>
      <c r="AH61" s="98">
        <v>116.90778898144089</v>
      </c>
      <c r="AI61" s="100">
        <v>0.006999999999999999</v>
      </c>
      <c r="AJ61" s="100">
        <v>0.544031</v>
      </c>
      <c r="AK61" s="100">
        <v>0.439024</v>
      </c>
      <c r="AL61" s="100">
        <v>0.576941</v>
      </c>
      <c r="AM61" s="100">
        <v>0.447592</v>
      </c>
      <c r="AN61" s="100">
        <v>0.468927</v>
      </c>
      <c r="AO61" s="98">
        <v>1008.3296799649277</v>
      </c>
      <c r="AP61" s="158">
        <v>0.7245321654999999</v>
      </c>
      <c r="AQ61" s="100" t="s">
        <v>635</v>
      </c>
      <c r="AR61" s="100" t="s">
        <v>635</v>
      </c>
      <c r="AS61" s="98">
        <v>277.6559988309221</v>
      </c>
      <c r="AT61" s="98">
        <v>116.90778898144089</v>
      </c>
      <c r="AU61" s="98" t="s">
        <v>635</v>
      </c>
      <c r="AV61" s="98" t="s">
        <v>635</v>
      </c>
      <c r="AW61" s="98">
        <v>438.4042086804033</v>
      </c>
      <c r="AX61" s="98">
        <v>306.88294607628234</v>
      </c>
      <c r="AY61" s="98">
        <v>686.8332602659652</v>
      </c>
      <c r="AZ61" s="98">
        <v>409.17726143504314</v>
      </c>
      <c r="BA61" s="100" t="s">
        <v>635</v>
      </c>
      <c r="BB61" s="100" t="s">
        <v>635</v>
      </c>
      <c r="BC61" s="100" t="s">
        <v>635</v>
      </c>
      <c r="BD61" s="158">
        <v>0.5637292862000001</v>
      </c>
      <c r="BE61" s="158">
        <v>0.9169418335</v>
      </c>
      <c r="BF61" s="162">
        <v>511</v>
      </c>
      <c r="BG61" s="162">
        <v>41</v>
      </c>
      <c r="BH61" s="162">
        <v>2151</v>
      </c>
      <c r="BI61" s="162">
        <v>353</v>
      </c>
      <c r="BJ61" s="162">
        <v>177</v>
      </c>
      <c r="BK61" s="97"/>
      <c r="BL61" s="97"/>
      <c r="BM61" s="97"/>
      <c r="BN61" s="97"/>
    </row>
    <row r="62" spans="1:66" ht="12.75">
      <c r="A62" s="79" t="s">
        <v>622</v>
      </c>
      <c r="B62" s="79" t="s">
        <v>355</v>
      </c>
      <c r="C62" s="79" t="s">
        <v>107</v>
      </c>
      <c r="D62" s="99">
        <v>3070</v>
      </c>
      <c r="E62" s="99">
        <v>289</v>
      </c>
      <c r="F62" s="99" t="s">
        <v>382</v>
      </c>
      <c r="G62" s="99">
        <v>9</v>
      </c>
      <c r="H62" s="99" t="s">
        <v>635</v>
      </c>
      <c r="I62" s="99">
        <v>35</v>
      </c>
      <c r="J62" s="99">
        <v>171</v>
      </c>
      <c r="K62" s="99" t="s">
        <v>635</v>
      </c>
      <c r="L62" s="99">
        <v>552</v>
      </c>
      <c r="M62" s="99">
        <v>78</v>
      </c>
      <c r="N62" s="99">
        <v>35</v>
      </c>
      <c r="O62" s="99">
        <v>24</v>
      </c>
      <c r="P62" s="159">
        <v>24</v>
      </c>
      <c r="Q62" s="99" t="s">
        <v>635</v>
      </c>
      <c r="R62" s="99">
        <v>6</v>
      </c>
      <c r="S62" s="99">
        <v>11</v>
      </c>
      <c r="T62" s="99" t="s">
        <v>635</v>
      </c>
      <c r="U62" s="99" t="s">
        <v>635</v>
      </c>
      <c r="V62" s="99" t="s">
        <v>635</v>
      </c>
      <c r="W62" s="99">
        <v>24</v>
      </c>
      <c r="X62" s="99">
        <v>11</v>
      </c>
      <c r="Y62" s="99">
        <v>29</v>
      </c>
      <c r="Z62" s="99">
        <v>17</v>
      </c>
      <c r="AA62" s="99" t="s">
        <v>635</v>
      </c>
      <c r="AB62" s="99" t="s">
        <v>635</v>
      </c>
      <c r="AC62" s="99" t="s">
        <v>635</v>
      </c>
      <c r="AD62" s="98" t="s">
        <v>362</v>
      </c>
      <c r="AE62" s="100">
        <v>0.09413680781758958</v>
      </c>
      <c r="AF62" s="100">
        <v>0.18</v>
      </c>
      <c r="AG62" s="98">
        <v>293.15960912052117</v>
      </c>
      <c r="AH62" s="98" t="s">
        <v>635</v>
      </c>
      <c r="AI62" s="100">
        <v>0.011000000000000001</v>
      </c>
      <c r="AJ62" s="100">
        <v>0.5625</v>
      </c>
      <c r="AK62" s="100" t="s">
        <v>635</v>
      </c>
      <c r="AL62" s="100">
        <v>0.61745</v>
      </c>
      <c r="AM62" s="100">
        <v>0.38806</v>
      </c>
      <c r="AN62" s="100">
        <v>0.380435</v>
      </c>
      <c r="AO62" s="98">
        <v>781.7589576547231</v>
      </c>
      <c r="AP62" s="158">
        <v>0.5230381775</v>
      </c>
      <c r="AQ62" s="100" t="s">
        <v>635</v>
      </c>
      <c r="AR62" s="100" t="s">
        <v>635</v>
      </c>
      <c r="AS62" s="98">
        <v>358.3061889250814</v>
      </c>
      <c r="AT62" s="98" t="s">
        <v>635</v>
      </c>
      <c r="AU62" s="98" t="s">
        <v>635</v>
      </c>
      <c r="AV62" s="98" t="s">
        <v>635</v>
      </c>
      <c r="AW62" s="98">
        <v>781.7589576547231</v>
      </c>
      <c r="AX62" s="98">
        <v>358.3061889250814</v>
      </c>
      <c r="AY62" s="98">
        <v>944.6254071661238</v>
      </c>
      <c r="AZ62" s="98">
        <v>553.7459283387623</v>
      </c>
      <c r="BA62" s="100" t="s">
        <v>635</v>
      </c>
      <c r="BB62" s="100" t="s">
        <v>635</v>
      </c>
      <c r="BC62" s="100" t="s">
        <v>635</v>
      </c>
      <c r="BD62" s="158">
        <v>0.33512042999999997</v>
      </c>
      <c r="BE62" s="158">
        <v>0.7782393646</v>
      </c>
      <c r="BF62" s="162">
        <v>304</v>
      </c>
      <c r="BG62" s="162" t="s">
        <v>635</v>
      </c>
      <c r="BH62" s="162">
        <v>894</v>
      </c>
      <c r="BI62" s="162">
        <v>201</v>
      </c>
      <c r="BJ62" s="162">
        <v>92</v>
      </c>
      <c r="BK62" s="97"/>
      <c r="BL62" s="97"/>
      <c r="BM62" s="97"/>
      <c r="BN62" s="97"/>
    </row>
    <row r="63" spans="1:66" ht="12.75">
      <c r="A63" s="79" t="s">
        <v>590</v>
      </c>
      <c r="B63" s="79" t="s">
        <v>323</v>
      </c>
      <c r="C63" s="79" t="s">
        <v>107</v>
      </c>
      <c r="D63" s="99">
        <v>12150</v>
      </c>
      <c r="E63" s="99">
        <v>874</v>
      </c>
      <c r="F63" s="99" t="s">
        <v>384</v>
      </c>
      <c r="G63" s="99">
        <v>23</v>
      </c>
      <c r="H63" s="99">
        <v>25</v>
      </c>
      <c r="I63" s="99">
        <v>208</v>
      </c>
      <c r="J63" s="99">
        <v>496</v>
      </c>
      <c r="K63" s="99">
        <v>9</v>
      </c>
      <c r="L63" s="99">
        <v>2637</v>
      </c>
      <c r="M63" s="99">
        <v>292</v>
      </c>
      <c r="N63" s="99">
        <v>145</v>
      </c>
      <c r="O63" s="99">
        <v>90</v>
      </c>
      <c r="P63" s="159">
        <v>90</v>
      </c>
      <c r="Q63" s="99">
        <v>7</v>
      </c>
      <c r="R63" s="99">
        <v>23</v>
      </c>
      <c r="S63" s="99">
        <v>32</v>
      </c>
      <c r="T63" s="99">
        <v>24</v>
      </c>
      <c r="U63" s="99" t="s">
        <v>635</v>
      </c>
      <c r="V63" s="99" t="s">
        <v>635</v>
      </c>
      <c r="W63" s="99">
        <v>58</v>
      </c>
      <c r="X63" s="99">
        <v>41</v>
      </c>
      <c r="Y63" s="99">
        <v>84</v>
      </c>
      <c r="Z63" s="99">
        <v>43</v>
      </c>
      <c r="AA63" s="99" t="s">
        <v>635</v>
      </c>
      <c r="AB63" s="99" t="s">
        <v>635</v>
      </c>
      <c r="AC63" s="99" t="s">
        <v>635</v>
      </c>
      <c r="AD63" s="98" t="s">
        <v>362</v>
      </c>
      <c r="AE63" s="100">
        <v>0.07193415637860082</v>
      </c>
      <c r="AF63" s="100">
        <v>0.11</v>
      </c>
      <c r="AG63" s="98">
        <v>189.30041152263374</v>
      </c>
      <c r="AH63" s="98">
        <v>205.76131687242798</v>
      </c>
      <c r="AI63" s="100">
        <v>0.017</v>
      </c>
      <c r="AJ63" s="100">
        <v>0.563636</v>
      </c>
      <c r="AK63" s="100">
        <v>0.310345</v>
      </c>
      <c r="AL63" s="100">
        <v>0.601094</v>
      </c>
      <c r="AM63" s="100">
        <v>0.437126</v>
      </c>
      <c r="AN63" s="100">
        <v>0.409605</v>
      </c>
      <c r="AO63" s="98">
        <v>740.7407407407408</v>
      </c>
      <c r="AP63" s="158">
        <v>0.5219800949</v>
      </c>
      <c r="AQ63" s="100">
        <v>0.07777777777777778</v>
      </c>
      <c r="AR63" s="100">
        <v>0.30434782608695654</v>
      </c>
      <c r="AS63" s="98">
        <v>263.3744855967078</v>
      </c>
      <c r="AT63" s="98">
        <v>197.53086419753086</v>
      </c>
      <c r="AU63" s="98" t="s">
        <v>635</v>
      </c>
      <c r="AV63" s="98" t="s">
        <v>635</v>
      </c>
      <c r="AW63" s="98">
        <v>477.36625514403295</v>
      </c>
      <c r="AX63" s="98">
        <v>337.4485596707819</v>
      </c>
      <c r="AY63" s="98">
        <v>691.358024691358</v>
      </c>
      <c r="AZ63" s="98">
        <v>353.90946502057614</v>
      </c>
      <c r="BA63" s="100" t="s">
        <v>635</v>
      </c>
      <c r="BB63" s="100" t="s">
        <v>635</v>
      </c>
      <c r="BC63" s="100" t="s">
        <v>635</v>
      </c>
      <c r="BD63" s="158">
        <v>0.4197336578</v>
      </c>
      <c r="BE63" s="158">
        <v>0.6416021729000001</v>
      </c>
      <c r="BF63" s="162">
        <v>880</v>
      </c>
      <c r="BG63" s="162">
        <v>29</v>
      </c>
      <c r="BH63" s="162">
        <v>4387</v>
      </c>
      <c r="BI63" s="162">
        <v>668</v>
      </c>
      <c r="BJ63" s="162">
        <v>354</v>
      </c>
      <c r="BK63" s="97"/>
      <c r="BL63" s="97"/>
      <c r="BM63" s="97"/>
      <c r="BN63" s="97"/>
    </row>
    <row r="64" spans="1:66" ht="12.75">
      <c r="A64" s="79" t="s">
        <v>619</v>
      </c>
      <c r="B64" s="79" t="s">
        <v>352</v>
      </c>
      <c r="C64" s="79" t="s">
        <v>107</v>
      </c>
      <c r="D64" s="99">
        <v>5500</v>
      </c>
      <c r="E64" s="99">
        <v>500</v>
      </c>
      <c r="F64" s="99" t="s">
        <v>382</v>
      </c>
      <c r="G64" s="99">
        <v>18</v>
      </c>
      <c r="H64" s="99" t="s">
        <v>635</v>
      </c>
      <c r="I64" s="99">
        <v>67</v>
      </c>
      <c r="J64" s="99">
        <v>330</v>
      </c>
      <c r="K64" s="99">
        <v>220</v>
      </c>
      <c r="L64" s="99">
        <v>1045</v>
      </c>
      <c r="M64" s="99">
        <v>170</v>
      </c>
      <c r="N64" s="99">
        <v>95</v>
      </c>
      <c r="O64" s="99">
        <v>71</v>
      </c>
      <c r="P64" s="159">
        <v>71</v>
      </c>
      <c r="Q64" s="99">
        <v>6</v>
      </c>
      <c r="R64" s="99">
        <v>12</v>
      </c>
      <c r="S64" s="99">
        <v>25</v>
      </c>
      <c r="T64" s="99">
        <v>8</v>
      </c>
      <c r="U64" s="99" t="s">
        <v>635</v>
      </c>
      <c r="V64" s="99">
        <v>12</v>
      </c>
      <c r="W64" s="99">
        <v>24</v>
      </c>
      <c r="X64" s="99">
        <v>12</v>
      </c>
      <c r="Y64" s="99">
        <v>41</v>
      </c>
      <c r="Z64" s="99">
        <v>12</v>
      </c>
      <c r="AA64" s="99" t="s">
        <v>635</v>
      </c>
      <c r="AB64" s="99" t="s">
        <v>635</v>
      </c>
      <c r="AC64" s="99" t="s">
        <v>635</v>
      </c>
      <c r="AD64" s="98" t="s">
        <v>362</v>
      </c>
      <c r="AE64" s="100">
        <v>0.09090909090909091</v>
      </c>
      <c r="AF64" s="100">
        <v>0.2</v>
      </c>
      <c r="AG64" s="98">
        <v>327.27272727272725</v>
      </c>
      <c r="AH64" s="98" t="s">
        <v>635</v>
      </c>
      <c r="AI64" s="100">
        <v>0.012</v>
      </c>
      <c r="AJ64" s="100">
        <v>0.673469</v>
      </c>
      <c r="AK64" s="100">
        <v>0.623229</v>
      </c>
      <c r="AL64" s="100">
        <v>0.712824</v>
      </c>
      <c r="AM64" s="100">
        <v>0.440415</v>
      </c>
      <c r="AN64" s="100">
        <v>0.437788</v>
      </c>
      <c r="AO64" s="98">
        <v>1290.909090909091</v>
      </c>
      <c r="AP64" s="158">
        <v>0.8694396973</v>
      </c>
      <c r="AQ64" s="100">
        <v>0.08450704225352113</v>
      </c>
      <c r="AR64" s="100">
        <v>0.5</v>
      </c>
      <c r="AS64" s="98">
        <v>454.54545454545456</v>
      </c>
      <c r="AT64" s="98">
        <v>145.45454545454547</v>
      </c>
      <c r="AU64" s="98" t="s">
        <v>635</v>
      </c>
      <c r="AV64" s="98">
        <v>218.1818181818182</v>
      </c>
      <c r="AW64" s="98">
        <v>436.3636363636364</v>
      </c>
      <c r="AX64" s="98">
        <v>218.1818181818182</v>
      </c>
      <c r="AY64" s="98">
        <v>745.4545454545455</v>
      </c>
      <c r="AZ64" s="98">
        <v>218.1818181818182</v>
      </c>
      <c r="BA64" s="100" t="s">
        <v>635</v>
      </c>
      <c r="BB64" s="100" t="s">
        <v>635</v>
      </c>
      <c r="BC64" s="100" t="s">
        <v>635</v>
      </c>
      <c r="BD64" s="158">
        <v>0.6790396117999999</v>
      </c>
      <c r="BE64" s="158">
        <v>1.09667984</v>
      </c>
      <c r="BF64" s="162">
        <v>490</v>
      </c>
      <c r="BG64" s="162">
        <v>353</v>
      </c>
      <c r="BH64" s="162">
        <v>1466</v>
      </c>
      <c r="BI64" s="162">
        <v>386</v>
      </c>
      <c r="BJ64" s="162">
        <v>217</v>
      </c>
      <c r="BK64" s="97"/>
      <c r="BL64" s="97"/>
      <c r="BM64" s="97"/>
      <c r="BN64" s="97"/>
    </row>
    <row r="65" spans="1:66" ht="12.75">
      <c r="A65" s="79" t="s">
        <v>607</v>
      </c>
      <c r="B65" s="79" t="s">
        <v>340</v>
      </c>
      <c r="C65" s="79" t="s">
        <v>107</v>
      </c>
      <c r="D65" s="99">
        <v>2572</v>
      </c>
      <c r="E65" s="99">
        <v>202</v>
      </c>
      <c r="F65" s="99" t="s">
        <v>382</v>
      </c>
      <c r="G65" s="99">
        <v>8</v>
      </c>
      <c r="H65" s="99" t="s">
        <v>635</v>
      </c>
      <c r="I65" s="99">
        <v>30</v>
      </c>
      <c r="J65" s="99">
        <v>124</v>
      </c>
      <c r="K65" s="99">
        <v>116</v>
      </c>
      <c r="L65" s="99">
        <v>460</v>
      </c>
      <c r="M65" s="99">
        <v>62</v>
      </c>
      <c r="N65" s="99">
        <v>34</v>
      </c>
      <c r="O65" s="99">
        <v>6</v>
      </c>
      <c r="P65" s="159">
        <v>6</v>
      </c>
      <c r="Q65" s="99" t="s">
        <v>635</v>
      </c>
      <c r="R65" s="99">
        <v>7</v>
      </c>
      <c r="S65" s="99" t="s">
        <v>635</v>
      </c>
      <c r="T65" s="99" t="s">
        <v>635</v>
      </c>
      <c r="U65" s="99" t="s">
        <v>635</v>
      </c>
      <c r="V65" s="99" t="s">
        <v>635</v>
      </c>
      <c r="W65" s="99">
        <v>17</v>
      </c>
      <c r="X65" s="99">
        <v>7</v>
      </c>
      <c r="Y65" s="99">
        <v>20</v>
      </c>
      <c r="Z65" s="99" t="s">
        <v>635</v>
      </c>
      <c r="AA65" s="99" t="s">
        <v>635</v>
      </c>
      <c r="AB65" s="99" t="s">
        <v>635</v>
      </c>
      <c r="AC65" s="99" t="s">
        <v>635</v>
      </c>
      <c r="AD65" s="98" t="s">
        <v>362</v>
      </c>
      <c r="AE65" s="100">
        <v>0.07853810264385692</v>
      </c>
      <c r="AF65" s="100">
        <v>0.22</v>
      </c>
      <c r="AG65" s="98">
        <v>311.04199066874025</v>
      </c>
      <c r="AH65" s="98" t="s">
        <v>635</v>
      </c>
      <c r="AI65" s="100">
        <v>0.012</v>
      </c>
      <c r="AJ65" s="100">
        <v>0.712644</v>
      </c>
      <c r="AK65" s="100">
        <v>0.694611</v>
      </c>
      <c r="AL65" s="100">
        <v>0.60686</v>
      </c>
      <c r="AM65" s="100">
        <v>0.430556</v>
      </c>
      <c r="AN65" s="100">
        <v>0.5</v>
      </c>
      <c r="AO65" s="98">
        <v>233.28149300155522</v>
      </c>
      <c r="AP65" s="158">
        <v>0.1723820877</v>
      </c>
      <c r="AQ65" s="100" t="s">
        <v>635</v>
      </c>
      <c r="AR65" s="100" t="s">
        <v>635</v>
      </c>
      <c r="AS65" s="98" t="s">
        <v>635</v>
      </c>
      <c r="AT65" s="98" t="s">
        <v>635</v>
      </c>
      <c r="AU65" s="98" t="s">
        <v>635</v>
      </c>
      <c r="AV65" s="98" t="s">
        <v>635</v>
      </c>
      <c r="AW65" s="98">
        <v>660.964230171073</v>
      </c>
      <c r="AX65" s="98">
        <v>272.1617418351477</v>
      </c>
      <c r="AY65" s="98">
        <v>777.6049766718507</v>
      </c>
      <c r="AZ65" s="98" t="s">
        <v>635</v>
      </c>
      <c r="BA65" s="100" t="s">
        <v>635</v>
      </c>
      <c r="BB65" s="100" t="s">
        <v>635</v>
      </c>
      <c r="BC65" s="100" t="s">
        <v>635</v>
      </c>
      <c r="BD65" s="158">
        <v>0.06326118946</v>
      </c>
      <c r="BE65" s="158">
        <v>0.37520324709999997</v>
      </c>
      <c r="BF65" s="162">
        <v>174</v>
      </c>
      <c r="BG65" s="162">
        <v>167</v>
      </c>
      <c r="BH65" s="162">
        <v>758</v>
      </c>
      <c r="BI65" s="162">
        <v>144</v>
      </c>
      <c r="BJ65" s="162">
        <v>68</v>
      </c>
      <c r="BK65" s="97"/>
      <c r="BL65" s="97"/>
      <c r="BM65" s="97"/>
      <c r="BN65" s="97"/>
    </row>
    <row r="66" spans="1:66" ht="12.75">
      <c r="A66" s="79" t="s">
        <v>624</v>
      </c>
      <c r="B66" s="79" t="s">
        <v>357</v>
      </c>
      <c r="C66" s="79" t="s">
        <v>107</v>
      </c>
      <c r="D66" s="99">
        <v>2258</v>
      </c>
      <c r="E66" s="99">
        <v>183</v>
      </c>
      <c r="F66" s="99" t="s">
        <v>385</v>
      </c>
      <c r="G66" s="99" t="s">
        <v>635</v>
      </c>
      <c r="H66" s="99" t="s">
        <v>635</v>
      </c>
      <c r="I66" s="99">
        <v>13</v>
      </c>
      <c r="J66" s="99">
        <v>75</v>
      </c>
      <c r="K66" s="99">
        <v>6</v>
      </c>
      <c r="L66" s="99">
        <v>343</v>
      </c>
      <c r="M66" s="99">
        <v>46</v>
      </c>
      <c r="N66" s="99">
        <v>22</v>
      </c>
      <c r="O66" s="99">
        <v>8</v>
      </c>
      <c r="P66" s="159">
        <v>8</v>
      </c>
      <c r="Q66" s="99" t="s">
        <v>635</v>
      </c>
      <c r="R66" s="99" t="s">
        <v>635</v>
      </c>
      <c r="S66" s="99" t="s">
        <v>635</v>
      </c>
      <c r="T66" s="99" t="s">
        <v>635</v>
      </c>
      <c r="U66" s="99" t="s">
        <v>635</v>
      </c>
      <c r="V66" s="99" t="s">
        <v>635</v>
      </c>
      <c r="W66" s="99" t="s">
        <v>635</v>
      </c>
      <c r="X66" s="99">
        <v>8</v>
      </c>
      <c r="Y66" s="99">
        <v>16</v>
      </c>
      <c r="Z66" s="99">
        <v>6</v>
      </c>
      <c r="AA66" s="99" t="s">
        <v>635</v>
      </c>
      <c r="AB66" s="99" t="s">
        <v>635</v>
      </c>
      <c r="AC66" s="99" t="s">
        <v>635</v>
      </c>
      <c r="AD66" s="98" t="s">
        <v>362</v>
      </c>
      <c r="AE66" s="100">
        <v>0.08104517271922054</v>
      </c>
      <c r="AF66" s="100">
        <v>0.17</v>
      </c>
      <c r="AG66" s="98" t="s">
        <v>635</v>
      </c>
      <c r="AH66" s="98" t="s">
        <v>635</v>
      </c>
      <c r="AI66" s="100">
        <v>0.006</v>
      </c>
      <c r="AJ66" s="100">
        <v>0.493421</v>
      </c>
      <c r="AK66" s="100">
        <v>0.461538</v>
      </c>
      <c r="AL66" s="100">
        <v>0.551447</v>
      </c>
      <c r="AM66" s="100">
        <v>0.343284</v>
      </c>
      <c r="AN66" s="100">
        <v>0.318841</v>
      </c>
      <c r="AO66" s="98">
        <v>354.29583702391494</v>
      </c>
      <c r="AP66" s="158">
        <v>0.26977354049999996</v>
      </c>
      <c r="AQ66" s="100" t="s">
        <v>635</v>
      </c>
      <c r="AR66" s="100" t="s">
        <v>635</v>
      </c>
      <c r="AS66" s="98" t="s">
        <v>635</v>
      </c>
      <c r="AT66" s="98" t="s">
        <v>635</v>
      </c>
      <c r="AU66" s="98" t="s">
        <v>635</v>
      </c>
      <c r="AV66" s="98" t="s">
        <v>635</v>
      </c>
      <c r="AW66" s="98" t="s">
        <v>635</v>
      </c>
      <c r="AX66" s="98">
        <v>354.29583702391494</v>
      </c>
      <c r="AY66" s="98">
        <v>708.5916740478299</v>
      </c>
      <c r="AZ66" s="98">
        <v>265.72187776793623</v>
      </c>
      <c r="BA66" s="100" t="s">
        <v>635</v>
      </c>
      <c r="BB66" s="100" t="s">
        <v>635</v>
      </c>
      <c r="BC66" s="100" t="s">
        <v>635</v>
      </c>
      <c r="BD66" s="158">
        <v>0.11646906850000001</v>
      </c>
      <c r="BE66" s="158">
        <v>0.5315614319</v>
      </c>
      <c r="BF66" s="162">
        <v>152</v>
      </c>
      <c r="BG66" s="162">
        <v>13</v>
      </c>
      <c r="BH66" s="162">
        <v>622</v>
      </c>
      <c r="BI66" s="162">
        <v>134</v>
      </c>
      <c r="BJ66" s="162">
        <v>69</v>
      </c>
      <c r="BK66" s="97"/>
      <c r="BL66" s="97"/>
      <c r="BM66" s="97"/>
      <c r="BN66" s="97"/>
    </row>
    <row r="67" spans="1:66" ht="12.75">
      <c r="A67" s="79" t="s">
        <v>593</v>
      </c>
      <c r="B67" s="79" t="s">
        <v>326</v>
      </c>
      <c r="C67" s="79" t="s">
        <v>107</v>
      </c>
      <c r="D67" s="99">
        <v>5620</v>
      </c>
      <c r="E67" s="99">
        <v>714</v>
      </c>
      <c r="F67" s="99" t="s">
        <v>382</v>
      </c>
      <c r="G67" s="99">
        <v>16</v>
      </c>
      <c r="H67" s="99">
        <v>12</v>
      </c>
      <c r="I67" s="99">
        <v>96</v>
      </c>
      <c r="J67" s="99">
        <v>421</v>
      </c>
      <c r="K67" s="99">
        <v>15</v>
      </c>
      <c r="L67" s="99">
        <v>978</v>
      </c>
      <c r="M67" s="99">
        <v>226</v>
      </c>
      <c r="N67" s="99">
        <v>149</v>
      </c>
      <c r="O67" s="99">
        <v>100</v>
      </c>
      <c r="P67" s="159">
        <v>100</v>
      </c>
      <c r="Q67" s="99">
        <v>7</v>
      </c>
      <c r="R67" s="99">
        <v>25</v>
      </c>
      <c r="S67" s="99">
        <v>32</v>
      </c>
      <c r="T67" s="99">
        <v>19</v>
      </c>
      <c r="U67" s="99" t="s">
        <v>635</v>
      </c>
      <c r="V67" s="99" t="s">
        <v>635</v>
      </c>
      <c r="W67" s="99">
        <v>40</v>
      </c>
      <c r="X67" s="99">
        <v>23</v>
      </c>
      <c r="Y67" s="99">
        <v>70</v>
      </c>
      <c r="Z67" s="99">
        <v>29</v>
      </c>
      <c r="AA67" s="99" t="s">
        <v>635</v>
      </c>
      <c r="AB67" s="99" t="s">
        <v>635</v>
      </c>
      <c r="AC67" s="99" t="s">
        <v>635</v>
      </c>
      <c r="AD67" s="98" t="s">
        <v>362</v>
      </c>
      <c r="AE67" s="100">
        <v>0.12704626334519573</v>
      </c>
      <c r="AF67" s="100">
        <v>0.18</v>
      </c>
      <c r="AG67" s="98">
        <v>284.69750889679716</v>
      </c>
      <c r="AH67" s="98">
        <v>213.52313167259786</v>
      </c>
      <c r="AI67" s="100">
        <v>0.017</v>
      </c>
      <c r="AJ67" s="100">
        <v>0.672524</v>
      </c>
      <c r="AK67" s="100">
        <v>0.625</v>
      </c>
      <c r="AL67" s="100">
        <v>0.668489</v>
      </c>
      <c r="AM67" s="100">
        <v>0.463115</v>
      </c>
      <c r="AN67" s="100">
        <v>0.520979</v>
      </c>
      <c r="AO67" s="98">
        <v>1779.3594306049822</v>
      </c>
      <c r="AP67" s="158">
        <v>1.051575699</v>
      </c>
      <c r="AQ67" s="100">
        <v>0.07</v>
      </c>
      <c r="AR67" s="100">
        <v>0.28</v>
      </c>
      <c r="AS67" s="98">
        <v>569.3950177935943</v>
      </c>
      <c r="AT67" s="98">
        <v>338.0782918149466</v>
      </c>
      <c r="AU67" s="98" t="s">
        <v>635</v>
      </c>
      <c r="AV67" s="98" t="s">
        <v>635</v>
      </c>
      <c r="AW67" s="98">
        <v>711.7437722419929</v>
      </c>
      <c r="AX67" s="98">
        <v>409.2526690391459</v>
      </c>
      <c r="AY67" s="98">
        <v>1245.5516014234875</v>
      </c>
      <c r="AZ67" s="98">
        <v>516.0142348754448</v>
      </c>
      <c r="BA67" s="100" t="s">
        <v>635</v>
      </c>
      <c r="BB67" s="100" t="s">
        <v>635</v>
      </c>
      <c r="BC67" s="100" t="s">
        <v>635</v>
      </c>
      <c r="BD67" s="158">
        <v>0.8556039429000001</v>
      </c>
      <c r="BE67" s="158">
        <v>1.278997803</v>
      </c>
      <c r="BF67" s="162">
        <v>626</v>
      </c>
      <c r="BG67" s="162">
        <v>24</v>
      </c>
      <c r="BH67" s="162">
        <v>1463</v>
      </c>
      <c r="BI67" s="162">
        <v>488</v>
      </c>
      <c r="BJ67" s="162">
        <v>286</v>
      </c>
      <c r="BK67" s="97"/>
      <c r="BL67" s="97"/>
      <c r="BM67" s="97"/>
      <c r="BN67" s="97"/>
    </row>
    <row r="68" spans="1:66" ht="12.75">
      <c r="A68" s="79" t="s">
        <v>564</v>
      </c>
      <c r="B68" s="79" t="s">
        <v>297</v>
      </c>
      <c r="C68" s="79" t="s">
        <v>107</v>
      </c>
      <c r="D68" s="99">
        <v>3954</v>
      </c>
      <c r="E68" s="99">
        <v>460</v>
      </c>
      <c r="F68" s="99" t="s">
        <v>382</v>
      </c>
      <c r="G68" s="99">
        <v>18</v>
      </c>
      <c r="H68" s="99">
        <v>8</v>
      </c>
      <c r="I68" s="99">
        <v>42</v>
      </c>
      <c r="J68" s="99">
        <v>296</v>
      </c>
      <c r="K68" s="99">
        <v>193</v>
      </c>
      <c r="L68" s="99">
        <v>693</v>
      </c>
      <c r="M68" s="99">
        <v>141</v>
      </c>
      <c r="N68" s="99">
        <v>70</v>
      </c>
      <c r="O68" s="99">
        <v>74</v>
      </c>
      <c r="P68" s="159">
        <v>74</v>
      </c>
      <c r="Q68" s="99" t="s">
        <v>635</v>
      </c>
      <c r="R68" s="99">
        <v>16</v>
      </c>
      <c r="S68" s="99">
        <v>22</v>
      </c>
      <c r="T68" s="99">
        <v>12</v>
      </c>
      <c r="U68" s="99" t="s">
        <v>635</v>
      </c>
      <c r="V68" s="99">
        <v>7</v>
      </c>
      <c r="W68" s="99">
        <v>31</v>
      </c>
      <c r="X68" s="99">
        <v>16</v>
      </c>
      <c r="Y68" s="99">
        <v>44</v>
      </c>
      <c r="Z68" s="99">
        <v>32</v>
      </c>
      <c r="AA68" s="99" t="s">
        <v>635</v>
      </c>
      <c r="AB68" s="99" t="s">
        <v>635</v>
      </c>
      <c r="AC68" s="99" t="s">
        <v>635</v>
      </c>
      <c r="AD68" s="98" t="s">
        <v>362</v>
      </c>
      <c r="AE68" s="100">
        <v>0.11633788568538189</v>
      </c>
      <c r="AF68" s="100">
        <v>0.22</v>
      </c>
      <c r="AG68" s="98">
        <v>455.2352048558422</v>
      </c>
      <c r="AH68" s="98">
        <v>202.32675771370765</v>
      </c>
      <c r="AI68" s="100">
        <v>0.011000000000000001</v>
      </c>
      <c r="AJ68" s="100">
        <v>0.699764</v>
      </c>
      <c r="AK68" s="100">
        <v>0.645485</v>
      </c>
      <c r="AL68" s="100">
        <v>0.725654</v>
      </c>
      <c r="AM68" s="100">
        <v>0.459283</v>
      </c>
      <c r="AN68" s="100">
        <v>0.451613</v>
      </c>
      <c r="AO68" s="98">
        <v>1871.5225088517957</v>
      </c>
      <c r="AP68" s="158">
        <v>1.168516998</v>
      </c>
      <c r="AQ68" s="100" t="s">
        <v>635</v>
      </c>
      <c r="AR68" s="100" t="s">
        <v>635</v>
      </c>
      <c r="AS68" s="98">
        <v>556.398583712696</v>
      </c>
      <c r="AT68" s="98">
        <v>303.49013657056145</v>
      </c>
      <c r="AU68" s="98" t="s">
        <v>635</v>
      </c>
      <c r="AV68" s="98">
        <v>177.03591299949417</v>
      </c>
      <c r="AW68" s="98">
        <v>784.0161861406172</v>
      </c>
      <c r="AX68" s="98">
        <v>404.6535154274153</v>
      </c>
      <c r="AY68" s="98">
        <v>1112.797167425392</v>
      </c>
      <c r="AZ68" s="98">
        <v>809.3070308548306</v>
      </c>
      <c r="BA68" s="100" t="s">
        <v>635</v>
      </c>
      <c r="BB68" s="100" t="s">
        <v>635</v>
      </c>
      <c r="BC68" s="100" t="s">
        <v>635</v>
      </c>
      <c r="BD68" s="158">
        <v>0.9175372314000001</v>
      </c>
      <c r="BE68" s="158">
        <v>1.4669660949999999</v>
      </c>
      <c r="BF68" s="162">
        <v>423</v>
      </c>
      <c r="BG68" s="162">
        <v>299</v>
      </c>
      <c r="BH68" s="162">
        <v>955</v>
      </c>
      <c r="BI68" s="162">
        <v>307</v>
      </c>
      <c r="BJ68" s="162">
        <v>155</v>
      </c>
      <c r="BK68" s="97"/>
      <c r="BL68" s="97"/>
      <c r="BM68" s="97"/>
      <c r="BN68" s="97"/>
    </row>
    <row r="69" spans="1:66" ht="12.75">
      <c r="A69" s="79" t="s">
        <v>581</v>
      </c>
      <c r="B69" s="79" t="s">
        <v>314</v>
      </c>
      <c r="C69" s="79" t="s">
        <v>107</v>
      </c>
      <c r="D69" s="99">
        <v>6222</v>
      </c>
      <c r="E69" s="99">
        <v>541</v>
      </c>
      <c r="F69" s="99" t="s">
        <v>382</v>
      </c>
      <c r="G69" s="99">
        <v>20</v>
      </c>
      <c r="H69" s="99">
        <v>6</v>
      </c>
      <c r="I69" s="99">
        <v>77</v>
      </c>
      <c r="J69" s="99">
        <v>373</v>
      </c>
      <c r="K69" s="99">
        <v>12</v>
      </c>
      <c r="L69" s="99">
        <v>1470</v>
      </c>
      <c r="M69" s="99">
        <v>192</v>
      </c>
      <c r="N69" s="99">
        <v>103</v>
      </c>
      <c r="O69" s="99">
        <v>59</v>
      </c>
      <c r="P69" s="159">
        <v>59</v>
      </c>
      <c r="Q69" s="99">
        <v>8</v>
      </c>
      <c r="R69" s="99">
        <v>19</v>
      </c>
      <c r="S69" s="99">
        <v>20</v>
      </c>
      <c r="T69" s="99">
        <v>8</v>
      </c>
      <c r="U69" s="99" t="s">
        <v>635</v>
      </c>
      <c r="V69" s="99" t="s">
        <v>635</v>
      </c>
      <c r="W69" s="99">
        <v>30</v>
      </c>
      <c r="X69" s="99">
        <v>25</v>
      </c>
      <c r="Y69" s="99">
        <v>58</v>
      </c>
      <c r="Z69" s="99">
        <v>23</v>
      </c>
      <c r="AA69" s="99" t="s">
        <v>635</v>
      </c>
      <c r="AB69" s="99" t="s">
        <v>635</v>
      </c>
      <c r="AC69" s="99" t="s">
        <v>635</v>
      </c>
      <c r="AD69" s="98" t="s">
        <v>362</v>
      </c>
      <c r="AE69" s="100">
        <v>0.08694953391192542</v>
      </c>
      <c r="AF69" s="100">
        <v>0.23</v>
      </c>
      <c r="AG69" s="98">
        <v>321.44005143040823</v>
      </c>
      <c r="AH69" s="98">
        <v>96.43201542912247</v>
      </c>
      <c r="AI69" s="100">
        <v>0.012</v>
      </c>
      <c r="AJ69" s="100">
        <v>0.611475</v>
      </c>
      <c r="AK69" s="100">
        <v>0.48</v>
      </c>
      <c r="AL69" s="100">
        <v>0.748092</v>
      </c>
      <c r="AM69" s="100">
        <v>0.472906</v>
      </c>
      <c r="AN69" s="100">
        <v>0.52551</v>
      </c>
      <c r="AO69" s="98">
        <v>948.2481517197043</v>
      </c>
      <c r="AP69" s="158">
        <v>0.6412451935</v>
      </c>
      <c r="AQ69" s="100">
        <v>0.13559322033898305</v>
      </c>
      <c r="AR69" s="100">
        <v>0.42105263157894735</v>
      </c>
      <c r="AS69" s="98">
        <v>321.44005143040823</v>
      </c>
      <c r="AT69" s="98">
        <v>128.5760205721633</v>
      </c>
      <c r="AU69" s="98" t="s">
        <v>635</v>
      </c>
      <c r="AV69" s="98" t="s">
        <v>635</v>
      </c>
      <c r="AW69" s="98">
        <v>482.1600771456123</v>
      </c>
      <c r="AX69" s="98">
        <v>401.8000642880103</v>
      </c>
      <c r="AY69" s="98">
        <v>932.1761491481839</v>
      </c>
      <c r="AZ69" s="98">
        <v>369.65605914496945</v>
      </c>
      <c r="BA69" s="100" t="s">
        <v>635</v>
      </c>
      <c r="BB69" s="100" t="s">
        <v>635</v>
      </c>
      <c r="BC69" s="100" t="s">
        <v>635</v>
      </c>
      <c r="BD69" s="158">
        <v>0.48814556119999997</v>
      </c>
      <c r="BE69" s="158">
        <v>0.8271595764</v>
      </c>
      <c r="BF69" s="162">
        <v>610</v>
      </c>
      <c r="BG69" s="162">
        <v>25</v>
      </c>
      <c r="BH69" s="162">
        <v>1965</v>
      </c>
      <c r="BI69" s="162">
        <v>406</v>
      </c>
      <c r="BJ69" s="162">
        <v>196</v>
      </c>
      <c r="BK69" s="97"/>
      <c r="BL69" s="97"/>
      <c r="BM69" s="97"/>
      <c r="BN69" s="97"/>
    </row>
    <row r="70" spans="1:66" ht="12.75">
      <c r="A70" s="79" t="s">
        <v>587</v>
      </c>
      <c r="B70" s="79" t="s">
        <v>320</v>
      </c>
      <c r="C70" s="79" t="s">
        <v>107</v>
      </c>
      <c r="D70" s="99">
        <v>6121</v>
      </c>
      <c r="E70" s="99">
        <v>526</v>
      </c>
      <c r="F70" s="99" t="s">
        <v>382</v>
      </c>
      <c r="G70" s="99">
        <v>16</v>
      </c>
      <c r="H70" s="99" t="s">
        <v>635</v>
      </c>
      <c r="I70" s="99">
        <v>52</v>
      </c>
      <c r="J70" s="99">
        <v>354</v>
      </c>
      <c r="K70" s="99">
        <v>36</v>
      </c>
      <c r="L70" s="99">
        <v>1089</v>
      </c>
      <c r="M70" s="99">
        <v>133</v>
      </c>
      <c r="N70" s="99">
        <v>75</v>
      </c>
      <c r="O70" s="99">
        <v>30</v>
      </c>
      <c r="P70" s="159">
        <v>30</v>
      </c>
      <c r="Q70" s="99" t="s">
        <v>635</v>
      </c>
      <c r="R70" s="99">
        <v>7</v>
      </c>
      <c r="S70" s="99">
        <v>6</v>
      </c>
      <c r="T70" s="99" t="s">
        <v>635</v>
      </c>
      <c r="U70" s="99" t="s">
        <v>635</v>
      </c>
      <c r="V70" s="99">
        <v>6</v>
      </c>
      <c r="W70" s="99">
        <v>21</v>
      </c>
      <c r="X70" s="99" t="s">
        <v>635</v>
      </c>
      <c r="Y70" s="99">
        <v>63</v>
      </c>
      <c r="Z70" s="99">
        <v>15</v>
      </c>
      <c r="AA70" s="99" t="s">
        <v>635</v>
      </c>
      <c r="AB70" s="99" t="s">
        <v>635</v>
      </c>
      <c r="AC70" s="99" t="s">
        <v>635</v>
      </c>
      <c r="AD70" s="98" t="s">
        <v>362</v>
      </c>
      <c r="AE70" s="100">
        <v>0.08593367096879595</v>
      </c>
      <c r="AF70" s="100">
        <v>0.21</v>
      </c>
      <c r="AG70" s="98">
        <v>261.39519686325764</v>
      </c>
      <c r="AH70" s="98" t="s">
        <v>635</v>
      </c>
      <c r="AI70" s="100">
        <v>0.008</v>
      </c>
      <c r="AJ70" s="100">
        <v>0.654344</v>
      </c>
      <c r="AK70" s="100">
        <v>0.666667</v>
      </c>
      <c r="AL70" s="100">
        <v>0.627666</v>
      </c>
      <c r="AM70" s="100">
        <v>0.320482</v>
      </c>
      <c r="AN70" s="100">
        <v>0.357143</v>
      </c>
      <c r="AO70" s="98">
        <v>490.11599411860806</v>
      </c>
      <c r="AP70" s="158">
        <v>0.34739028930000004</v>
      </c>
      <c r="AQ70" s="100" t="s">
        <v>635</v>
      </c>
      <c r="AR70" s="100" t="s">
        <v>635</v>
      </c>
      <c r="AS70" s="98">
        <v>98.02319882372161</v>
      </c>
      <c r="AT70" s="98" t="s">
        <v>635</v>
      </c>
      <c r="AU70" s="98" t="s">
        <v>635</v>
      </c>
      <c r="AV70" s="98">
        <v>98.02319882372161</v>
      </c>
      <c r="AW70" s="98">
        <v>343.08119588302566</v>
      </c>
      <c r="AX70" s="98" t="s">
        <v>635</v>
      </c>
      <c r="AY70" s="98">
        <v>1029.243587649077</v>
      </c>
      <c r="AZ70" s="98">
        <v>245.05799705930403</v>
      </c>
      <c r="BA70" s="100" t="s">
        <v>635</v>
      </c>
      <c r="BB70" s="100" t="s">
        <v>635</v>
      </c>
      <c r="BC70" s="100" t="s">
        <v>635</v>
      </c>
      <c r="BD70" s="158">
        <v>0.23438278199999998</v>
      </c>
      <c r="BE70" s="158">
        <v>0.4959212494</v>
      </c>
      <c r="BF70" s="162">
        <v>541</v>
      </c>
      <c r="BG70" s="162">
        <v>54</v>
      </c>
      <c r="BH70" s="162">
        <v>1735</v>
      </c>
      <c r="BI70" s="162">
        <v>415</v>
      </c>
      <c r="BJ70" s="162">
        <v>210</v>
      </c>
      <c r="BK70" s="97"/>
      <c r="BL70" s="97"/>
      <c r="BM70" s="97"/>
      <c r="BN70" s="97"/>
    </row>
    <row r="71" spans="1:66" ht="12.75">
      <c r="A71" s="79" t="s">
        <v>623</v>
      </c>
      <c r="B71" s="79" t="s">
        <v>356</v>
      </c>
      <c r="C71" s="79" t="s">
        <v>107</v>
      </c>
      <c r="D71" s="99">
        <v>2132</v>
      </c>
      <c r="E71" s="99">
        <v>197</v>
      </c>
      <c r="F71" s="99" t="s">
        <v>382</v>
      </c>
      <c r="G71" s="99">
        <v>8</v>
      </c>
      <c r="H71" s="99" t="s">
        <v>635</v>
      </c>
      <c r="I71" s="99">
        <v>13</v>
      </c>
      <c r="J71" s="99">
        <v>103</v>
      </c>
      <c r="K71" s="99" t="s">
        <v>635</v>
      </c>
      <c r="L71" s="99">
        <v>325</v>
      </c>
      <c r="M71" s="99">
        <v>37</v>
      </c>
      <c r="N71" s="99">
        <v>25</v>
      </c>
      <c r="O71" s="99">
        <v>9</v>
      </c>
      <c r="P71" s="159">
        <v>9</v>
      </c>
      <c r="Q71" s="99" t="s">
        <v>635</v>
      </c>
      <c r="R71" s="99" t="s">
        <v>635</v>
      </c>
      <c r="S71" s="99" t="s">
        <v>635</v>
      </c>
      <c r="T71" s="99" t="s">
        <v>635</v>
      </c>
      <c r="U71" s="99" t="s">
        <v>635</v>
      </c>
      <c r="V71" s="99" t="s">
        <v>635</v>
      </c>
      <c r="W71" s="99">
        <v>6</v>
      </c>
      <c r="X71" s="99" t="s">
        <v>635</v>
      </c>
      <c r="Y71" s="99">
        <v>15</v>
      </c>
      <c r="Z71" s="99" t="s">
        <v>635</v>
      </c>
      <c r="AA71" s="99" t="s">
        <v>635</v>
      </c>
      <c r="AB71" s="99" t="s">
        <v>635</v>
      </c>
      <c r="AC71" s="99" t="s">
        <v>635</v>
      </c>
      <c r="AD71" s="98" t="s">
        <v>362</v>
      </c>
      <c r="AE71" s="100">
        <v>0.0924015009380863</v>
      </c>
      <c r="AF71" s="100">
        <v>0.22</v>
      </c>
      <c r="AG71" s="98">
        <v>375.234521575985</v>
      </c>
      <c r="AH71" s="98" t="s">
        <v>635</v>
      </c>
      <c r="AI71" s="100">
        <v>0.006</v>
      </c>
      <c r="AJ71" s="100">
        <v>0.536458</v>
      </c>
      <c r="AK71" s="100" t="s">
        <v>635</v>
      </c>
      <c r="AL71" s="100">
        <v>0.582437</v>
      </c>
      <c r="AM71" s="100">
        <v>0.276119</v>
      </c>
      <c r="AN71" s="100">
        <v>0.333333</v>
      </c>
      <c r="AO71" s="98">
        <v>422.1388367729831</v>
      </c>
      <c r="AP71" s="158">
        <v>0.29144927979999996</v>
      </c>
      <c r="AQ71" s="100" t="s">
        <v>635</v>
      </c>
      <c r="AR71" s="100" t="s">
        <v>635</v>
      </c>
      <c r="AS71" s="98" t="s">
        <v>635</v>
      </c>
      <c r="AT71" s="98" t="s">
        <v>635</v>
      </c>
      <c r="AU71" s="98" t="s">
        <v>635</v>
      </c>
      <c r="AV71" s="98" t="s">
        <v>635</v>
      </c>
      <c r="AW71" s="98">
        <v>281.42589118198873</v>
      </c>
      <c r="AX71" s="98" t="s">
        <v>635</v>
      </c>
      <c r="AY71" s="98">
        <v>703.5647279549719</v>
      </c>
      <c r="AZ71" s="98" t="s">
        <v>635</v>
      </c>
      <c r="BA71" s="100" t="s">
        <v>635</v>
      </c>
      <c r="BB71" s="100" t="s">
        <v>635</v>
      </c>
      <c r="BC71" s="100" t="s">
        <v>635</v>
      </c>
      <c r="BD71" s="158">
        <v>0.13326916689999999</v>
      </c>
      <c r="BE71" s="158">
        <v>0.5532615280000001</v>
      </c>
      <c r="BF71" s="162">
        <v>192</v>
      </c>
      <c r="BG71" s="162" t="s">
        <v>635</v>
      </c>
      <c r="BH71" s="162">
        <v>558</v>
      </c>
      <c r="BI71" s="162">
        <v>134</v>
      </c>
      <c r="BJ71" s="162">
        <v>75</v>
      </c>
      <c r="BK71" s="97"/>
      <c r="BL71" s="97"/>
      <c r="BM71" s="97"/>
      <c r="BN71" s="97"/>
    </row>
    <row r="72" spans="1:66" ht="12.75">
      <c r="A72" s="79" t="s">
        <v>614</v>
      </c>
      <c r="B72" s="79" t="s">
        <v>347</v>
      </c>
      <c r="C72" s="79" t="s">
        <v>107</v>
      </c>
      <c r="D72" s="99">
        <v>2922</v>
      </c>
      <c r="E72" s="99">
        <v>398</v>
      </c>
      <c r="F72" s="99" t="s">
        <v>384</v>
      </c>
      <c r="G72" s="99">
        <v>9</v>
      </c>
      <c r="H72" s="99">
        <v>8</v>
      </c>
      <c r="I72" s="99">
        <v>47</v>
      </c>
      <c r="J72" s="99">
        <v>220</v>
      </c>
      <c r="K72" s="99" t="s">
        <v>635</v>
      </c>
      <c r="L72" s="99">
        <v>593</v>
      </c>
      <c r="M72" s="99">
        <v>169</v>
      </c>
      <c r="N72" s="99">
        <v>90</v>
      </c>
      <c r="O72" s="99">
        <v>34</v>
      </c>
      <c r="P72" s="159">
        <v>34</v>
      </c>
      <c r="Q72" s="99">
        <v>6</v>
      </c>
      <c r="R72" s="99">
        <v>10</v>
      </c>
      <c r="S72" s="99">
        <v>11</v>
      </c>
      <c r="T72" s="99">
        <v>8</v>
      </c>
      <c r="U72" s="99" t="s">
        <v>635</v>
      </c>
      <c r="V72" s="99" t="s">
        <v>635</v>
      </c>
      <c r="W72" s="99">
        <v>13</v>
      </c>
      <c r="X72" s="99">
        <v>7</v>
      </c>
      <c r="Y72" s="99">
        <v>37</v>
      </c>
      <c r="Z72" s="99">
        <v>11</v>
      </c>
      <c r="AA72" s="99" t="s">
        <v>635</v>
      </c>
      <c r="AB72" s="99" t="s">
        <v>635</v>
      </c>
      <c r="AC72" s="99" t="s">
        <v>635</v>
      </c>
      <c r="AD72" s="98" t="s">
        <v>362</v>
      </c>
      <c r="AE72" s="100">
        <v>0.13620807665982204</v>
      </c>
      <c r="AF72" s="100">
        <v>0.1</v>
      </c>
      <c r="AG72" s="98">
        <v>308.0082135523614</v>
      </c>
      <c r="AH72" s="98">
        <v>273.7850787132101</v>
      </c>
      <c r="AI72" s="100">
        <v>0.016</v>
      </c>
      <c r="AJ72" s="100">
        <v>0.685358</v>
      </c>
      <c r="AK72" s="100" t="s">
        <v>635</v>
      </c>
      <c r="AL72" s="100">
        <v>0.673864</v>
      </c>
      <c r="AM72" s="100">
        <v>0.582759</v>
      </c>
      <c r="AN72" s="100">
        <v>0.62069</v>
      </c>
      <c r="AO72" s="98">
        <v>1163.586584531143</v>
      </c>
      <c r="AP72" s="158">
        <v>0.6593831634999999</v>
      </c>
      <c r="AQ72" s="100">
        <v>0.17647058823529413</v>
      </c>
      <c r="AR72" s="100">
        <v>0.6</v>
      </c>
      <c r="AS72" s="98">
        <v>376.4544832306639</v>
      </c>
      <c r="AT72" s="98">
        <v>273.7850787132101</v>
      </c>
      <c r="AU72" s="98" t="s">
        <v>635</v>
      </c>
      <c r="AV72" s="98" t="s">
        <v>635</v>
      </c>
      <c r="AW72" s="98">
        <v>444.90075290896647</v>
      </c>
      <c r="AX72" s="98">
        <v>239.56194387405887</v>
      </c>
      <c r="AY72" s="98">
        <v>1266.2559890485968</v>
      </c>
      <c r="AZ72" s="98">
        <v>376.4544832306639</v>
      </c>
      <c r="BA72" s="100" t="s">
        <v>635</v>
      </c>
      <c r="BB72" s="100" t="s">
        <v>635</v>
      </c>
      <c r="BC72" s="100" t="s">
        <v>635</v>
      </c>
      <c r="BD72" s="158">
        <v>0.4566419983</v>
      </c>
      <c r="BE72" s="158">
        <v>0.9214218903</v>
      </c>
      <c r="BF72" s="162">
        <v>321</v>
      </c>
      <c r="BG72" s="162" t="s">
        <v>635</v>
      </c>
      <c r="BH72" s="162">
        <v>880</v>
      </c>
      <c r="BI72" s="162">
        <v>290</v>
      </c>
      <c r="BJ72" s="162">
        <v>145</v>
      </c>
      <c r="BK72" s="97"/>
      <c r="BL72" s="97"/>
      <c r="BM72" s="97"/>
      <c r="BN72" s="97"/>
    </row>
    <row r="73" spans="1:66" ht="12.75">
      <c r="A73" s="79" t="s">
        <v>618</v>
      </c>
      <c r="B73" s="79" t="s">
        <v>351</v>
      </c>
      <c r="C73" s="79" t="s">
        <v>107</v>
      </c>
      <c r="D73" s="99">
        <v>4384</v>
      </c>
      <c r="E73" s="99">
        <v>356</v>
      </c>
      <c r="F73" s="99" t="s">
        <v>383</v>
      </c>
      <c r="G73" s="99">
        <v>6</v>
      </c>
      <c r="H73" s="99" t="s">
        <v>635</v>
      </c>
      <c r="I73" s="99">
        <v>35</v>
      </c>
      <c r="J73" s="99">
        <v>169</v>
      </c>
      <c r="K73" s="99" t="s">
        <v>635</v>
      </c>
      <c r="L73" s="99">
        <v>786</v>
      </c>
      <c r="M73" s="99">
        <v>103</v>
      </c>
      <c r="N73" s="99">
        <v>58</v>
      </c>
      <c r="O73" s="99">
        <v>57</v>
      </c>
      <c r="P73" s="159">
        <v>57</v>
      </c>
      <c r="Q73" s="99" t="s">
        <v>635</v>
      </c>
      <c r="R73" s="99">
        <v>12</v>
      </c>
      <c r="S73" s="99">
        <v>35</v>
      </c>
      <c r="T73" s="99">
        <v>8</v>
      </c>
      <c r="U73" s="99" t="s">
        <v>635</v>
      </c>
      <c r="V73" s="99" t="s">
        <v>635</v>
      </c>
      <c r="W73" s="99">
        <v>23</v>
      </c>
      <c r="X73" s="99">
        <v>11</v>
      </c>
      <c r="Y73" s="99">
        <v>49</v>
      </c>
      <c r="Z73" s="99">
        <v>11</v>
      </c>
      <c r="AA73" s="99" t="s">
        <v>635</v>
      </c>
      <c r="AB73" s="99" t="s">
        <v>635</v>
      </c>
      <c r="AC73" s="99" t="s">
        <v>635</v>
      </c>
      <c r="AD73" s="98" t="s">
        <v>362</v>
      </c>
      <c r="AE73" s="100">
        <v>0.0812043795620438</v>
      </c>
      <c r="AF73" s="100">
        <v>0.3</v>
      </c>
      <c r="AG73" s="98">
        <v>136.86131386861314</v>
      </c>
      <c r="AH73" s="98" t="s">
        <v>635</v>
      </c>
      <c r="AI73" s="100">
        <v>0.008</v>
      </c>
      <c r="AJ73" s="100">
        <v>0.512121</v>
      </c>
      <c r="AK73" s="100" t="s">
        <v>635</v>
      </c>
      <c r="AL73" s="100">
        <v>0.673522</v>
      </c>
      <c r="AM73" s="100">
        <v>0.410359</v>
      </c>
      <c r="AN73" s="100">
        <v>0.446154</v>
      </c>
      <c r="AO73" s="98">
        <v>1300.1824817518248</v>
      </c>
      <c r="AP73" s="158">
        <v>0.983314209</v>
      </c>
      <c r="AQ73" s="100" t="s">
        <v>635</v>
      </c>
      <c r="AR73" s="100" t="s">
        <v>635</v>
      </c>
      <c r="AS73" s="98">
        <v>798.3576642335767</v>
      </c>
      <c r="AT73" s="98">
        <v>182.4817518248175</v>
      </c>
      <c r="AU73" s="98" t="s">
        <v>635</v>
      </c>
      <c r="AV73" s="98" t="s">
        <v>635</v>
      </c>
      <c r="AW73" s="98">
        <v>524.6350364963504</v>
      </c>
      <c r="AX73" s="98">
        <v>250.91240875912408</v>
      </c>
      <c r="AY73" s="98">
        <v>1117.7007299270074</v>
      </c>
      <c r="AZ73" s="98">
        <v>250.91240875912408</v>
      </c>
      <c r="BA73" s="100" t="s">
        <v>635</v>
      </c>
      <c r="BB73" s="100" t="s">
        <v>635</v>
      </c>
      <c r="BC73" s="100" t="s">
        <v>635</v>
      </c>
      <c r="BD73" s="158">
        <v>0.7447525786999999</v>
      </c>
      <c r="BE73" s="158">
        <v>1.273997574</v>
      </c>
      <c r="BF73" s="162">
        <v>330</v>
      </c>
      <c r="BG73" s="162" t="s">
        <v>635</v>
      </c>
      <c r="BH73" s="162">
        <v>1167</v>
      </c>
      <c r="BI73" s="162">
        <v>251</v>
      </c>
      <c r="BJ73" s="162">
        <v>130</v>
      </c>
      <c r="BK73" s="97"/>
      <c r="BL73" s="97"/>
      <c r="BM73" s="97"/>
      <c r="BN73" s="97"/>
    </row>
    <row r="74" spans="1:66" ht="12.75">
      <c r="A74" s="79" t="s">
        <v>605</v>
      </c>
      <c r="B74" s="79" t="s">
        <v>338</v>
      </c>
      <c r="C74" s="79" t="s">
        <v>107</v>
      </c>
      <c r="D74" s="99">
        <v>6814</v>
      </c>
      <c r="E74" s="99">
        <v>398</v>
      </c>
      <c r="F74" s="99" t="s">
        <v>383</v>
      </c>
      <c r="G74" s="99" t="s">
        <v>635</v>
      </c>
      <c r="H74" s="99" t="s">
        <v>635</v>
      </c>
      <c r="I74" s="99">
        <v>23</v>
      </c>
      <c r="J74" s="99">
        <v>218</v>
      </c>
      <c r="K74" s="99">
        <v>173</v>
      </c>
      <c r="L74" s="99">
        <v>1002</v>
      </c>
      <c r="M74" s="99">
        <v>78</v>
      </c>
      <c r="N74" s="99">
        <v>44</v>
      </c>
      <c r="O74" s="99">
        <v>17</v>
      </c>
      <c r="P74" s="159">
        <v>17</v>
      </c>
      <c r="Q74" s="99" t="s">
        <v>635</v>
      </c>
      <c r="R74" s="99" t="s">
        <v>635</v>
      </c>
      <c r="S74" s="99">
        <v>7</v>
      </c>
      <c r="T74" s="99" t="s">
        <v>635</v>
      </c>
      <c r="U74" s="99" t="s">
        <v>635</v>
      </c>
      <c r="V74" s="99" t="s">
        <v>635</v>
      </c>
      <c r="W74" s="99">
        <v>26</v>
      </c>
      <c r="X74" s="99">
        <v>17</v>
      </c>
      <c r="Y74" s="99">
        <v>80</v>
      </c>
      <c r="Z74" s="99">
        <v>19</v>
      </c>
      <c r="AA74" s="99" t="s">
        <v>635</v>
      </c>
      <c r="AB74" s="99" t="s">
        <v>635</v>
      </c>
      <c r="AC74" s="99" t="s">
        <v>635</v>
      </c>
      <c r="AD74" s="98" t="s">
        <v>362</v>
      </c>
      <c r="AE74" s="100">
        <v>0.05840915761667156</v>
      </c>
      <c r="AF74" s="100">
        <v>0.24</v>
      </c>
      <c r="AG74" s="98" t="s">
        <v>635</v>
      </c>
      <c r="AH74" s="98" t="s">
        <v>635</v>
      </c>
      <c r="AI74" s="100">
        <v>0.003</v>
      </c>
      <c r="AJ74" s="100">
        <v>0.564767</v>
      </c>
      <c r="AK74" s="100">
        <v>0.549206</v>
      </c>
      <c r="AL74" s="100">
        <v>0.651919</v>
      </c>
      <c r="AM74" s="100">
        <v>0.264407</v>
      </c>
      <c r="AN74" s="100">
        <v>0.268293</v>
      </c>
      <c r="AO74" s="98">
        <v>249.48635162899913</v>
      </c>
      <c r="AP74" s="158">
        <v>0.2175865936</v>
      </c>
      <c r="AQ74" s="100" t="s">
        <v>635</v>
      </c>
      <c r="AR74" s="100" t="s">
        <v>635</v>
      </c>
      <c r="AS74" s="98">
        <v>102.7296742001761</v>
      </c>
      <c r="AT74" s="98" t="s">
        <v>635</v>
      </c>
      <c r="AU74" s="98" t="s">
        <v>635</v>
      </c>
      <c r="AV74" s="98" t="s">
        <v>635</v>
      </c>
      <c r="AW74" s="98">
        <v>381.56736131493983</v>
      </c>
      <c r="AX74" s="98">
        <v>249.48635162899913</v>
      </c>
      <c r="AY74" s="98">
        <v>1174.0534194305842</v>
      </c>
      <c r="AZ74" s="98">
        <v>278.8376871147637</v>
      </c>
      <c r="BA74" s="100" t="s">
        <v>635</v>
      </c>
      <c r="BB74" s="100" t="s">
        <v>635</v>
      </c>
      <c r="BC74" s="100" t="s">
        <v>635</v>
      </c>
      <c r="BD74" s="158">
        <v>0.1267522049</v>
      </c>
      <c r="BE74" s="158">
        <v>0.3483772278</v>
      </c>
      <c r="BF74" s="162">
        <v>386</v>
      </c>
      <c r="BG74" s="162">
        <v>315</v>
      </c>
      <c r="BH74" s="162">
        <v>1537</v>
      </c>
      <c r="BI74" s="162">
        <v>295</v>
      </c>
      <c r="BJ74" s="162">
        <v>164</v>
      </c>
      <c r="BK74" s="97"/>
      <c r="BL74" s="97"/>
      <c r="BM74" s="97"/>
      <c r="BN74" s="97"/>
    </row>
    <row r="75" spans="1:66" ht="12.75">
      <c r="A75" s="79" t="s">
        <v>596</v>
      </c>
      <c r="B75" s="79" t="s">
        <v>329</v>
      </c>
      <c r="C75" s="79" t="s">
        <v>107</v>
      </c>
      <c r="D75" s="99">
        <v>2292</v>
      </c>
      <c r="E75" s="99">
        <v>242</v>
      </c>
      <c r="F75" s="99" t="s">
        <v>382</v>
      </c>
      <c r="G75" s="99">
        <v>8</v>
      </c>
      <c r="H75" s="99">
        <v>10</v>
      </c>
      <c r="I75" s="99">
        <v>23</v>
      </c>
      <c r="J75" s="99">
        <v>96</v>
      </c>
      <c r="K75" s="99">
        <v>6</v>
      </c>
      <c r="L75" s="99">
        <v>264</v>
      </c>
      <c r="M75" s="99">
        <v>54</v>
      </c>
      <c r="N75" s="99">
        <v>22</v>
      </c>
      <c r="O75" s="99" t="s">
        <v>635</v>
      </c>
      <c r="P75" s="159" t="s">
        <v>635</v>
      </c>
      <c r="Q75" s="99" t="s">
        <v>635</v>
      </c>
      <c r="R75" s="99" t="s">
        <v>635</v>
      </c>
      <c r="S75" s="99" t="s">
        <v>635</v>
      </c>
      <c r="T75" s="99" t="s">
        <v>635</v>
      </c>
      <c r="U75" s="99" t="s">
        <v>635</v>
      </c>
      <c r="V75" s="99" t="s">
        <v>635</v>
      </c>
      <c r="W75" s="99" t="s">
        <v>635</v>
      </c>
      <c r="X75" s="99" t="s">
        <v>635</v>
      </c>
      <c r="Y75" s="99">
        <v>11</v>
      </c>
      <c r="Z75" s="99">
        <v>12</v>
      </c>
      <c r="AA75" s="99" t="s">
        <v>635</v>
      </c>
      <c r="AB75" s="99" t="s">
        <v>635</v>
      </c>
      <c r="AC75" s="99" t="s">
        <v>635</v>
      </c>
      <c r="AD75" s="98" t="s">
        <v>362</v>
      </c>
      <c r="AE75" s="100">
        <v>0.1055846422338569</v>
      </c>
      <c r="AF75" s="100">
        <v>0.21</v>
      </c>
      <c r="AG75" s="98">
        <v>349.04013961605585</v>
      </c>
      <c r="AH75" s="98">
        <v>436.3001745200698</v>
      </c>
      <c r="AI75" s="100">
        <v>0.01</v>
      </c>
      <c r="AJ75" s="100">
        <v>0.477612</v>
      </c>
      <c r="AK75" s="100">
        <v>0.315789</v>
      </c>
      <c r="AL75" s="100">
        <v>0.503817</v>
      </c>
      <c r="AM75" s="100">
        <v>0.3375</v>
      </c>
      <c r="AN75" s="100">
        <v>0.297297</v>
      </c>
      <c r="AO75" s="98" t="s">
        <v>635</v>
      </c>
      <c r="AP75" s="158" t="s">
        <v>635</v>
      </c>
      <c r="AQ75" s="100" t="s">
        <v>635</v>
      </c>
      <c r="AR75" s="100" t="s">
        <v>635</v>
      </c>
      <c r="AS75" s="98" t="s">
        <v>635</v>
      </c>
      <c r="AT75" s="98" t="s">
        <v>635</v>
      </c>
      <c r="AU75" s="98" t="s">
        <v>635</v>
      </c>
      <c r="AV75" s="98" t="s">
        <v>635</v>
      </c>
      <c r="AW75" s="98" t="s">
        <v>635</v>
      </c>
      <c r="AX75" s="98" t="s">
        <v>635</v>
      </c>
      <c r="AY75" s="98">
        <v>479.9301919720768</v>
      </c>
      <c r="AZ75" s="98">
        <v>523.5602094240837</v>
      </c>
      <c r="BA75" s="100" t="s">
        <v>635</v>
      </c>
      <c r="BB75" s="100" t="s">
        <v>635</v>
      </c>
      <c r="BC75" s="100" t="s">
        <v>635</v>
      </c>
      <c r="BD75" s="158" t="s">
        <v>635</v>
      </c>
      <c r="BE75" s="158" t="s">
        <v>635</v>
      </c>
      <c r="BF75" s="162">
        <v>201</v>
      </c>
      <c r="BG75" s="162">
        <v>19</v>
      </c>
      <c r="BH75" s="162">
        <v>524</v>
      </c>
      <c r="BI75" s="162">
        <v>160</v>
      </c>
      <c r="BJ75" s="162">
        <v>74</v>
      </c>
      <c r="BK75" s="97"/>
      <c r="BL75" s="97"/>
      <c r="BM75" s="97"/>
      <c r="BN75" s="97"/>
    </row>
    <row r="76" spans="1:66" ht="12.75">
      <c r="A76" s="79" t="s">
        <v>599</v>
      </c>
      <c r="B76" s="79" t="s">
        <v>332</v>
      </c>
      <c r="C76" s="79" t="s">
        <v>107</v>
      </c>
      <c r="D76" s="99">
        <v>6009</v>
      </c>
      <c r="E76" s="99">
        <v>415</v>
      </c>
      <c r="F76" s="99" t="s">
        <v>383</v>
      </c>
      <c r="G76" s="99">
        <v>11</v>
      </c>
      <c r="H76" s="99">
        <v>9</v>
      </c>
      <c r="I76" s="99">
        <v>20</v>
      </c>
      <c r="J76" s="99">
        <v>274</v>
      </c>
      <c r="K76" s="99">
        <v>217</v>
      </c>
      <c r="L76" s="99">
        <v>738</v>
      </c>
      <c r="M76" s="99">
        <v>84</v>
      </c>
      <c r="N76" s="99">
        <v>46</v>
      </c>
      <c r="O76" s="99">
        <v>16</v>
      </c>
      <c r="P76" s="159">
        <v>16</v>
      </c>
      <c r="Q76" s="99" t="s">
        <v>635</v>
      </c>
      <c r="R76" s="99">
        <v>16</v>
      </c>
      <c r="S76" s="99">
        <v>6</v>
      </c>
      <c r="T76" s="99" t="s">
        <v>635</v>
      </c>
      <c r="U76" s="99" t="s">
        <v>635</v>
      </c>
      <c r="V76" s="99" t="s">
        <v>635</v>
      </c>
      <c r="W76" s="99">
        <v>18</v>
      </c>
      <c r="X76" s="99">
        <v>25</v>
      </c>
      <c r="Y76" s="99">
        <v>58</v>
      </c>
      <c r="Z76" s="99">
        <v>16</v>
      </c>
      <c r="AA76" s="99" t="s">
        <v>635</v>
      </c>
      <c r="AB76" s="99" t="s">
        <v>635</v>
      </c>
      <c r="AC76" s="99" t="s">
        <v>635</v>
      </c>
      <c r="AD76" s="98" t="s">
        <v>362</v>
      </c>
      <c r="AE76" s="100">
        <v>0.0690630720585788</v>
      </c>
      <c r="AF76" s="100">
        <v>0.25</v>
      </c>
      <c r="AG76" s="98">
        <v>183.05874521551007</v>
      </c>
      <c r="AH76" s="98">
        <v>149.77533699450825</v>
      </c>
      <c r="AI76" s="100">
        <v>0.003</v>
      </c>
      <c r="AJ76" s="100">
        <v>0.637209</v>
      </c>
      <c r="AK76" s="100">
        <v>0.524155</v>
      </c>
      <c r="AL76" s="100">
        <v>0.502725</v>
      </c>
      <c r="AM76" s="100">
        <v>0.253776</v>
      </c>
      <c r="AN76" s="100">
        <v>0.283951</v>
      </c>
      <c r="AO76" s="98">
        <v>266.2672657680146</v>
      </c>
      <c r="AP76" s="158">
        <v>0.2137725258</v>
      </c>
      <c r="AQ76" s="100" t="s">
        <v>635</v>
      </c>
      <c r="AR76" s="100" t="s">
        <v>635</v>
      </c>
      <c r="AS76" s="98">
        <v>99.85022466300549</v>
      </c>
      <c r="AT76" s="98" t="s">
        <v>635</v>
      </c>
      <c r="AU76" s="98" t="s">
        <v>635</v>
      </c>
      <c r="AV76" s="98" t="s">
        <v>635</v>
      </c>
      <c r="AW76" s="98">
        <v>299.5506739890165</v>
      </c>
      <c r="AX76" s="98">
        <v>416.0426027625229</v>
      </c>
      <c r="AY76" s="98">
        <v>965.2188384090531</v>
      </c>
      <c r="AZ76" s="98">
        <v>266.2672657680146</v>
      </c>
      <c r="BA76" s="100" t="s">
        <v>635</v>
      </c>
      <c r="BB76" s="100" t="s">
        <v>635</v>
      </c>
      <c r="BC76" s="100" t="s">
        <v>635</v>
      </c>
      <c r="BD76" s="158">
        <v>0.12218946459999999</v>
      </c>
      <c r="BE76" s="158">
        <v>0.3471531677</v>
      </c>
      <c r="BF76" s="162">
        <v>430</v>
      </c>
      <c r="BG76" s="162">
        <v>414</v>
      </c>
      <c r="BH76" s="162">
        <v>1468</v>
      </c>
      <c r="BI76" s="162">
        <v>331</v>
      </c>
      <c r="BJ76" s="162">
        <v>162</v>
      </c>
      <c r="BK76" s="97"/>
      <c r="BL76" s="97"/>
      <c r="BM76" s="97"/>
      <c r="BN76" s="97"/>
    </row>
    <row r="77" spans="1:66" ht="12.75">
      <c r="A77" s="79" t="s">
        <v>617</v>
      </c>
      <c r="B77" s="79" t="s">
        <v>350</v>
      </c>
      <c r="C77" s="79" t="s">
        <v>107</v>
      </c>
      <c r="D77" s="99">
        <v>2472</v>
      </c>
      <c r="E77" s="99">
        <v>64</v>
      </c>
      <c r="F77" s="99" t="s">
        <v>382</v>
      </c>
      <c r="G77" s="99" t="s">
        <v>635</v>
      </c>
      <c r="H77" s="99" t="s">
        <v>635</v>
      </c>
      <c r="I77" s="99">
        <v>3</v>
      </c>
      <c r="J77" s="99">
        <v>49</v>
      </c>
      <c r="K77" s="99" t="s">
        <v>635</v>
      </c>
      <c r="L77" s="99">
        <v>464</v>
      </c>
      <c r="M77" s="99">
        <v>17</v>
      </c>
      <c r="N77" s="99">
        <v>10</v>
      </c>
      <c r="O77" s="99" t="s">
        <v>635</v>
      </c>
      <c r="P77" s="159" t="s">
        <v>635</v>
      </c>
      <c r="Q77" s="99" t="s">
        <v>635</v>
      </c>
      <c r="R77" s="99" t="s">
        <v>635</v>
      </c>
      <c r="S77" s="99" t="s">
        <v>635</v>
      </c>
      <c r="T77" s="99" t="s">
        <v>635</v>
      </c>
      <c r="U77" s="99" t="s">
        <v>635</v>
      </c>
      <c r="V77" s="99" t="s">
        <v>635</v>
      </c>
      <c r="W77" s="99" t="s">
        <v>635</v>
      </c>
      <c r="X77" s="99" t="s">
        <v>635</v>
      </c>
      <c r="Y77" s="99" t="s">
        <v>635</v>
      </c>
      <c r="Z77" s="99" t="s">
        <v>635</v>
      </c>
      <c r="AA77" s="99" t="s">
        <v>635</v>
      </c>
      <c r="AB77" s="99" t="s">
        <v>635</v>
      </c>
      <c r="AC77" s="99" t="s">
        <v>635</v>
      </c>
      <c r="AD77" s="98" t="s">
        <v>362</v>
      </c>
      <c r="AE77" s="100">
        <v>0.025889967637540454</v>
      </c>
      <c r="AF77" s="100">
        <v>0.24</v>
      </c>
      <c r="AG77" s="98" t="s">
        <v>635</v>
      </c>
      <c r="AH77" s="98" t="s">
        <v>635</v>
      </c>
      <c r="AI77" s="100">
        <v>0.001</v>
      </c>
      <c r="AJ77" s="100">
        <v>0.576471</v>
      </c>
      <c r="AK77" s="100" t="s">
        <v>635</v>
      </c>
      <c r="AL77" s="100">
        <v>0.797251</v>
      </c>
      <c r="AM77" s="100">
        <v>0.261538</v>
      </c>
      <c r="AN77" s="100">
        <v>0.30303</v>
      </c>
      <c r="AO77" s="98" t="s">
        <v>635</v>
      </c>
      <c r="AP77" s="158" t="s">
        <v>635</v>
      </c>
      <c r="AQ77" s="100" t="s">
        <v>635</v>
      </c>
      <c r="AR77" s="100" t="s">
        <v>635</v>
      </c>
      <c r="AS77" s="98" t="s">
        <v>635</v>
      </c>
      <c r="AT77" s="98" t="s">
        <v>635</v>
      </c>
      <c r="AU77" s="98" t="s">
        <v>635</v>
      </c>
      <c r="AV77" s="98" t="s">
        <v>635</v>
      </c>
      <c r="AW77" s="98" t="s">
        <v>635</v>
      </c>
      <c r="AX77" s="98" t="s">
        <v>635</v>
      </c>
      <c r="AY77" s="98" t="s">
        <v>635</v>
      </c>
      <c r="AZ77" s="98" t="s">
        <v>635</v>
      </c>
      <c r="BA77" s="101" t="s">
        <v>635</v>
      </c>
      <c r="BB77" s="101" t="s">
        <v>635</v>
      </c>
      <c r="BC77" s="101" t="s">
        <v>635</v>
      </c>
      <c r="BD77" s="158" t="s">
        <v>635</v>
      </c>
      <c r="BE77" s="158" t="s">
        <v>635</v>
      </c>
      <c r="BF77" s="162">
        <v>85</v>
      </c>
      <c r="BG77" s="162" t="s">
        <v>635</v>
      </c>
      <c r="BH77" s="162">
        <v>582</v>
      </c>
      <c r="BI77" s="162">
        <v>65</v>
      </c>
      <c r="BJ77" s="162">
        <v>33</v>
      </c>
      <c r="BK77" s="97"/>
      <c r="BL77" s="97"/>
      <c r="BM77" s="97"/>
      <c r="BN77" s="97"/>
    </row>
    <row r="78" spans="1:66" ht="12.75">
      <c r="A78" s="79" t="s">
        <v>600</v>
      </c>
      <c r="B78" s="79" t="s">
        <v>333</v>
      </c>
      <c r="C78" s="79" t="s">
        <v>107</v>
      </c>
      <c r="D78" s="99">
        <v>4240</v>
      </c>
      <c r="E78" s="99">
        <v>427</v>
      </c>
      <c r="F78" s="99" t="s">
        <v>383</v>
      </c>
      <c r="G78" s="99">
        <v>13</v>
      </c>
      <c r="H78" s="99" t="s">
        <v>635</v>
      </c>
      <c r="I78" s="99">
        <v>55</v>
      </c>
      <c r="J78" s="99">
        <v>187</v>
      </c>
      <c r="K78" s="99">
        <v>170</v>
      </c>
      <c r="L78" s="99">
        <v>789</v>
      </c>
      <c r="M78" s="99">
        <v>97</v>
      </c>
      <c r="N78" s="99">
        <v>60</v>
      </c>
      <c r="O78" s="99">
        <v>22</v>
      </c>
      <c r="P78" s="159">
        <v>22</v>
      </c>
      <c r="Q78" s="99">
        <v>6</v>
      </c>
      <c r="R78" s="99">
        <v>13</v>
      </c>
      <c r="S78" s="99" t="s">
        <v>635</v>
      </c>
      <c r="T78" s="99">
        <v>6</v>
      </c>
      <c r="U78" s="99" t="s">
        <v>635</v>
      </c>
      <c r="V78" s="99" t="s">
        <v>635</v>
      </c>
      <c r="W78" s="99">
        <v>20</v>
      </c>
      <c r="X78" s="99">
        <v>14</v>
      </c>
      <c r="Y78" s="99">
        <v>27</v>
      </c>
      <c r="Z78" s="99">
        <v>17</v>
      </c>
      <c r="AA78" s="99" t="s">
        <v>635</v>
      </c>
      <c r="AB78" s="99" t="s">
        <v>635</v>
      </c>
      <c r="AC78" s="99" t="s">
        <v>635</v>
      </c>
      <c r="AD78" s="98" t="s">
        <v>362</v>
      </c>
      <c r="AE78" s="100">
        <v>0.10070754716981133</v>
      </c>
      <c r="AF78" s="100">
        <v>0.25</v>
      </c>
      <c r="AG78" s="98">
        <v>306.60377358490564</v>
      </c>
      <c r="AH78" s="98" t="s">
        <v>635</v>
      </c>
      <c r="AI78" s="100">
        <v>0.013000000000000001</v>
      </c>
      <c r="AJ78" s="100">
        <v>0.55988</v>
      </c>
      <c r="AK78" s="100">
        <v>0.53125</v>
      </c>
      <c r="AL78" s="100">
        <v>0.658048</v>
      </c>
      <c r="AM78" s="100">
        <v>0.342756</v>
      </c>
      <c r="AN78" s="100">
        <v>0.38961</v>
      </c>
      <c r="AO78" s="98">
        <v>518.8679245283018</v>
      </c>
      <c r="AP78" s="158">
        <v>0.3542760468</v>
      </c>
      <c r="AQ78" s="100">
        <v>0.2727272727272727</v>
      </c>
      <c r="AR78" s="100">
        <v>0.46153846153846156</v>
      </c>
      <c r="AS78" s="98" t="s">
        <v>635</v>
      </c>
      <c r="AT78" s="98">
        <v>141.50943396226415</v>
      </c>
      <c r="AU78" s="98" t="s">
        <v>635</v>
      </c>
      <c r="AV78" s="98" t="s">
        <v>635</v>
      </c>
      <c r="AW78" s="98">
        <v>471.6981132075472</v>
      </c>
      <c r="AX78" s="98">
        <v>330.188679245283</v>
      </c>
      <c r="AY78" s="98">
        <v>636.7924528301887</v>
      </c>
      <c r="AZ78" s="98">
        <v>400.9433962264151</v>
      </c>
      <c r="BA78" s="100" t="s">
        <v>635</v>
      </c>
      <c r="BB78" s="100" t="s">
        <v>635</v>
      </c>
      <c r="BC78" s="100" t="s">
        <v>635</v>
      </c>
      <c r="BD78" s="158">
        <v>0.2220229149</v>
      </c>
      <c r="BE78" s="158">
        <v>0.5363781738</v>
      </c>
      <c r="BF78" s="162">
        <v>334</v>
      </c>
      <c r="BG78" s="162">
        <v>320</v>
      </c>
      <c r="BH78" s="162">
        <v>1199</v>
      </c>
      <c r="BI78" s="162">
        <v>283</v>
      </c>
      <c r="BJ78" s="162">
        <v>154</v>
      </c>
      <c r="BK78" s="97"/>
      <c r="BL78" s="97"/>
      <c r="BM78" s="97"/>
      <c r="BN78" s="97"/>
    </row>
    <row r="79" spans="1:66" ht="12.75">
      <c r="A79" s="79" t="s">
        <v>616</v>
      </c>
      <c r="B79" s="79" t="s">
        <v>349</v>
      </c>
      <c r="C79" s="79" t="s">
        <v>107</v>
      </c>
      <c r="D79" s="99">
        <v>3754</v>
      </c>
      <c r="E79" s="99">
        <v>246</v>
      </c>
      <c r="F79" s="99" t="s">
        <v>383</v>
      </c>
      <c r="G79" s="99" t="s">
        <v>635</v>
      </c>
      <c r="H79" s="99" t="s">
        <v>635</v>
      </c>
      <c r="I79" s="99">
        <v>17</v>
      </c>
      <c r="J79" s="99">
        <v>213</v>
      </c>
      <c r="K79" s="99">
        <v>193</v>
      </c>
      <c r="L79" s="99">
        <v>548</v>
      </c>
      <c r="M79" s="99">
        <v>41</v>
      </c>
      <c r="N79" s="99">
        <v>23</v>
      </c>
      <c r="O79" s="99" t="s">
        <v>635</v>
      </c>
      <c r="P79" s="159" t="s">
        <v>635</v>
      </c>
      <c r="Q79" s="99" t="s">
        <v>635</v>
      </c>
      <c r="R79" s="99" t="s">
        <v>635</v>
      </c>
      <c r="S79" s="99" t="s">
        <v>635</v>
      </c>
      <c r="T79" s="99" t="s">
        <v>635</v>
      </c>
      <c r="U79" s="99" t="s">
        <v>635</v>
      </c>
      <c r="V79" s="99" t="s">
        <v>635</v>
      </c>
      <c r="W79" s="99">
        <v>23</v>
      </c>
      <c r="X79" s="99">
        <v>12</v>
      </c>
      <c r="Y79" s="99">
        <v>41</v>
      </c>
      <c r="Z79" s="99">
        <v>8</v>
      </c>
      <c r="AA79" s="99" t="s">
        <v>635</v>
      </c>
      <c r="AB79" s="99" t="s">
        <v>635</v>
      </c>
      <c r="AC79" s="99" t="s">
        <v>635</v>
      </c>
      <c r="AD79" s="98" t="s">
        <v>362</v>
      </c>
      <c r="AE79" s="100">
        <v>0.06553010122535961</v>
      </c>
      <c r="AF79" s="100">
        <v>0.25</v>
      </c>
      <c r="AG79" s="98" t="s">
        <v>635</v>
      </c>
      <c r="AH79" s="98" t="s">
        <v>635</v>
      </c>
      <c r="AI79" s="100">
        <v>0.005</v>
      </c>
      <c r="AJ79" s="100">
        <v>0.78022</v>
      </c>
      <c r="AK79" s="100">
        <v>0.80083</v>
      </c>
      <c r="AL79" s="100">
        <v>0.652381</v>
      </c>
      <c r="AM79" s="100">
        <v>0.25</v>
      </c>
      <c r="AN79" s="100">
        <v>0.27381</v>
      </c>
      <c r="AO79" s="98" t="s">
        <v>635</v>
      </c>
      <c r="AP79" s="158" t="s">
        <v>635</v>
      </c>
      <c r="AQ79" s="100" t="s">
        <v>635</v>
      </c>
      <c r="AR79" s="100" t="s">
        <v>635</v>
      </c>
      <c r="AS79" s="98" t="s">
        <v>635</v>
      </c>
      <c r="AT79" s="98" t="s">
        <v>635</v>
      </c>
      <c r="AU79" s="98" t="s">
        <v>635</v>
      </c>
      <c r="AV79" s="98" t="s">
        <v>635</v>
      </c>
      <c r="AW79" s="98">
        <v>612.6798082045818</v>
      </c>
      <c r="AX79" s="98">
        <v>319.6590303676079</v>
      </c>
      <c r="AY79" s="98">
        <v>1092.1683537559936</v>
      </c>
      <c r="AZ79" s="98">
        <v>213.10602024507193</v>
      </c>
      <c r="BA79" s="100" t="s">
        <v>635</v>
      </c>
      <c r="BB79" s="100" t="s">
        <v>635</v>
      </c>
      <c r="BC79" s="100" t="s">
        <v>635</v>
      </c>
      <c r="BD79" s="158" t="s">
        <v>635</v>
      </c>
      <c r="BE79" s="158" t="s">
        <v>635</v>
      </c>
      <c r="BF79" s="162">
        <v>273</v>
      </c>
      <c r="BG79" s="162">
        <v>241</v>
      </c>
      <c r="BH79" s="162">
        <v>840</v>
      </c>
      <c r="BI79" s="162">
        <v>164</v>
      </c>
      <c r="BJ79" s="162">
        <v>84</v>
      </c>
      <c r="BK79" s="97"/>
      <c r="BL79" s="97"/>
      <c r="BM79" s="97"/>
      <c r="BN79" s="97"/>
    </row>
    <row r="80" spans="1:66" ht="12.75">
      <c r="A80" s="79" t="s">
        <v>549</v>
      </c>
      <c r="B80" s="79" t="s">
        <v>283</v>
      </c>
      <c r="C80" s="79" t="s">
        <v>107</v>
      </c>
      <c r="D80" s="99">
        <v>3886</v>
      </c>
      <c r="E80" s="99">
        <v>226</v>
      </c>
      <c r="F80" s="99" t="s">
        <v>383</v>
      </c>
      <c r="G80" s="99">
        <v>7</v>
      </c>
      <c r="H80" s="99" t="s">
        <v>635</v>
      </c>
      <c r="I80" s="99">
        <v>38</v>
      </c>
      <c r="J80" s="99">
        <v>136</v>
      </c>
      <c r="K80" s="99">
        <v>122</v>
      </c>
      <c r="L80" s="99">
        <v>653</v>
      </c>
      <c r="M80" s="99">
        <v>51</v>
      </c>
      <c r="N80" s="99">
        <v>26</v>
      </c>
      <c r="O80" s="99">
        <v>28</v>
      </c>
      <c r="P80" s="159">
        <v>28</v>
      </c>
      <c r="Q80" s="99" t="s">
        <v>635</v>
      </c>
      <c r="R80" s="99">
        <v>11</v>
      </c>
      <c r="S80" s="99">
        <v>8</v>
      </c>
      <c r="T80" s="99" t="s">
        <v>635</v>
      </c>
      <c r="U80" s="99" t="s">
        <v>635</v>
      </c>
      <c r="V80" s="99" t="s">
        <v>635</v>
      </c>
      <c r="W80" s="99">
        <v>19</v>
      </c>
      <c r="X80" s="99">
        <v>9</v>
      </c>
      <c r="Y80" s="99">
        <v>40</v>
      </c>
      <c r="Z80" s="99">
        <v>24</v>
      </c>
      <c r="AA80" s="99" t="s">
        <v>635</v>
      </c>
      <c r="AB80" s="99" t="s">
        <v>635</v>
      </c>
      <c r="AC80" s="99" t="s">
        <v>635</v>
      </c>
      <c r="AD80" s="98" t="s">
        <v>362</v>
      </c>
      <c r="AE80" s="100">
        <v>0.05815748841996912</v>
      </c>
      <c r="AF80" s="100">
        <v>0.31</v>
      </c>
      <c r="AG80" s="98">
        <v>180.13381369016983</v>
      </c>
      <c r="AH80" s="98" t="s">
        <v>635</v>
      </c>
      <c r="AI80" s="100">
        <v>0.01</v>
      </c>
      <c r="AJ80" s="100">
        <v>0.593886</v>
      </c>
      <c r="AK80" s="100">
        <v>0.564815</v>
      </c>
      <c r="AL80" s="100">
        <v>0.699893</v>
      </c>
      <c r="AM80" s="100">
        <v>0.298246</v>
      </c>
      <c r="AN80" s="100">
        <v>0.295455</v>
      </c>
      <c r="AO80" s="98">
        <v>720.5352547606793</v>
      </c>
      <c r="AP80" s="158">
        <v>0.6422814941</v>
      </c>
      <c r="AQ80" s="100" t="s">
        <v>635</v>
      </c>
      <c r="AR80" s="100" t="s">
        <v>635</v>
      </c>
      <c r="AS80" s="98">
        <v>205.8672156459084</v>
      </c>
      <c r="AT80" s="98" t="s">
        <v>635</v>
      </c>
      <c r="AU80" s="98" t="s">
        <v>635</v>
      </c>
      <c r="AV80" s="98" t="s">
        <v>635</v>
      </c>
      <c r="AW80" s="98">
        <v>488.93463715903243</v>
      </c>
      <c r="AX80" s="98">
        <v>231.60061760164695</v>
      </c>
      <c r="AY80" s="98">
        <v>1029.336078229542</v>
      </c>
      <c r="AZ80" s="98">
        <v>617.6016469377251</v>
      </c>
      <c r="BA80" s="100" t="s">
        <v>635</v>
      </c>
      <c r="BB80" s="100" t="s">
        <v>635</v>
      </c>
      <c r="BC80" s="100" t="s">
        <v>635</v>
      </c>
      <c r="BD80" s="158">
        <v>0.42679138180000004</v>
      </c>
      <c r="BE80" s="158">
        <v>0.9282756042</v>
      </c>
      <c r="BF80" s="162">
        <v>229</v>
      </c>
      <c r="BG80" s="162">
        <v>216</v>
      </c>
      <c r="BH80" s="162">
        <v>933</v>
      </c>
      <c r="BI80" s="162">
        <v>171</v>
      </c>
      <c r="BJ80" s="162">
        <v>88</v>
      </c>
      <c r="BK80" s="97"/>
      <c r="BL80" s="97"/>
      <c r="BM80" s="97"/>
      <c r="BN80" s="97"/>
    </row>
    <row r="81" spans="1:66" ht="12.75">
      <c r="A81" s="79" t="s">
        <v>568</v>
      </c>
      <c r="B81" s="79" t="s">
        <v>301</v>
      </c>
      <c r="C81" s="79" t="s">
        <v>107</v>
      </c>
      <c r="D81" s="99">
        <v>4326</v>
      </c>
      <c r="E81" s="99">
        <v>487</v>
      </c>
      <c r="F81" s="99" t="s">
        <v>383</v>
      </c>
      <c r="G81" s="99">
        <v>18</v>
      </c>
      <c r="H81" s="99">
        <v>12</v>
      </c>
      <c r="I81" s="99">
        <v>57</v>
      </c>
      <c r="J81" s="99">
        <v>318</v>
      </c>
      <c r="K81" s="99">
        <v>272</v>
      </c>
      <c r="L81" s="99">
        <v>828</v>
      </c>
      <c r="M81" s="99">
        <v>138</v>
      </c>
      <c r="N81" s="99">
        <v>75</v>
      </c>
      <c r="O81" s="99">
        <v>36</v>
      </c>
      <c r="P81" s="159">
        <v>36</v>
      </c>
      <c r="Q81" s="99" t="s">
        <v>635</v>
      </c>
      <c r="R81" s="99">
        <v>13</v>
      </c>
      <c r="S81" s="99">
        <v>9</v>
      </c>
      <c r="T81" s="99" t="s">
        <v>635</v>
      </c>
      <c r="U81" s="99" t="s">
        <v>635</v>
      </c>
      <c r="V81" s="99" t="s">
        <v>635</v>
      </c>
      <c r="W81" s="99">
        <v>24</v>
      </c>
      <c r="X81" s="99">
        <v>18</v>
      </c>
      <c r="Y81" s="99">
        <v>42</v>
      </c>
      <c r="Z81" s="99">
        <v>26</v>
      </c>
      <c r="AA81" s="99" t="s">
        <v>635</v>
      </c>
      <c r="AB81" s="99" t="s">
        <v>635</v>
      </c>
      <c r="AC81" s="99" t="s">
        <v>635</v>
      </c>
      <c r="AD81" s="98" t="s">
        <v>362</v>
      </c>
      <c r="AE81" s="100">
        <v>0.11257512713823394</v>
      </c>
      <c r="AF81" s="100">
        <v>0.25</v>
      </c>
      <c r="AG81" s="98">
        <v>416.08876560332874</v>
      </c>
      <c r="AH81" s="98">
        <v>277.39251040221916</v>
      </c>
      <c r="AI81" s="100">
        <v>0.013000000000000001</v>
      </c>
      <c r="AJ81" s="100">
        <v>0.727689</v>
      </c>
      <c r="AK81" s="100">
        <v>0.64455</v>
      </c>
      <c r="AL81" s="100">
        <v>0.736655</v>
      </c>
      <c r="AM81" s="100">
        <v>0.415663</v>
      </c>
      <c r="AN81" s="100">
        <v>0.414365</v>
      </c>
      <c r="AO81" s="98">
        <v>832.1775312066575</v>
      </c>
      <c r="AP81" s="158">
        <v>0.5228317261000001</v>
      </c>
      <c r="AQ81" s="100" t="s">
        <v>635</v>
      </c>
      <c r="AR81" s="100" t="s">
        <v>635</v>
      </c>
      <c r="AS81" s="98">
        <v>208.04438280166437</v>
      </c>
      <c r="AT81" s="98" t="s">
        <v>635</v>
      </c>
      <c r="AU81" s="98" t="s">
        <v>635</v>
      </c>
      <c r="AV81" s="98" t="s">
        <v>635</v>
      </c>
      <c r="AW81" s="98">
        <v>554.7850208044383</v>
      </c>
      <c r="AX81" s="98">
        <v>416.08876560332874</v>
      </c>
      <c r="AY81" s="98">
        <v>970.8737864077669</v>
      </c>
      <c r="AZ81" s="98">
        <v>601.0171058714748</v>
      </c>
      <c r="BA81" s="100" t="s">
        <v>635</v>
      </c>
      <c r="BB81" s="100" t="s">
        <v>635</v>
      </c>
      <c r="BC81" s="100" t="s">
        <v>635</v>
      </c>
      <c r="BD81" s="158">
        <v>0.3661849213</v>
      </c>
      <c r="BE81" s="158">
        <v>0.7238195038</v>
      </c>
      <c r="BF81" s="162">
        <v>437</v>
      </c>
      <c r="BG81" s="162">
        <v>422</v>
      </c>
      <c r="BH81" s="162">
        <v>1124</v>
      </c>
      <c r="BI81" s="162">
        <v>332</v>
      </c>
      <c r="BJ81" s="162">
        <v>181</v>
      </c>
      <c r="BK81" s="97"/>
      <c r="BL81" s="97"/>
      <c r="BM81" s="97"/>
      <c r="BN81" s="97"/>
    </row>
    <row r="82" spans="1:66" ht="12.75">
      <c r="A82" s="79" t="s">
        <v>598</v>
      </c>
      <c r="B82" s="79" t="s">
        <v>331</v>
      </c>
      <c r="C82" s="79" t="s">
        <v>107</v>
      </c>
      <c r="D82" s="99">
        <v>3291</v>
      </c>
      <c r="E82" s="99">
        <v>281</v>
      </c>
      <c r="F82" s="99" t="s">
        <v>382</v>
      </c>
      <c r="G82" s="99">
        <v>8</v>
      </c>
      <c r="H82" s="99" t="s">
        <v>635</v>
      </c>
      <c r="I82" s="99">
        <v>33</v>
      </c>
      <c r="J82" s="99">
        <v>92</v>
      </c>
      <c r="K82" s="99" t="s">
        <v>635</v>
      </c>
      <c r="L82" s="99">
        <v>522</v>
      </c>
      <c r="M82" s="99">
        <v>61</v>
      </c>
      <c r="N82" s="99">
        <v>30</v>
      </c>
      <c r="O82" s="99">
        <v>18</v>
      </c>
      <c r="P82" s="159">
        <v>18</v>
      </c>
      <c r="Q82" s="99" t="s">
        <v>635</v>
      </c>
      <c r="R82" s="99">
        <v>8</v>
      </c>
      <c r="S82" s="99">
        <v>11</v>
      </c>
      <c r="T82" s="99" t="s">
        <v>635</v>
      </c>
      <c r="U82" s="99" t="s">
        <v>635</v>
      </c>
      <c r="V82" s="99" t="s">
        <v>635</v>
      </c>
      <c r="W82" s="99">
        <v>6</v>
      </c>
      <c r="X82" s="99">
        <v>8</v>
      </c>
      <c r="Y82" s="99">
        <v>13</v>
      </c>
      <c r="Z82" s="99">
        <v>10</v>
      </c>
      <c r="AA82" s="99" t="s">
        <v>635</v>
      </c>
      <c r="AB82" s="99" t="s">
        <v>635</v>
      </c>
      <c r="AC82" s="99" t="s">
        <v>635</v>
      </c>
      <c r="AD82" s="98" t="s">
        <v>362</v>
      </c>
      <c r="AE82" s="100">
        <v>0.08538438164691584</v>
      </c>
      <c r="AF82" s="100">
        <v>0.22</v>
      </c>
      <c r="AG82" s="98">
        <v>243.08720753570344</v>
      </c>
      <c r="AH82" s="98" t="s">
        <v>635</v>
      </c>
      <c r="AI82" s="100">
        <v>0.01</v>
      </c>
      <c r="AJ82" s="100">
        <v>0.414414</v>
      </c>
      <c r="AK82" s="100" t="s">
        <v>635</v>
      </c>
      <c r="AL82" s="100">
        <v>0.587177</v>
      </c>
      <c r="AM82" s="100">
        <v>0.337017</v>
      </c>
      <c r="AN82" s="100">
        <v>0.32967</v>
      </c>
      <c r="AO82" s="98">
        <v>546.9462169553327</v>
      </c>
      <c r="AP82" s="158">
        <v>0.41028419489999995</v>
      </c>
      <c r="AQ82" s="100" t="s">
        <v>635</v>
      </c>
      <c r="AR82" s="100" t="s">
        <v>635</v>
      </c>
      <c r="AS82" s="98">
        <v>334.24491036159225</v>
      </c>
      <c r="AT82" s="98" t="s">
        <v>635</v>
      </c>
      <c r="AU82" s="98" t="s">
        <v>635</v>
      </c>
      <c r="AV82" s="98" t="s">
        <v>635</v>
      </c>
      <c r="AW82" s="98">
        <v>182.31540565177758</v>
      </c>
      <c r="AX82" s="98">
        <v>243.08720753570344</v>
      </c>
      <c r="AY82" s="98">
        <v>395.0167122455181</v>
      </c>
      <c r="AZ82" s="98">
        <v>303.8590094196293</v>
      </c>
      <c r="BA82" s="100" t="s">
        <v>635</v>
      </c>
      <c r="BB82" s="100" t="s">
        <v>635</v>
      </c>
      <c r="BC82" s="100" t="s">
        <v>635</v>
      </c>
      <c r="BD82" s="158">
        <v>0.2431604195</v>
      </c>
      <c r="BE82" s="158">
        <v>0.6484259032999999</v>
      </c>
      <c r="BF82" s="162">
        <v>222</v>
      </c>
      <c r="BG82" s="162" t="s">
        <v>635</v>
      </c>
      <c r="BH82" s="162">
        <v>889</v>
      </c>
      <c r="BI82" s="162">
        <v>181</v>
      </c>
      <c r="BJ82" s="162">
        <v>91</v>
      </c>
      <c r="BK82" s="97"/>
      <c r="BL82" s="97"/>
      <c r="BM82" s="97"/>
      <c r="BN82" s="97"/>
    </row>
    <row r="83" spans="1:66" ht="12.75">
      <c r="A83" s="79" t="s">
        <v>554</v>
      </c>
      <c r="B83" s="79" t="s">
        <v>288</v>
      </c>
      <c r="C83" s="79" t="s">
        <v>107</v>
      </c>
      <c r="D83" s="99">
        <v>6819</v>
      </c>
      <c r="E83" s="99">
        <v>721</v>
      </c>
      <c r="F83" s="99" t="s">
        <v>383</v>
      </c>
      <c r="G83" s="99">
        <v>16</v>
      </c>
      <c r="H83" s="99">
        <v>14</v>
      </c>
      <c r="I83" s="99">
        <v>63</v>
      </c>
      <c r="J83" s="99">
        <v>392</v>
      </c>
      <c r="K83" s="99">
        <v>286</v>
      </c>
      <c r="L83" s="99">
        <v>1406</v>
      </c>
      <c r="M83" s="99">
        <v>196</v>
      </c>
      <c r="N83" s="99">
        <v>118</v>
      </c>
      <c r="O83" s="99">
        <v>52</v>
      </c>
      <c r="P83" s="159">
        <v>52</v>
      </c>
      <c r="Q83" s="99" t="s">
        <v>635</v>
      </c>
      <c r="R83" s="99">
        <v>14</v>
      </c>
      <c r="S83" s="99">
        <v>19</v>
      </c>
      <c r="T83" s="99" t="s">
        <v>635</v>
      </c>
      <c r="U83" s="99" t="s">
        <v>635</v>
      </c>
      <c r="V83" s="99">
        <v>7</v>
      </c>
      <c r="W83" s="99">
        <v>40</v>
      </c>
      <c r="X83" s="99">
        <v>15</v>
      </c>
      <c r="Y83" s="99">
        <v>63</v>
      </c>
      <c r="Z83" s="99">
        <v>25</v>
      </c>
      <c r="AA83" s="99" t="s">
        <v>635</v>
      </c>
      <c r="AB83" s="99" t="s">
        <v>635</v>
      </c>
      <c r="AC83" s="99" t="s">
        <v>635</v>
      </c>
      <c r="AD83" s="98" t="s">
        <v>362</v>
      </c>
      <c r="AE83" s="100">
        <v>0.10573397858923596</v>
      </c>
      <c r="AF83" s="100">
        <v>0.25</v>
      </c>
      <c r="AG83" s="98">
        <v>234.6385100454612</v>
      </c>
      <c r="AH83" s="98">
        <v>205.30869628977857</v>
      </c>
      <c r="AI83" s="100">
        <v>0.009000000000000001</v>
      </c>
      <c r="AJ83" s="100">
        <v>0.711434</v>
      </c>
      <c r="AK83" s="100">
        <v>0.651481</v>
      </c>
      <c r="AL83" s="100">
        <v>0.81131</v>
      </c>
      <c r="AM83" s="100">
        <v>0.425163</v>
      </c>
      <c r="AN83" s="100">
        <v>0.455598</v>
      </c>
      <c r="AO83" s="98">
        <v>762.5751576477489</v>
      </c>
      <c r="AP83" s="158">
        <v>0.5262111664</v>
      </c>
      <c r="AQ83" s="100" t="s">
        <v>635</v>
      </c>
      <c r="AR83" s="100" t="s">
        <v>635</v>
      </c>
      <c r="AS83" s="98">
        <v>278.63323067898517</v>
      </c>
      <c r="AT83" s="98" t="s">
        <v>635</v>
      </c>
      <c r="AU83" s="98" t="s">
        <v>635</v>
      </c>
      <c r="AV83" s="98">
        <v>102.65434814488928</v>
      </c>
      <c r="AW83" s="98">
        <v>586.5962751136531</v>
      </c>
      <c r="AX83" s="98">
        <v>219.9736031676199</v>
      </c>
      <c r="AY83" s="98">
        <v>923.8891333040035</v>
      </c>
      <c r="AZ83" s="98">
        <v>366.62267194603317</v>
      </c>
      <c r="BA83" s="100" t="s">
        <v>635</v>
      </c>
      <c r="BB83" s="100" t="s">
        <v>635</v>
      </c>
      <c r="BC83" s="100" t="s">
        <v>635</v>
      </c>
      <c r="BD83" s="158">
        <v>0.3929996872</v>
      </c>
      <c r="BE83" s="158">
        <v>0.6900559235</v>
      </c>
      <c r="BF83" s="162">
        <v>551</v>
      </c>
      <c r="BG83" s="162">
        <v>439</v>
      </c>
      <c r="BH83" s="162">
        <v>1733</v>
      </c>
      <c r="BI83" s="162">
        <v>461</v>
      </c>
      <c r="BJ83" s="162">
        <v>259</v>
      </c>
      <c r="BK83" s="97"/>
      <c r="BL83" s="97"/>
      <c r="BM83" s="97"/>
      <c r="BN83" s="97"/>
    </row>
    <row r="84" spans="1:66" ht="12.75">
      <c r="A84" s="79" t="s">
        <v>108</v>
      </c>
      <c r="B84" s="94" t="s">
        <v>107</v>
      </c>
      <c r="C84" s="94" t="s">
        <v>7</v>
      </c>
      <c r="D84" s="99">
        <v>383154</v>
      </c>
      <c r="E84" s="99">
        <v>39130</v>
      </c>
      <c r="F84" s="99">
        <v>72912.82999999999</v>
      </c>
      <c r="G84" s="99">
        <v>975</v>
      </c>
      <c r="H84" s="99">
        <v>494</v>
      </c>
      <c r="I84" s="99">
        <v>4281</v>
      </c>
      <c r="J84" s="99">
        <v>21355</v>
      </c>
      <c r="K84" s="99">
        <v>8785</v>
      </c>
      <c r="L84" s="99">
        <v>70628</v>
      </c>
      <c r="M84" s="99">
        <v>11291</v>
      </c>
      <c r="N84" s="99">
        <v>6095</v>
      </c>
      <c r="O84" s="99">
        <v>3834</v>
      </c>
      <c r="P84" s="99">
        <v>3834</v>
      </c>
      <c r="Q84" s="99">
        <v>324</v>
      </c>
      <c r="R84" s="99">
        <v>1015</v>
      </c>
      <c r="S84" s="99">
        <v>1044</v>
      </c>
      <c r="T84" s="99">
        <v>691</v>
      </c>
      <c r="U84" s="99">
        <v>126</v>
      </c>
      <c r="V84" s="99">
        <v>270</v>
      </c>
      <c r="W84" s="99">
        <v>2032</v>
      </c>
      <c r="X84" s="99">
        <v>1137</v>
      </c>
      <c r="Y84" s="99">
        <v>3609</v>
      </c>
      <c r="Z84" s="99">
        <v>1624</v>
      </c>
      <c r="AA84" s="99">
        <v>0</v>
      </c>
      <c r="AB84" s="99">
        <v>0</v>
      </c>
      <c r="AC84" s="99">
        <v>0</v>
      </c>
      <c r="AD84" s="98">
        <v>0</v>
      </c>
      <c r="AE84" s="101">
        <v>0.10212603809434327</v>
      </c>
      <c r="AF84" s="101">
        <v>0.190296408232721</v>
      </c>
      <c r="AG84" s="98">
        <v>254.46687232809785</v>
      </c>
      <c r="AH84" s="98">
        <v>128.9298819795696</v>
      </c>
      <c r="AI84" s="101">
        <v>0.011173053132682942</v>
      </c>
      <c r="AJ84" s="101">
        <v>0.6240684999561648</v>
      </c>
      <c r="AK84" s="101">
        <v>0.6359490372086289</v>
      </c>
      <c r="AL84" s="101">
        <v>0.6611560964193774</v>
      </c>
      <c r="AM84" s="101">
        <v>0.41910099847815596</v>
      </c>
      <c r="AN84" s="101">
        <v>0.4377648495295554</v>
      </c>
      <c r="AO84" s="98">
        <v>1000.6420394932586</v>
      </c>
      <c r="AP84" s="98">
        <v>0</v>
      </c>
      <c r="AQ84" s="101">
        <v>0.08450704225352113</v>
      </c>
      <c r="AR84" s="101">
        <v>0.3192118226600985</v>
      </c>
      <c r="AS84" s="98">
        <v>272.4752971390094</v>
      </c>
      <c r="AT84" s="98">
        <v>180.34523977304164</v>
      </c>
      <c r="AU84" s="98">
        <v>32.88494965470803</v>
      </c>
      <c r="AV84" s="98">
        <v>70.46774926008864</v>
      </c>
      <c r="AW84" s="98">
        <v>530.3350610981486</v>
      </c>
      <c r="AX84" s="98">
        <v>296.747521884151</v>
      </c>
      <c r="AY84" s="98">
        <v>941.9189151098514</v>
      </c>
      <c r="AZ84" s="98">
        <v>423.8504622162368</v>
      </c>
      <c r="BA84" s="101">
        <v>0</v>
      </c>
      <c r="BB84" s="101">
        <v>0</v>
      </c>
      <c r="BC84" s="101">
        <v>0</v>
      </c>
      <c r="BD84" s="98">
        <v>0</v>
      </c>
      <c r="BE84" s="98">
        <v>0</v>
      </c>
      <c r="BF84" s="99">
        <v>34219</v>
      </c>
      <c r="BG84" s="99">
        <v>13814</v>
      </c>
      <c r="BH84" s="99">
        <v>106825</v>
      </c>
      <c r="BI84" s="99">
        <v>26941</v>
      </c>
      <c r="BJ84" s="99">
        <v>13923</v>
      </c>
      <c r="BK84" s="97"/>
      <c r="BL84" s="97"/>
      <c r="BM84" s="97"/>
      <c r="BN84" s="97"/>
    </row>
    <row r="85" spans="1:66" ht="12.75">
      <c r="A85" s="79" t="s">
        <v>24</v>
      </c>
      <c r="B85" s="94" t="s">
        <v>7</v>
      </c>
      <c r="C85" s="94" t="s">
        <v>7</v>
      </c>
      <c r="D85" s="99">
        <v>54615830</v>
      </c>
      <c r="E85" s="99">
        <v>8737890</v>
      </c>
      <c r="F85" s="99">
        <v>8198344.169999988</v>
      </c>
      <c r="G85" s="99">
        <v>243379</v>
      </c>
      <c r="H85" s="99">
        <v>127868</v>
      </c>
      <c r="I85" s="99">
        <v>870616</v>
      </c>
      <c r="J85" s="99">
        <v>4592627</v>
      </c>
      <c r="K85" s="99">
        <v>1679592</v>
      </c>
      <c r="L85" s="99">
        <v>10150944</v>
      </c>
      <c r="M85" s="99">
        <v>2959539</v>
      </c>
      <c r="N85" s="99">
        <v>1629320</v>
      </c>
      <c r="O85" s="99">
        <v>989730</v>
      </c>
      <c r="P85" s="99">
        <v>989730</v>
      </c>
      <c r="Q85" s="99">
        <v>108072</v>
      </c>
      <c r="R85" s="99">
        <v>238330</v>
      </c>
      <c r="S85" s="99">
        <v>206300</v>
      </c>
      <c r="T85" s="99">
        <v>154264</v>
      </c>
      <c r="U85" s="99">
        <v>38486</v>
      </c>
      <c r="V85" s="99">
        <v>176535</v>
      </c>
      <c r="W85" s="99">
        <v>307276</v>
      </c>
      <c r="X85" s="99">
        <v>221506</v>
      </c>
      <c r="Y85" s="99">
        <v>578574</v>
      </c>
      <c r="Z85" s="99">
        <v>318377</v>
      </c>
      <c r="AA85" s="99">
        <v>0</v>
      </c>
      <c r="AB85" s="99">
        <v>0</v>
      </c>
      <c r="AC85" s="99">
        <v>0</v>
      </c>
      <c r="AD85" s="98">
        <v>0</v>
      </c>
      <c r="AE85" s="101">
        <v>0.1599882305185145</v>
      </c>
      <c r="AF85" s="101">
        <v>0.15010930292554353</v>
      </c>
      <c r="AG85" s="98">
        <v>445.6198871279627</v>
      </c>
      <c r="AH85" s="98">
        <v>234.12259778895606</v>
      </c>
      <c r="AI85" s="101">
        <v>0.015940726342527432</v>
      </c>
      <c r="AJ85" s="101">
        <v>0.7248631360507991</v>
      </c>
      <c r="AK85" s="101">
        <v>0.7467412166569077</v>
      </c>
      <c r="AL85" s="101">
        <v>0.7559681673907895</v>
      </c>
      <c r="AM85" s="101">
        <v>0.5147293797466616</v>
      </c>
      <c r="AN85" s="101">
        <v>0.5752927626212945</v>
      </c>
      <c r="AO85" s="98">
        <v>1812.1669120472948</v>
      </c>
      <c r="AP85" s="98">
        <v>1</v>
      </c>
      <c r="AQ85" s="101">
        <v>0.10919341638628717</v>
      </c>
      <c r="AR85" s="101">
        <v>0.4534552930810221</v>
      </c>
      <c r="AS85" s="98">
        <v>377.7293140102421</v>
      </c>
      <c r="AT85" s="98">
        <v>282.45290788403287</v>
      </c>
      <c r="AU85" s="98">
        <v>70.46674929228394</v>
      </c>
      <c r="AV85" s="98">
        <v>323.23046266988894</v>
      </c>
      <c r="AW85" s="98">
        <v>562.6134400960308</v>
      </c>
      <c r="AX85" s="98">
        <v>405.57105879375996</v>
      </c>
      <c r="AY85" s="98">
        <v>1059.3522061277838</v>
      </c>
      <c r="AZ85" s="98">
        <v>582.9390489900089</v>
      </c>
      <c r="BA85" s="101">
        <v>0</v>
      </c>
      <c r="BB85" s="101">
        <v>0</v>
      </c>
      <c r="BC85" s="101">
        <v>0</v>
      </c>
      <c r="BD85" s="98">
        <v>0</v>
      </c>
      <c r="BE85" s="98">
        <v>0</v>
      </c>
      <c r="BF85" s="99">
        <v>6335854</v>
      </c>
      <c r="BG85" s="99">
        <v>2249229</v>
      </c>
      <c r="BH85" s="99">
        <v>13427740</v>
      </c>
      <c r="BI85" s="99">
        <v>5749699</v>
      </c>
      <c r="BJ85" s="99">
        <v>2832158</v>
      </c>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367</v>
      </c>
      <c r="O4" s="75" t="s">
        <v>366</v>
      </c>
      <c r="P4" s="75" t="s">
        <v>494</v>
      </c>
      <c r="Q4" s="75" t="s">
        <v>495</v>
      </c>
      <c r="R4" s="75" t="s">
        <v>496</v>
      </c>
      <c r="S4" s="75" t="s">
        <v>497</v>
      </c>
      <c r="T4" s="39" t="s">
        <v>278</v>
      </c>
      <c r="U4" s="40" t="s">
        <v>279</v>
      </c>
      <c r="V4" s="41" t="s">
        <v>7</v>
      </c>
      <c r="W4" s="24" t="s">
        <v>2</v>
      </c>
      <c r="X4" s="24" t="s">
        <v>3</v>
      </c>
      <c r="Y4" s="75" t="s">
        <v>639</v>
      </c>
      <c r="Z4" s="75" t="s">
        <v>638</v>
      </c>
      <c r="AA4" s="26" t="s">
        <v>280</v>
      </c>
      <c r="AB4" s="24" t="s">
        <v>5</v>
      </c>
      <c r="AC4" s="75" t="s">
        <v>35</v>
      </c>
      <c r="AD4" s="24" t="s">
        <v>6</v>
      </c>
      <c r="AE4" s="24" t="s">
        <v>281</v>
      </c>
      <c r="AF4" s="24" t="s">
        <v>16</v>
      </c>
      <c r="AG4" s="24" t="s">
        <v>15</v>
      </c>
      <c r="AH4" s="24" t="s">
        <v>14</v>
      </c>
      <c r="AI4" s="25" t="s">
        <v>30</v>
      </c>
      <c r="AJ4" s="47" t="s">
        <v>10</v>
      </c>
      <c r="AK4" s="26" t="s">
        <v>21</v>
      </c>
      <c r="AL4" s="25" t="s">
        <v>22</v>
      </c>
      <c r="AQ4" s="102" t="s">
        <v>409</v>
      </c>
      <c r="AR4" s="102" t="s">
        <v>411</v>
      </c>
      <c r="AS4" s="102" t="s">
        <v>410</v>
      </c>
      <c r="AY4" s="102" t="s">
        <v>491</v>
      </c>
      <c r="AZ4" s="102" t="s">
        <v>492</v>
      </c>
      <c r="BA4" s="102" t="s">
        <v>493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432</v>
      </c>
      <c r="BA5" s="103" t="s">
        <v>362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417</v>
      </c>
      <c r="BA6" s="103" t="s">
        <v>362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66</v>
      </c>
      <c r="E7" s="38">
        <f>IF(LEFT(VLOOKUP($B7,'Indicator chart'!$D$1:$J$36,5,FALSE),1)=" "," ",VLOOKUP($B7,'Indicator chart'!$D$1:$J$36,5,FALSE))</f>
        <v>0.0637065637065637</v>
      </c>
      <c r="F7" s="38">
        <f>IF(LEFT(VLOOKUP($B7,'Indicator chart'!$D$1:$J$36,6,FALSE),1)=" "," ",VLOOKUP($B7,'Indicator chart'!$D$1:$J$36,6,FALSE))</f>
        <v>0.05038648834118081</v>
      </c>
      <c r="G7" s="38">
        <f>IF(LEFT(VLOOKUP($B7,'Indicator chart'!$D$1:$J$36,7,FALSE),1)=" "," ",VLOOKUP($B7,'Indicator chart'!$D$1:$J$36,7,FALSE))</f>
        <v>0.08025033172833747</v>
      </c>
      <c r="H7" s="50">
        <f aca="true" t="shared" si="0" ref="H7:H31">IF(LEFT(F7,1)=" ",4,IF(AND(ABS(N7-E7)&gt;SQRT((E7-G7)^2+(N7-R7)^2),E7&lt;N7),1,IF(AND(ABS(N7-E7)&gt;SQRT((E7-F7)^2+(N7-S7)^2),E7&gt;N7),3,2)))</f>
        <v>1</v>
      </c>
      <c r="I7" s="38">
        <v>0.025889968499541283</v>
      </c>
      <c r="J7" s="38">
        <v>0.08486337959766388</v>
      </c>
      <c r="K7" s="38">
        <v>0.10264120250940323</v>
      </c>
      <c r="L7" s="38">
        <v>0.12126380950212479</v>
      </c>
      <c r="M7" s="38">
        <v>0.20333333313465118</v>
      </c>
      <c r="N7" s="80">
        <f>VLOOKUP('Hide - Control'!B$3,'All practice data'!A:CA,A7+29,FALSE)</f>
        <v>0.10212603809434327</v>
      </c>
      <c r="O7" s="80">
        <f>VLOOKUP('Hide - Control'!C$3,'All practice data'!A:CA,A7+29,FALSE)</f>
        <v>0.1599882305185145</v>
      </c>
      <c r="P7" s="38">
        <f>VLOOKUP('Hide - Control'!$B$4,'All practice data'!B:BC,A7+2,FALSE)</f>
        <v>39130</v>
      </c>
      <c r="Q7" s="38">
        <f>VLOOKUP('Hide - Control'!$B$4,'All practice data'!B:BC,3,FALSE)</f>
        <v>383154</v>
      </c>
      <c r="R7" s="38">
        <f>+((2*P7+1.96^2-1.96*SQRT(1.96^2+4*P7*(1-P7/Q7)))/(2*(Q7+1.96^2)))</f>
        <v>0.10117118556615959</v>
      </c>
      <c r="S7" s="38">
        <f>+((2*P7+1.96^2+1.96*SQRT(1.96^2+4*P7*(1-P7/Q7)))/(2*(Q7+1.96^2)))</f>
        <v>0.10308886891474028</v>
      </c>
      <c r="T7" s="53">
        <f>IF($C7=1,M7,I7)</f>
        <v>0.20333333313465118</v>
      </c>
      <c r="U7" s="51">
        <f aca="true" t="shared" si="1" ref="U7:U15">IF($C7=1,I7,M7)</f>
        <v>0.025889968499541283</v>
      </c>
      <c r="V7" s="7">
        <v>1</v>
      </c>
      <c r="W7" s="27">
        <f aca="true" t="shared" si="2" ref="W7:W31">IF((K7-I7)&gt;(M7-K7),I7,(K7-(M7-K7)))</f>
        <v>0.0019490718841552734</v>
      </c>
      <c r="X7" s="27">
        <f aca="true" t="shared" si="3" ref="X7:X31">IF(W7=I7,K7+(K7-I7),M7)</f>
        <v>0.20333333313465118</v>
      </c>
      <c r="Y7" s="27">
        <f aca="true" t="shared" si="4" ref="Y7:Y31">IF(C7=1,W7,X7)</f>
        <v>0.0019490718841552734</v>
      </c>
      <c r="Z7" s="27">
        <f aca="true" t="shared" si="5" ref="Z7:Z31">IF(C7=1,X7,W7)</f>
        <v>0.20333333313465118</v>
      </c>
      <c r="AA7" s="32">
        <f aca="true" t="shared" si="6" ref="AA7:AA31">IF(ISERROR(IF(C7=1,(I7-$Y7)/($Z7-$Y7),(U7-$Y7)/($Z7-$Y7))),"",IF(C7=1,(I7-$Y7)/($Z7-$Y7),(U7-$Y7)/($Z7-$Y7)))</f>
        <v>0.11888166665421107</v>
      </c>
      <c r="AB7" s="33">
        <f aca="true" t="shared" si="7" ref="AB7:AB31">IF(ISERROR(IF(C7=1,(J7-$Y7)/($Z7-$Y7),(L7-$Y7)/($Z7-$Y7))),"",IF(C7=1,(J7-$Y7)/($Z7-$Y7),(L7-$Y7)/($Z7-$Y7)))</f>
        <v>0.4117218853084748</v>
      </c>
      <c r="AC7" s="33">
        <v>0.5</v>
      </c>
      <c r="AD7" s="33">
        <f aca="true" t="shared" si="8" ref="AD7:AD31">IF(ISERROR(IF(C7=1,(L7-$Y7)/($Z7-$Y7),(J7-$Y7)/($Z7-$Y7))),"",IF(C7=1,(L7-$Y7)/($Z7-$Y7),(J7-$Y7)/($Z7-$Y7)))</f>
        <v>0.5924730010035761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0.30666493716502563</v>
      </c>
      <c r="AI7" s="34">
        <f aca="true" t="shared" si="13" ref="AI7:AI31">IF(ISERROR((O7-$Y7)/($Z7-$Y7)),-999,(O7-$Y7)/($Z7-$Y7))</f>
        <v>0.7847641998089364</v>
      </c>
      <c r="AJ7" s="4">
        <v>2.7020512924389086</v>
      </c>
      <c r="AK7" s="32">
        <f aca="true" t="shared" si="14" ref="AK7:AK31">IF(H7=1,(E7-$Y7)/($Z7-$Y7),-999)</f>
        <v>0.30666493716502563</v>
      </c>
      <c r="AL7" s="34">
        <f aca="true" t="shared" si="15" ref="AL7:AL31">IF(H7=3,(E7-$Y7)/($Z7-$Y7),-999)</f>
        <v>-999</v>
      </c>
      <c r="AQ7" s="103">
        <v>2</v>
      </c>
      <c r="AR7" s="103">
        <v>0.2422</v>
      </c>
      <c r="AS7" s="103">
        <v>7.2247</v>
      </c>
      <c r="AY7" s="103" t="s">
        <v>68</v>
      </c>
      <c r="AZ7" s="103" t="s">
        <v>416</v>
      </c>
      <c r="BA7" s="103" t="s">
        <v>362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0.1578007573383675</v>
      </c>
      <c r="G8" s="38">
        <f>IF(LEFT(VLOOKUP($B8,'Indicator chart'!$D$1:$J$36,7,FALSE),1)=" "," ",VLOOKUP($B8,'Indicator chart'!$D$1:$J$36,7,FALSE))</f>
        <v>0.20456366431970047</v>
      </c>
      <c r="H8" s="50">
        <f t="shared" si="0"/>
        <v>2</v>
      </c>
      <c r="I8" s="38">
        <v>0.07999999821186066</v>
      </c>
      <c r="J8" s="38">
        <v>0.1599999964237213</v>
      </c>
      <c r="K8" s="38">
        <v>0.20999999344348907</v>
      </c>
      <c r="L8" s="38">
        <v>0.23999999463558197</v>
      </c>
      <c r="M8" s="38">
        <v>0.3100000023841858</v>
      </c>
      <c r="N8" s="80">
        <f>VLOOKUP('Hide - Control'!B$3,'All practice data'!A:CA,A8+29,FALSE)</f>
        <v>0.190296408232721</v>
      </c>
      <c r="O8" s="80">
        <f>VLOOKUP('Hide - Control'!C$3,'All practice data'!A:CA,A8+29,FALSE)</f>
        <v>0.15010930292554353</v>
      </c>
      <c r="P8" s="38">
        <f>VLOOKUP('Hide - Control'!$B$4,'All practice data'!B:BC,A8+2,FALSE)</f>
        <v>72912.82999999999</v>
      </c>
      <c r="Q8" s="38">
        <f>VLOOKUP('Hide - Control'!$B$4,'All practice data'!B:BC,3,FALSE)</f>
        <v>383154</v>
      </c>
      <c r="R8" s="38">
        <f>+((2*P8+1.96^2-1.96*SQRT(1.96^2+4*P8*(1-P8/Q8)))/(2*(Q8+1.96^2)))</f>
        <v>0.18905658272348702</v>
      </c>
      <c r="S8" s="38">
        <f>+((2*P8+1.96^2+1.96*SQRT(1.96^2+4*P8*(1-P8/Q8)))/(2*(Q8+1.96^2)))</f>
        <v>0.19154244401453183</v>
      </c>
      <c r="T8" s="53">
        <f aca="true" t="shared" si="16" ref="T8:T15">IF($C8=1,M8,I8)</f>
        <v>0.3100000023841858</v>
      </c>
      <c r="U8" s="51">
        <f t="shared" si="1"/>
        <v>0.07999999821186066</v>
      </c>
      <c r="V8" s="7"/>
      <c r="W8" s="27">
        <f t="shared" si="2"/>
        <v>0.07999999821186066</v>
      </c>
      <c r="X8" s="27">
        <f t="shared" si="3"/>
        <v>0.3399999886751175</v>
      </c>
      <c r="Y8" s="27">
        <f t="shared" si="4"/>
        <v>0.07999999821186066</v>
      </c>
      <c r="Z8" s="27">
        <f t="shared" si="5"/>
        <v>0.3399999886751175</v>
      </c>
      <c r="AA8" s="32">
        <f t="shared" si="6"/>
        <v>0</v>
      </c>
      <c r="AB8" s="33">
        <f t="shared" si="7"/>
        <v>0.30769231210093545</v>
      </c>
      <c r="AC8" s="33">
        <v>0.5</v>
      </c>
      <c r="AD8" s="33">
        <f t="shared" si="8"/>
        <v>0.6153846242018709</v>
      </c>
      <c r="AE8" s="33">
        <f t="shared" si="9"/>
        <v>0.8846154331102897</v>
      </c>
      <c r="AF8" s="33">
        <f t="shared" si="10"/>
        <v>-999</v>
      </c>
      <c r="AG8" s="33">
        <f t="shared" si="11"/>
        <v>0.3846154056004526</v>
      </c>
      <c r="AH8" s="33">
        <f t="shared" si="12"/>
        <v>-999</v>
      </c>
      <c r="AI8" s="34">
        <f t="shared" si="13"/>
        <v>0.26965118186644976</v>
      </c>
      <c r="AJ8" s="4">
        <v>3.778046717820832</v>
      </c>
      <c r="AK8" s="32">
        <f t="shared" si="14"/>
        <v>-999</v>
      </c>
      <c r="AL8" s="34">
        <f t="shared" si="15"/>
        <v>-999</v>
      </c>
      <c r="AQ8" s="103">
        <v>3</v>
      </c>
      <c r="AR8" s="103">
        <v>0.6187</v>
      </c>
      <c r="AS8" s="103">
        <v>8.7673</v>
      </c>
      <c r="AY8" s="103" t="s">
        <v>118</v>
      </c>
      <c r="AZ8" s="103" t="s">
        <v>119</v>
      </c>
      <c r="BA8" s="103" t="s">
        <v>362</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179.79110717773438</v>
      </c>
      <c r="K9" s="38">
        <v>276.6916809082031</v>
      </c>
      <c r="L9" s="38">
        <v>340.1531677246094</v>
      </c>
      <c r="M9" s="38">
        <v>657.4141845703125</v>
      </c>
      <c r="N9" s="80">
        <f>VLOOKUP('Hide - Control'!B$3,'All practice data'!A:CA,A9+29,FALSE)</f>
        <v>254.46687232809785</v>
      </c>
      <c r="O9" s="80">
        <f>VLOOKUP('Hide - Control'!C$3,'All practice data'!A:CA,A9+29,FALSE)</f>
        <v>445.6198871279627</v>
      </c>
      <c r="P9" s="38">
        <f>VLOOKUP('Hide - Control'!$B$4,'All practice data'!B:BC,A9+2,FALSE)</f>
        <v>975</v>
      </c>
      <c r="Q9" s="38">
        <f>VLOOKUP('Hide - Control'!$B$4,'All practice data'!B:BC,3,FALSE)</f>
        <v>383154</v>
      </c>
      <c r="R9" s="38">
        <f>100000*(P9*(1-1/(9*P9)-1.96/(3*SQRT(P9)))^3)/Q9</f>
        <v>238.74241917756484</v>
      </c>
      <c r="S9" s="38">
        <f>100000*((P9+1)*(1-1/(9*(P9+1))+1.96/(3*SQRT(P9+1)))^3)/Q9</f>
        <v>270.954873260087</v>
      </c>
      <c r="T9" s="53">
        <f t="shared" si="16"/>
        <v>657.4141845703125</v>
      </c>
      <c r="U9" s="51">
        <f t="shared" si="1"/>
        <v>92.60600280761719</v>
      </c>
      <c r="V9" s="7"/>
      <c r="W9" s="27">
        <f t="shared" si="2"/>
        <v>-104.03082275390625</v>
      </c>
      <c r="X9" s="27">
        <f t="shared" si="3"/>
        <v>657.4141845703125</v>
      </c>
      <c r="Y9" s="27">
        <f t="shared" si="4"/>
        <v>-104.03082275390625</v>
      </c>
      <c r="Z9" s="27">
        <f t="shared" si="5"/>
        <v>657.4141845703125</v>
      </c>
      <c r="AA9" s="32">
        <f t="shared" si="6"/>
        <v>0.2582416637709946</v>
      </c>
      <c r="AB9" s="33">
        <f t="shared" si="7"/>
        <v>0.37274120547328105</v>
      </c>
      <c r="AC9" s="33">
        <v>0.5</v>
      </c>
      <c r="AD9" s="33">
        <f t="shared" si="8"/>
        <v>0.5833434932345478</v>
      </c>
      <c r="AE9" s="33">
        <f t="shared" si="9"/>
        <v>1</v>
      </c>
      <c r="AF9" s="33">
        <f t="shared" si="10"/>
        <v>-999</v>
      </c>
      <c r="AG9" s="33">
        <f t="shared" si="11"/>
        <v>-999</v>
      </c>
      <c r="AH9" s="33">
        <f t="shared" si="12"/>
        <v>-999</v>
      </c>
      <c r="AI9" s="34">
        <f t="shared" si="13"/>
        <v>0.721852142432961</v>
      </c>
      <c r="AJ9" s="4">
        <v>4.854042143202755</v>
      </c>
      <c r="AK9" s="32">
        <f t="shared" si="14"/>
        <v>-999</v>
      </c>
      <c r="AL9" s="34">
        <f t="shared" si="15"/>
        <v>-999</v>
      </c>
      <c r="AQ9" s="103">
        <v>4</v>
      </c>
      <c r="AR9" s="103">
        <v>1.0899</v>
      </c>
      <c r="AS9" s="103">
        <v>10.2416</v>
      </c>
      <c r="AY9" s="103" t="s">
        <v>90</v>
      </c>
      <c r="AZ9" s="103" t="s">
        <v>426</v>
      </c>
      <c r="BA9" s="103" t="s">
        <v>362</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71.11140441894531</v>
      </c>
      <c r="K10" s="38">
        <v>116.69501495361328</v>
      </c>
      <c r="L10" s="38">
        <v>195.3363494873047</v>
      </c>
      <c r="M10" s="38">
        <v>436.3001708984375</v>
      </c>
      <c r="N10" s="80">
        <f>VLOOKUP('Hide - Control'!B$3,'All practice data'!A:CA,A10+29,FALSE)</f>
        <v>128.9298819795696</v>
      </c>
      <c r="O10" s="80">
        <f>VLOOKUP('Hide - Control'!C$3,'All practice data'!A:CA,A10+29,FALSE)</f>
        <v>234.12259778895606</v>
      </c>
      <c r="P10" s="38">
        <f>VLOOKUP('Hide - Control'!$B$4,'All practice data'!B:BC,A10+2,FALSE)</f>
        <v>494</v>
      </c>
      <c r="Q10" s="38">
        <f>VLOOKUP('Hide - Control'!$B$4,'All practice data'!B:BC,3,FALSE)</f>
        <v>383154</v>
      </c>
      <c r="R10" s="38">
        <f>100000*(P10*(1-1/(9*P10)-1.96/(3*SQRT(P10)))^3)/Q10</f>
        <v>117.80925089492052</v>
      </c>
      <c r="S10" s="38">
        <f>100000*((P10+1)*(1-1/(9*(P10+1))+1.96/(3*SQRT(P10+1)))^3)/Q10</f>
        <v>140.8173199980239</v>
      </c>
      <c r="T10" s="53">
        <f t="shared" si="16"/>
        <v>436.3001708984375</v>
      </c>
      <c r="U10" s="51">
        <f t="shared" si="1"/>
        <v>44.173431396484375</v>
      </c>
      <c r="V10" s="7"/>
      <c r="W10" s="27">
        <f t="shared" si="2"/>
        <v>-202.91014099121094</v>
      </c>
      <c r="X10" s="27">
        <f t="shared" si="3"/>
        <v>436.3001708984375</v>
      </c>
      <c r="Y10" s="27">
        <f t="shared" si="4"/>
        <v>-202.91014099121094</v>
      </c>
      <c r="Z10" s="27">
        <f t="shared" si="5"/>
        <v>436.3001708984375</v>
      </c>
      <c r="AA10" s="32">
        <f t="shared" si="6"/>
        <v>0.38654503500930876</v>
      </c>
      <c r="AB10" s="33">
        <f t="shared" si="7"/>
        <v>0.428687617069392</v>
      </c>
      <c r="AC10" s="33">
        <v>0.5</v>
      </c>
      <c r="AD10" s="33">
        <f t="shared" si="8"/>
        <v>0.6230288890384293</v>
      </c>
      <c r="AE10" s="33">
        <f t="shared" si="9"/>
        <v>1</v>
      </c>
      <c r="AF10" s="33">
        <f t="shared" si="10"/>
        <v>-999</v>
      </c>
      <c r="AG10" s="33">
        <f t="shared" si="11"/>
        <v>-999</v>
      </c>
      <c r="AH10" s="33">
        <f t="shared" si="12"/>
        <v>-999</v>
      </c>
      <c r="AI10" s="34">
        <f t="shared" si="13"/>
        <v>0.6837072723188721</v>
      </c>
      <c r="AJ10" s="4">
        <v>5.930037568584676</v>
      </c>
      <c r="AK10" s="32">
        <f t="shared" si="14"/>
        <v>-999</v>
      </c>
      <c r="AL10" s="34">
        <f t="shared" si="15"/>
        <v>-999</v>
      </c>
      <c r="AY10" s="103" t="s">
        <v>96</v>
      </c>
      <c r="AZ10" s="103" t="s">
        <v>97</v>
      </c>
      <c r="BA10" s="103" t="s">
        <v>543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12</v>
      </c>
      <c r="E11" s="38">
        <f>IF(LEFT(VLOOKUP($B11,'Indicator chart'!$D$1:$J$36,5,FALSE),1)=" "," ",VLOOKUP($B11,'Indicator chart'!$D$1:$J$36,5,FALSE))</f>
        <v>0.012</v>
      </c>
      <c r="F11" s="38">
        <f>IF(LEFT(VLOOKUP($B11,'Indicator chart'!$D$1:$J$36,6,FALSE),1)=" "," ",VLOOKUP($B11,'Indicator chart'!$D$1:$J$36,6,FALSE))</f>
        <v>0.006638155620688819</v>
      </c>
      <c r="G11" s="38">
        <f>IF(LEFT(VLOOKUP($B11,'Indicator chart'!$D$1:$J$36,7,FALSE),1)=" "," ",VLOOKUP($B11,'Indicator chart'!$D$1:$J$36,7,FALSE))</f>
        <v>0.020136691625276336</v>
      </c>
      <c r="H11" s="50">
        <f t="shared" si="0"/>
        <v>2</v>
      </c>
      <c r="I11" s="38">
        <v>0.0010000000474974513</v>
      </c>
      <c r="J11" s="38">
        <v>0.00800000037997961</v>
      </c>
      <c r="K11" s="38">
        <v>0.012000000104308128</v>
      </c>
      <c r="L11" s="38">
        <v>0.013000000268220901</v>
      </c>
      <c r="M11" s="38">
        <v>0.023000000044703484</v>
      </c>
      <c r="N11" s="80">
        <f>VLOOKUP('Hide - Control'!B$3,'All practice data'!A:CA,A11+29,FALSE)</f>
        <v>0.011173053132682942</v>
      </c>
      <c r="O11" s="80">
        <f>VLOOKUP('Hide - Control'!C$3,'All practice data'!A:CA,A11+29,FALSE)</f>
        <v>0.015940726342527432</v>
      </c>
      <c r="P11" s="38">
        <f>VLOOKUP('Hide - Control'!$B$4,'All practice data'!B:BC,A11+2,FALSE)</f>
        <v>4281</v>
      </c>
      <c r="Q11" s="38">
        <f>VLOOKUP('Hide - Control'!$B$4,'All practice data'!B:BC,3,FALSE)</f>
        <v>383154</v>
      </c>
      <c r="R11" s="80">
        <f aca="true" t="shared" si="17" ref="R11:R16">+((2*P11+1.96^2-1.96*SQRT(1.96^2+4*P11*(1-P11/Q11)))/(2*(Q11+1.96^2)))</f>
        <v>0.010845095134472611</v>
      </c>
      <c r="S11" s="80">
        <f aca="true" t="shared" si="18" ref="S11:S16">+((2*P11+1.96^2+1.96*SQRT(1.96^2+4*P11*(1-P11/Q11)))/(2*(Q11+1.96^2)))</f>
        <v>0.011510813240599518</v>
      </c>
      <c r="T11" s="53">
        <f t="shared" si="16"/>
        <v>0.023000000044703484</v>
      </c>
      <c r="U11" s="51">
        <f t="shared" si="1"/>
        <v>0.0010000000474974513</v>
      </c>
      <c r="V11" s="7"/>
      <c r="W11" s="27">
        <f t="shared" si="2"/>
        <v>0.0010000000474974513</v>
      </c>
      <c r="X11" s="27">
        <f t="shared" si="3"/>
        <v>0.023000000161118805</v>
      </c>
      <c r="Y11" s="27">
        <f t="shared" si="4"/>
        <v>0.0010000000474974513</v>
      </c>
      <c r="Z11" s="27">
        <f t="shared" si="5"/>
        <v>0.023000000161118805</v>
      </c>
      <c r="AA11" s="32">
        <f t="shared" si="6"/>
        <v>0</v>
      </c>
      <c r="AB11" s="33">
        <f t="shared" si="7"/>
        <v>0.3181818316513595</v>
      </c>
      <c r="AC11" s="33">
        <v>0.5</v>
      </c>
      <c r="AD11" s="33">
        <f t="shared" si="8"/>
        <v>0.5454545526703711</v>
      </c>
      <c r="AE11" s="33">
        <f t="shared" si="9"/>
        <v>0.9999999947083945</v>
      </c>
      <c r="AF11" s="33">
        <f t="shared" si="10"/>
        <v>-999</v>
      </c>
      <c r="AG11" s="33">
        <f t="shared" si="11"/>
        <v>0.49999999525872146</v>
      </c>
      <c r="AH11" s="33">
        <f t="shared" si="12"/>
        <v>-999</v>
      </c>
      <c r="AI11" s="34">
        <f t="shared" si="13"/>
        <v>0.6791239189939546</v>
      </c>
      <c r="AJ11" s="4">
        <v>7.0060329939666</v>
      </c>
      <c r="AK11" s="32">
        <f t="shared" si="14"/>
        <v>-999</v>
      </c>
      <c r="AL11" s="34">
        <f t="shared" si="15"/>
        <v>-999</v>
      </c>
      <c r="AY11" s="103" t="s">
        <v>214</v>
      </c>
      <c r="AZ11" s="103" t="s">
        <v>215</v>
      </c>
      <c r="BA11" s="103" t="s">
        <v>543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41</v>
      </c>
      <c r="E12" s="38">
        <f>IF(LEFT(VLOOKUP($B12,'Indicator chart'!$D$1:$J$36,5,FALSE),1)=" "," ",VLOOKUP($B12,'Indicator chart'!$D$1:$J$36,5,FALSE))</f>
        <v>0.5125</v>
      </c>
      <c r="F12" s="38">
        <f>IF(LEFT(VLOOKUP($B12,'Indicator chart'!$D$1:$J$36,6,FALSE),1)=" "," ",VLOOKUP($B12,'Indicator chart'!$D$1:$J$36,6,FALSE))</f>
        <v>0.40493144603706893</v>
      </c>
      <c r="G12" s="38">
        <f>IF(LEFT(VLOOKUP($B12,'Indicator chart'!$D$1:$J$36,7,FALSE),1)=" "," ",VLOOKUP($B12,'Indicator chart'!$D$1:$J$36,7,FALSE))</f>
        <v>0.6189230605563167</v>
      </c>
      <c r="H12" s="50">
        <f t="shared" si="0"/>
        <v>1</v>
      </c>
      <c r="I12" s="38">
        <v>0.4144139885902405</v>
      </c>
      <c r="J12" s="38">
        <v>0.5644842386245728</v>
      </c>
      <c r="K12" s="38">
        <v>0.61387699842453</v>
      </c>
      <c r="L12" s="38">
        <v>0.6665487289428711</v>
      </c>
      <c r="M12" s="38">
        <v>0.7802199721336365</v>
      </c>
      <c r="N12" s="80">
        <f>VLOOKUP('Hide - Control'!B$3,'All practice data'!A:CA,A12+29,FALSE)</f>
        <v>0.6240684999561648</v>
      </c>
      <c r="O12" s="80">
        <f>VLOOKUP('Hide - Control'!C$3,'All practice data'!A:CA,A12+29,FALSE)</f>
        <v>0.7248631360507991</v>
      </c>
      <c r="P12" s="38">
        <f>VLOOKUP('Hide - Control'!$B$4,'All practice data'!B:BC,A12+2,FALSE)</f>
        <v>21355</v>
      </c>
      <c r="Q12" s="38">
        <f>VLOOKUP('Hide - Control'!$B$4,'All practice data'!B:BJ,57,FALSE)</f>
        <v>34219</v>
      </c>
      <c r="R12" s="38">
        <f t="shared" si="17"/>
        <v>0.6189227681756511</v>
      </c>
      <c r="S12" s="38">
        <f t="shared" si="18"/>
        <v>0.629186377734664</v>
      </c>
      <c r="T12" s="53">
        <f t="shared" si="16"/>
        <v>0.7802199721336365</v>
      </c>
      <c r="U12" s="51">
        <f t="shared" si="1"/>
        <v>0.4144139885902405</v>
      </c>
      <c r="V12" s="7"/>
      <c r="W12" s="27">
        <f t="shared" si="2"/>
        <v>0.4144139885902405</v>
      </c>
      <c r="X12" s="27">
        <f t="shared" si="3"/>
        <v>0.8133400082588196</v>
      </c>
      <c r="Y12" s="27">
        <f t="shared" si="4"/>
        <v>0.4144139885902405</v>
      </c>
      <c r="Z12" s="27">
        <f t="shared" si="5"/>
        <v>0.8133400082588196</v>
      </c>
      <c r="AA12" s="32">
        <f t="shared" si="6"/>
        <v>0</v>
      </c>
      <c r="AB12" s="33">
        <f t="shared" si="7"/>
        <v>0.3761856650990278</v>
      </c>
      <c r="AC12" s="33">
        <v>0.5</v>
      </c>
      <c r="AD12" s="33">
        <f t="shared" si="8"/>
        <v>0.6320338306388233</v>
      </c>
      <c r="AE12" s="33">
        <f t="shared" si="9"/>
        <v>0.9169769970063656</v>
      </c>
      <c r="AF12" s="33">
        <f t="shared" si="10"/>
        <v>-999</v>
      </c>
      <c r="AG12" s="33">
        <f t="shared" si="11"/>
        <v>-999</v>
      </c>
      <c r="AH12" s="33">
        <f t="shared" si="12"/>
        <v>0.245875191323062</v>
      </c>
      <c r="AI12" s="34">
        <f t="shared" si="13"/>
        <v>0.7782123304929431</v>
      </c>
      <c r="AJ12" s="4">
        <v>8.082028419348523</v>
      </c>
      <c r="AK12" s="32">
        <f t="shared" si="14"/>
        <v>0.245875191323062</v>
      </c>
      <c r="AL12" s="34">
        <f t="shared" si="15"/>
        <v>-999</v>
      </c>
      <c r="AY12" s="103" t="s">
        <v>261</v>
      </c>
      <c r="AZ12" s="103" t="s">
        <v>479</v>
      </c>
      <c r="BA12" s="103" t="s">
        <v>362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39</v>
      </c>
      <c r="E13" s="38">
        <f>IF(LEFT(VLOOKUP($B13,'Indicator chart'!$D$1:$J$36,5,FALSE),1)=" "," ",VLOOKUP($B13,'Indicator chart'!$D$1:$J$36,5,FALSE))</f>
        <v>0.506494</v>
      </c>
      <c r="F13" s="38">
        <f>IF(LEFT(VLOOKUP($B13,'Indicator chart'!$D$1:$J$36,6,FALSE),1)=" "," ",VLOOKUP($B13,'Indicator chart'!$D$1:$J$36,6,FALSE))</f>
        <v>0.3971981753430592</v>
      </c>
      <c r="G13" s="38">
        <f>IF(LEFT(VLOOKUP($B13,'Indicator chart'!$D$1:$J$36,7,FALSE),1)=" "," ",VLOOKUP($B13,'Indicator chart'!$D$1:$J$36,7,FALSE))</f>
        <v>0.6151716936352886</v>
      </c>
      <c r="H13" s="50">
        <f t="shared" si="0"/>
        <v>1</v>
      </c>
      <c r="I13" s="38">
        <v>0</v>
      </c>
      <c r="J13" s="38">
        <v>0.4285709857940674</v>
      </c>
      <c r="K13" s="38">
        <v>0.5523809790611267</v>
      </c>
      <c r="L13" s="38">
        <v>0.649214506149292</v>
      </c>
      <c r="M13" s="38">
        <v>1</v>
      </c>
      <c r="N13" s="80">
        <f>VLOOKUP('Hide - Control'!B$3,'All practice data'!A:CA,A13+29,FALSE)</f>
        <v>0.6359490372086289</v>
      </c>
      <c r="O13" s="80">
        <f>VLOOKUP('Hide - Control'!C$3,'All practice data'!A:CA,A13+29,FALSE)</f>
        <v>0.7467412166569077</v>
      </c>
      <c r="P13" s="38">
        <f>VLOOKUP('Hide - Control'!$B$4,'All practice data'!B:BC,A13+2,FALSE)</f>
        <v>8785</v>
      </c>
      <c r="Q13" s="38">
        <f>VLOOKUP('Hide - Control'!$B$4,'All practice data'!B:BJ,58,FALSE)</f>
        <v>13814</v>
      </c>
      <c r="R13" s="38">
        <f t="shared" si="17"/>
        <v>0.6278883104265816</v>
      </c>
      <c r="S13" s="38">
        <f t="shared" si="18"/>
        <v>0.6439341716027391</v>
      </c>
      <c r="T13" s="53">
        <f t="shared" si="16"/>
        <v>1</v>
      </c>
      <c r="U13" s="51">
        <f t="shared" si="1"/>
        <v>0</v>
      </c>
      <c r="V13" s="7"/>
      <c r="W13" s="27">
        <f t="shared" si="2"/>
        <v>0</v>
      </c>
      <c r="X13" s="27">
        <f t="shared" si="3"/>
        <v>1.1047619581222534</v>
      </c>
      <c r="Y13" s="27">
        <f t="shared" si="4"/>
        <v>0</v>
      </c>
      <c r="Z13" s="27">
        <f t="shared" si="5"/>
        <v>1.1047619581222534</v>
      </c>
      <c r="AA13" s="32">
        <f t="shared" si="6"/>
        <v>0</v>
      </c>
      <c r="AB13" s="33">
        <f t="shared" si="7"/>
        <v>0.38793061495573467</v>
      </c>
      <c r="AC13" s="33">
        <v>0.5</v>
      </c>
      <c r="AD13" s="33">
        <f t="shared" si="8"/>
        <v>0.5876510332169219</v>
      </c>
      <c r="AE13" s="33">
        <f t="shared" si="9"/>
        <v>0.9051723700729923</v>
      </c>
      <c r="AF13" s="33">
        <f t="shared" si="10"/>
        <v>-999</v>
      </c>
      <c r="AG13" s="33">
        <f t="shared" si="11"/>
        <v>-999</v>
      </c>
      <c r="AH13" s="33">
        <f t="shared" si="12"/>
        <v>0.4584643744077502</v>
      </c>
      <c r="AI13" s="34">
        <f t="shared" si="13"/>
        <v>0.675929516912523</v>
      </c>
      <c r="AJ13" s="4">
        <v>9.158023844730446</v>
      </c>
      <c r="AK13" s="32">
        <f t="shared" si="14"/>
        <v>0.4584643744077502</v>
      </c>
      <c r="AL13" s="34">
        <f t="shared" si="15"/>
        <v>-999</v>
      </c>
      <c r="AY13" s="103" t="s">
        <v>260</v>
      </c>
      <c r="AZ13" s="103" t="s">
        <v>478</v>
      </c>
      <c r="BA13" s="103" t="s">
        <v>362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167</v>
      </c>
      <c r="E14" s="38">
        <f>IF(LEFT(VLOOKUP($B14,'Indicator chart'!$D$1:$J$36,5,FALSE),1)=" "," ",VLOOKUP($B14,'Indicator chart'!$D$1:$J$36,5,FALSE))</f>
        <v>0.498507</v>
      </c>
      <c r="F14" s="38">
        <f>IF(LEFT(VLOOKUP($B14,'Indicator chart'!$D$1:$J$36,6,FALSE),1)=" "," ",VLOOKUP($B14,'Indicator chart'!$D$1:$J$36,6,FALSE))</f>
        <v>0.4452858854675858</v>
      </c>
      <c r="G14" s="38">
        <f>IF(LEFT(VLOOKUP($B14,'Indicator chart'!$D$1:$J$36,7,FALSE),1)=" "," ",VLOOKUP($B14,'Indicator chart'!$D$1:$J$36,7,FALSE))</f>
        <v>0.5517628830425381</v>
      </c>
      <c r="H14" s="50">
        <f t="shared" si="0"/>
        <v>1</v>
      </c>
      <c r="I14" s="38">
        <v>0.4288389980792999</v>
      </c>
      <c r="J14" s="38">
        <v>0.5995317697525024</v>
      </c>
      <c r="K14" s="38">
        <v>0.6736930012702942</v>
      </c>
      <c r="L14" s="38">
        <v>0.7005042433738708</v>
      </c>
      <c r="M14" s="38">
        <v>0.8113099932670593</v>
      </c>
      <c r="N14" s="80">
        <f>VLOOKUP('Hide - Control'!B$3,'All practice data'!A:CA,A14+29,FALSE)</f>
        <v>0.6611560964193774</v>
      </c>
      <c r="O14" s="80">
        <f>VLOOKUP('Hide - Control'!C$3,'All practice data'!A:CA,A14+29,FALSE)</f>
        <v>0.7559681673907895</v>
      </c>
      <c r="P14" s="38">
        <f>VLOOKUP('Hide - Control'!$B$4,'All practice data'!B:BC,A14+2,FALSE)</f>
        <v>70628</v>
      </c>
      <c r="Q14" s="38">
        <f>VLOOKUP('Hide - Control'!$B$4,'All practice data'!B:BJ,59,FALSE)</f>
        <v>106825</v>
      </c>
      <c r="R14" s="38">
        <f t="shared" si="17"/>
        <v>0.6583119602723172</v>
      </c>
      <c r="S14" s="38">
        <f t="shared" si="18"/>
        <v>0.6639886421148196</v>
      </c>
      <c r="T14" s="53">
        <f t="shared" si="16"/>
        <v>0.8113099932670593</v>
      </c>
      <c r="U14" s="51">
        <f t="shared" si="1"/>
        <v>0.4288389980792999</v>
      </c>
      <c r="V14" s="7"/>
      <c r="W14" s="27">
        <f t="shared" si="2"/>
        <v>0.4288389980792999</v>
      </c>
      <c r="X14" s="27">
        <f t="shared" si="3"/>
        <v>0.9185470044612885</v>
      </c>
      <c r="Y14" s="27">
        <f t="shared" si="4"/>
        <v>0.4288389980792999</v>
      </c>
      <c r="Z14" s="27">
        <f t="shared" si="5"/>
        <v>0.9185470044612885</v>
      </c>
      <c r="AA14" s="32">
        <f t="shared" si="6"/>
        <v>0</v>
      </c>
      <c r="AB14" s="33">
        <f t="shared" si="7"/>
        <v>0.34856030419902195</v>
      </c>
      <c r="AC14" s="33">
        <v>0.5</v>
      </c>
      <c r="AD14" s="33">
        <f t="shared" si="8"/>
        <v>0.5547494461069992</v>
      </c>
      <c r="AE14" s="33">
        <f t="shared" si="9"/>
        <v>0.7810184644794623</v>
      </c>
      <c r="AF14" s="33">
        <f t="shared" si="10"/>
        <v>-999</v>
      </c>
      <c r="AG14" s="33">
        <f t="shared" si="11"/>
        <v>-999</v>
      </c>
      <c r="AH14" s="33">
        <f t="shared" si="12"/>
        <v>0.14226437185582114</v>
      </c>
      <c r="AI14" s="34">
        <f t="shared" si="13"/>
        <v>0.6680086195207476</v>
      </c>
      <c r="AJ14" s="4">
        <v>10.234019270112368</v>
      </c>
      <c r="AK14" s="32">
        <f t="shared" si="14"/>
        <v>0.14226437185582114</v>
      </c>
      <c r="AL14" s="34">
        <f t="shared" si="15"/>
        <v>-999</v>
      </c>
      <c r="AY14" s="103" t="s">
        <v>53</v>
      </c>
      <c r="AZ14" s="103" t="s">
        <v>486</v>
      </c>
      <c r="BA14" s="103" t="s">
        <v>543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v>
      </c>
      <c r="E15" s="38">
        <f>IF(LEFT(VLOOKUP($B15,'Indicator chart'!$D$1:$J$36,5,FALSE),1)=" "," ",VLOOKUP($B15,'Indicator chart'!$D$1:$J$36,5,FALSE))</f>
        <v>0.271186</v>
      </c>
      <c r="F15" s="38">
        <f>IF(LEFT(VLOOKUP($B15,'Indicator chart'!$D$1:$J$36,6,FALSE),1)=" "," ",VLOOKUP($B15,'Indicator chart'!$D$1:$J$36,6,FALSE))</f>
        <v>0.17436824992508337</v>
      </c>
      <c r="G15" s="38">
        <f>IF(LEFT(VLOOKUP($B15,'Indicator chart'!$D$1:$J$36,7,FALSE),1)=" "," ",VLOOKUP($B15,'Indicator chart'!$D$1:$J$36,7,FALSE))</f>
        <v>0.3959800543828909</v>
      </c>
      <c r="H15" s="50">
        <f t="shared" si="0"/>
        <v>1</v>
      </c>
      <c r="I15" s="38">
        <v>0.23829799890518188</v>
      </c>
      <c r="J15" s="38">
        <v>0.33737924695014954</v>
      </c>
      <c r="K15" s="38">
        <v>0.41051849722862244</v>
      </c>
      <c r="L15" s="38">
        <v>0.4640029966831207</v>
      </c>
      <c r="M15" s="38">
        <v>0.5827590227127075</v>
      </c>
      <c r="N15" s="80">
        <f>VLOOKUP('Hide - Control'!B$3,'All practice data'!A:CA,A15+29,FALSE)</f>
        <v>0.41910099847815596</v>
      </c>
      <c r="O15" s="80">
        <f>VLOOKUP('Hide - Control'!C$3,'All practice data'!A:CA,A15+29,FALSE)</f>
        <v>0.5147293797466616</v>
      </c>
      <c r="P15" s="38">
        <f>VLOOKUP('Hide - Control'!$B$4,'All practice data'!B:BC,A15+2,FALSE)</f>
        <v>11291</v>
      </c>
      <c r="Q15" s="38">
        <f>VLOOKUP('Hide - Control'!$B$4,'All practice data'!B:BJ,60,FALSE)</f>
        <v>26941</v>
      </c>
      <c r="R15" s="38">
        <f t="shared" si="17"/>
        <v>0.4132209935790118</v>
      </c>
      <c r="S15" s="38">
        <f t="shared" si="18"/>
        <v>0.4250040713625464</v>
      </c>
      <c r="T15" s="53">
        <f t="shared" si="16"/>
        <v>0.5827590227127075</v>
      </c>
      <c r="U15" s="51">
        <f t="shared" si="1"/>
        <v>0.23829799890518188</v>
      </c>
      <c r="V15" s="7"/>
      <c r="W15" s="27">
        <f t="shared" si="2"/>
        <v>0.23827797174453735</v>
      </c>
      <c r="X15" s="27">
        <f t="shared" si="3"/>
        <v>0.5827590227127075</v>
      </c>
      <c r="Y15" s="27">
        <f t="shared" si="4"/>
        <v>0.23827797174453735</v>
      </c>
      <c r="Z15" s="27">
        <f t="shared" si="5"/>
        <v>0.5827590227127075</v>
      </c>
      <c r="AA15" s="32">
        <f t="shared" si="6"/>
        <v>5.813719096665711E-05</v>
      </c>
      <c r="AB15" s="33">
        <f t="shared" si="7"/>
        <v>0.28768280556241416</v>
      </c>
      <c r="AC15" s="33">
        <v>0.5</v>
      </c>
      <c r="AD15" s="33">
        <f t="shared" si="8"/>
        <v>0.655261078379142</v>
      </c>
      <c r="AE15" s="33">
        <f t="shared" si="9"/>
        <v>1</v>
      </c>
      <c r="AF15" s="33">
        <f t="shared" si="10"/>
        <v>-999</v>
      </c>
      <c r="AG15" s="33">
        <f t="shared" si="11"/>
        <v>-999</v>
      </c>
      <c r="AH15" s="33">
        <f t="shared" si="12"/>
        <v>0.09552928430453293</v>
      </c>
      <c r="AI15" s="34">
        <f t="shared" si="13"/>
        <v>0.8025155729905972</v>
      </c>
      <c r="AJ15" s="4">
        <v>11.310014695494289</v>
      </c>
      <c r="AK15" s="32">
        <f t="shared" si="14"/>
        <v>0.09552928430453293</v>
      </c>
      <c r="AL15" s="34">
        <f t="shared" si="15"/>
        <v>-999</v>
      </c>
      <c r="AY15" s="103" t="s">
        <v>229</v>
      </c>
      <c r="AZ15" s="103" t="s">
        <v>230</v>
      </c>
      <c r="BA15" s="103" t="s">
        <v>362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v>
      </c>
      <c r="E16" s="38">
        <f>IF(LEFT(VLOOKUP($B16,'Indicator chart'!$D$1:$J$36,5,FALSE),1)=" "," ",VLOOKUP($B16,'Indicator chart'!$D$1:$J$36,5,FALSE))</f>
        <v>0.354839</v>
      </c>
      <c r="F16" s="38">
        <f>IF(LEFT(VLOOKUP($B16,'Indicator chart'!$D$1:$J$36,6,FALSE),1)=" "," ",VLOOKUP($B16,'Indicator chart'!$D$1:$J$36,6,FALSE))</f>
        <v>0.2111644774156582</v>
      </c>
      <c r="G16" s="38">
        <f>IF(LEFT(VLOOKUP($B16,'Indicator chart'!$D$1:$J$36,7,FALSE),1)=" "," ",VLOOKUP($B16,'Indicator chart'!$D$1:$J$36,7,FALSE))</f>
        <v>0.530523619571851</v>
      </c>
      <c r="H16" s="50">
        <f t="shared" si="0"/>
        <v>2</v>
      </c>
      <c r="I16" s="38">
        <v>0.23999999463558197</v>
      </c>
      <c r="J16" s="38">
        <v>0.34377649426460266</v>
      </c>
      <c r="K16" s="38">
        <v>0.41734999418258667</v>
      </c>
      <c r="L16" s="38">
        <v>0.4910527467727661</v>
      </c>
      <c r="M16" s="38">
        <v>0.6206899881362915</v>
      </c>
      <c r="N16" s="80">
        <f>VLOOKUP('Hide - Control'!B$3,'All practice data'!A:CA,A16+29,FALSE)</f>
        <v>0.4377648495295554</v>
      </c>
      <c r="O16" s="80">
        <f>VLOOKUP('Hide - Control'!C$3,'All practice data'!A:CA,A16+29,FALSE)</f>
        <v>0.5752927626212945</v>
      </c>
      <c r="P16" s="38">
        <f>VLOOKUP('Hide - Control'!$B$4,'All practice data'!B:BC,A16+2,FALSE)</f>
        <v>6095</v>
      </c>
      <c r="Q16" s="38">
        <f>VLOOKUP('Hide - Control'!$B$4,'All practice data'!B:BJ,61,FALSE)</f>
        <v>13923</v>
      </c>
      <c r="R16" s="38">
        <f t="shared" si="17"/>
        <v>0.4295423405342266</v>
      </c>
      <c r="S16" s="38">
        <f t="shared" si="18"/>
        <v>0.44602169259156127</v>
      </c>
      <c r="T16" s="53">
        <f aca="true" t="shared" si="19" ref="T16:T31">IF($C16=1,M16,I16)</f>
        <v>0.6206899881362915</v>
      </c>
      <c r="U16" s="51">
        <f aca="true" t="shared" si="20" ref="U16:U31">IF($C16=1,I16,M16)</f>
        <v>0.23999999463558197</v>
      </c>
      <c r="V16" s="7"/>
      <c r="W16" s="27">
        <f t="shared" si="2"/>
        <v>0.21401000022888184</v>
      </c>
      <c r="X16" s="27">
        <f t="shared" si="3"/>
        <v>0.6206899881362915</v>
      </c>
      <c r="Y16" s="27">
        <f t="shared" si="4"/>
        <v>0.21401000022888184</v>
      </c>
      <c r="Z16" s="27">
        <f t="shared" si="5"/>
        <v>0.6206899881362915</v>
      </c>
      <c r="AA16" s="32">
        <f t="shared" si="6"/>
        <v>0.06390772887653713</v>
      </c>
      <c r="AB16" s="33">
        <f t="shared" si="7"/>
        <v>0.319087483757045</v>
      </c>
      <c r="AC16" s="33">
        <v>0.5</v>
      </c>
      <c r="AD16" s="33">
        <f t="shared" si="8"/>
        <v>0.6812303402717707</v>
      </c>
      <c r="AE16" s="33">
        <f t="shared" si="9"/>
        <v>1</v>
      </c>
      <c r="AF16" s="33">
        <f t="shared" si="10"/>
        <v>-999</v>
      </c>
      <c r="AG16" s="33">
        <f t="shared" si="11"/>
        <v>0.34628947565322843</v>
      </c>
      <c r="AH16" s="33">
        <f t="shared" si="12"/>
        <v>-999</v>
      </c>
      <c r="AI16" s="34">
        <f t="shared" si="13"/>
        <v>0.8883711348852189</v>
      </c>
      <c r="AJ16" s="4">
        <v>12.386010120876215</v>
      </c>
      <c r="AK16" s="32">
        <f t="shared" si="14"/>
        <v>-999</v>
      </c>
      <c r="AL16" s="34">
        <f t="shared" si="15"/>
        <v>-999</v>
      </c>
      <c r="AY16" s="103" t="s">
        <v>360</v>
      </c>
      <c r="AZ16" s="103" t="s">
        <v>381</v>
      </c>
      <c r="BA16" s="103" t="s">
        <v>543</v>
      </c>
      <c r="BB16" s="10">
        <v>165919</v>
      </c>
      <c r="BF16" s="252"/>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8">
        <v>233.281494140625</v>
      </c>
      <c r="J17" s="38">
        <v>458.3294982910156</v>
      </c>
      <c r="K17" s="38">
        <v>772.1670532226562</v>
      </c>
      <c r="L17" s="38">
        <v>1293.2274169921875</v>
      </c>
      <c r="M17" s="38">
        <v>3276.209716796875</v>
      </c>
      <c r="N17" s="80">
        <f>VLOOKUP('Hide - Control'!B$3,'All practice data'!A:CA,A17+29,FALSE)</f>
        <v>1000.6420394932586</v>
      </c>
      <c r="O17" s="80">
        <f>VLOOKUP('Hide - Control'!C$3,'All practice data'!A:CA,A17+29,FALSE)</f>
        <v>1812.1669120472948</v>
      </c>
      <c r="P17" s="38">
        <f>VLOOKUP('Hide - Control'!$B$4,'All practice data'!B:BC,A17+2,FALSE)</f>
        <v>3834</v>
      </c>
      <c r="Q17" s="38">
        <f>VLOOKUP('Hide - Control'!$B$4,'All practice data'!B:BC,3,FALSE)</f>
        <v>383154</v>
      </c>
      <c r="R17" s="38">
        <f>100000*(P17*(1-1/(9*P17)-1.96/(3*SQRT(P17)))^3)/Q17</f>
        <v>969.215477418928</v>
      </c>
      <c r="S17" s="38">
        <f>100000*((P17+1)*(1-1/(9*(P17+1))+1.96/(3*SQRT(P17+1)))^3)/Q17</f>
        <v>1032.8281320582278</v>
      </c>
      <c r="T17" s="53">
        <f t="shared" si="19"/>
        <v>3276.209716796875</v>
      </c>
      <c r="U17" s="51">
        <f t="shared" si="20"/>
        <v>233.281494140625</v>
      </c>
      <c r="V17" s="7"/>
      <c r="W17" s="27">
        <f t="shared" si="2"/>
        <v>-1731.8756103515625</v>
      </c>
      <c r="X17" s="27">
        <f t="shared" si="3"/>
        <v>3276.209716796875</v>
      </c>
      <c r="Y17" s="27">
        <f t="shared" si="4"/>
        <v>-1731.8756103515625</v>
      </c>
      <c r="Z17" s="27">
        <f t="shared" si="5"/>
        <v>3276.209716796875</v>
      </c>
      <c r="AA17" s="32">
        <f t="shared" si="6"/>
        <v>0.39239688945378487</v>
      </c>
      <c r="AB17" s="33">
        <f t="shared" si="7"/>
        <v>0.43733382431997475</v>
      </c>
      <c r="AC17" s="33">
        <v>0.5</v>
      </c>
      <c r="AD17" s="33">
        <f t="shared" si="8"/>
        <v>0.6040438270779661</v>
      </c>
      <c r="AE17" s="33">
        <f t="shared" si="9"/>
        <v>1</v>
      </c>
      <c r="AF17" s="33">
        <f t="shared" si="10"/>
        <v>-999</v>
      </c>
      <c r="AG17" s="33">
        <f t="shared" si="11"/>
        <v>-999</v>
      </c>
      <c r="AH17" s="33">
        <f t="shared" si="12"/>
        <v>-999</v>
      </c>
      <c r="AI17" s="34">
        <f t="shared" si="13"/>
        <v>0.7076641652223618</v>
      </c>
      <c r="AJ17" s="4">
        <v>13.462005546258133</v>
      </c>
      <c r="AK17" s="32">
        <f t="shared" si="14"/>
        <v>-999</v>
      </c>
      <c r="AL17" s="34">
        <f t="shared" si="15"/>
        <v>-999</v>
      </c>
      <c r="AY17" s="103" t="s">
        <v>103</v>
      </c>
      <c r="AZ17" s="103" t="s">
        <v>104</v>
      </c>
      <c r="BA17" s="103" t="s">
        <v>362</v>
      </c>
      <c r="BB17" s="10">
        <v>140964</v>
      </c>
      <c r="BF17" s="252"/>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8">
        <v>0.17238208651542664</v>
      </c>
      <c r="J18" s="38"/>
      <c r="K18" s="38">
        <v>1</v>
      </c>
      <c r="L18" s="38"/>
      <c r="M18" s="38">
        <v>2.025585174560547</v>
      </c>
      <c r="N18" s="80">
        <v>1</v>
      </c>
      <c r="O18" s="80">
        <f>VLOOKUP('Hide - Control'!C$3,'All practice data'!A:CA,A18+29,FALSE)</f>
        <v>1</v>
      </c>
      <c r="P18" s="38">
        <f>VLOOKUP('Hide - Control'!$B$4,'All practice data'!B:BC,A18+2,FALSE)</f>
        <v>3834</v>
      </c>
      <c r="Q18" s="38">
        <f>VLOOKUP('Hide - Control'!$B$4,'All practice data'!B:BC,14,FALSE)</f>
        <v>3834</v>
      </c>
      <c r="R18" s="81">
        <v>1</v>
      </c>
      <c r="S18" s="38">
        <v>1</v>
      </c>
      <c r="T18" s="53">
        <f t="shared" si="19"/>
        <v>2.025585174560547</v>
      </c>
      <c r="U18" s="51">
        <f t="shared" si="20"/>
        <v>0.17238208651542664</v>
      </c>
      <c r="V18" s="7"/>
      <c r="W18" s="27">
        <f>IF((K18-I18)&gt;(M18-K18),I18,(K18-(M18-K18)))</f>
        <v>-0.025585174560546875</v>
      </c>
      <c r="X18" s="27">
        <f t="shared" si="3"/>
        <v>2.025585174560547</v>
      </c>
      <c r="Y18" s="27">
        <f t="shared" si="4"/>
        <v>-0.025585174560546875</v>
      </c>
      <c r="Z18" s="27">
        <f t="shared" si="5"/>
        <v>2.025585174560547</v>
      </c>
      <c r="AA18" s="32" t="s">
        <v>362</v>
      </c>
      <c r="AB18" s="33" t="s">
        <v>362</v>
      </c>
      <c r="AC18" s="33">
        <v>0.5</v>
      </c>
      <c r="AD18" s="33" t="s">
        <v>362</v>
      </c>
      <c r="AE18" s="33" t="s">
        <v>362</v>
      </c>
      <c r="AF18" s="33">
        <f t="shared" si="10"/>
        <v>-999</v>
      </c>
      <c r="AG18" s="33">
        <f t="shared" si="11"/>
        <v>-999</v>
      </c>
      <c r="AH18" s="33">
        <f t="shared" si="12"/>
        <v>-999</v>
      </c>
      <c r="AI18" s="34">
        <v>0.5</v>
      </c>
      <c r="AJ18" s="4">
        <v>14.538000971640056</v>
      </c>
      <c r="AK18" s="32">
        <f t="shared" si="14"/>
        <v>-999</v>
      </c>
      <c r="AL18" s="34">
        <f t="shared" si="15"/>
        <v>-999</v>
      </c>
      <c r="AY18" s="103" t="s">
        <v>105</v>
      </c>
      <c r="AZ18" s="103" t="s">
        <v>106</v>
      </c>
      <c r="BA18" s="103" t="s">
        <v>362</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0.050558313727378845</v>
      </c>
      <c r="K19" s="38">
        <v>0.08114035427570343</v>
      </c>
      <c r="L19" s="38">
        <v>0.12635870277881622</v>
      </c>
      <c r="M19" s="38">
        <v>0.3888888955116272</v>
      </c>
      <c r="N19" s="80">
        <f>VLOOKUP('Hide - Control'!B$3,'All practice data'!A:CA,A19+29,FALSE)</f>
        <v>0.08450704225352113</v>
      </c>
      <c r="O19" s="80">
        <f>VLOOKUP('Hide - Control'!C$3,'All practice data'!A:CA,A19+29,FALSE)</f>
        <v>0.10919341638628717</v>
      </c>
      <c r="P19" s="38">
        <f>VLOOKUP('Hide - Control'!$B$4,'All practice data'!B:BC,A19+2,FALSE)</f>
        <v>324</v>
      </c>
      <c r="Q19" s="38">
        <f>VLOOKUP('Hide - Control'!$B$4,'All practice data'!B:BC,15,FALSE)</f>
        <v>3834</v>
      </c>
      <c r="R19" s="38">
        <f>+((2*P19+1.96^2-1.96*SQRT(1.96^2+4*P19*(1-P19/Q19)))/(2*(Q19+1.96^2)))</f>
        <v>0.0761130420522163</v>
      </c>
      <c r="S19" s="38">
        <f>+((2*P19+1.96^2+1.96*SQRT(1.96^2+4*P19*(1-P19/Q19)))/(2*(Q19+1.96^2)))</f>
        <v>0.09373284215519859</v>
      </c>
      <c r="T19" s="53">
        <f t="shared" si="19"/>
        <v>0.3888888955116272</v>
      </c>
      <c r="U19" s="51">
        <f t="shared" si="20"/>
        <v>0.02070442959666252</v>
      </c>
      <c r="V19" s="7"/>
      <c r="W19" s="27">
        <f t="shared" si="2"/>
        <v>-0.22660818696022034</v>
      </c>
      <c r="X19" s="27">
        <f t="shared" si="3"/>
        <v>0.3888888955116272</v>
      </c>
      <c r="Y19" s="27">
        <f t="shared" si="4"/>
        <v>-0.22660818696022034</v>
      </c>
      <c r="Z19" s="27">
        <f t="shared" si="5"/>
        <v>0.3888888955116272</v>
      </c>
      <c r="AA19" s="32">
        <f t="shared" si="6"/>
        <v>0.40180956758344144</v>
      </c>
      <c r="AB19" s="33">
        <f t="shared" si="7"/>
        <v>0.4503132648078419</v>
      </c>
      <c r="AC19" s="33">
        <v>0.5</v>
      </c>
      <c r="AD19" s="33">
        <f t="shared" si="8"/>
        <v>0.5734663896724175</v>
      </c>
      <c r="AE19" s="33">
        <f t="shared" si="9"/>
        <v>1</v>
      </c>
      <c r="AF19" s="33">
        <f t="shared" si="10"/>
        <v>-999</v>
      </c>
      <c r="AG19" s="33">
        <f t="shared" si="11"/>
        <v>-999</v>
      </c>
      <c r="AH19" s="33">
        <f t="shared" si="12"/>
        <v>-999</v>
      </c>
      <c r="AI19" s="34">
        <f t="shared" si="13"/>
        <v>0.5455778961582111</v>
      </c>
      <c r="AJ19" s="4">
        <v>15.61399639702198</v>
      </c>
      <c r="AK19" s="32">
        <f t="shared" si="14"/>
        <v>-999</v>
      </c>
      <c r="AL19" s="34">
        <f t="shared" si="15"/>
        <v>-999</v>
      </c>
      <c r="AY19" s="103" t="s">
        <v>270</v>
      </c>
      <c r="AZ19" s="103" t="s">
        <v>482</v>
      </c>
      <c r="BA19" s="103" t="s">
        <v>362</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0.20000000298023224</v>
      </c>
      <c r="K20" s="38">
        <v>0.3229166567325592</v>
      </c>
      <c r="L20" s="38">
        <v>0.3916666805744171</v>
      </c>
      <c r="M20" s="38">
        <v>0.7272727489471436</v>
      </c>
      <c r="N20" s="80">
        <f>VLOOKUP('Hide - Control'!B$3,'All practice data'!A:CA,A20+29,FALSE)</f>
        <v>0.3192118226600985</v>
      </c>
      <c r="O20" s="80">
        <f>VLOOKUP('Hide - Control'!C$3,'All practice data'!A:CA,A20+29,FALSE)</f>
        <v>0.4534552930810221</v>
      </c>
      <c r="P20" s="38">
        <f>VLOOKUP('Hide - Control'!$B$4,'All practice data'!B:BC,A20+1,FALSE)</f>
        <v>324</v>
      </c>
      <c r="Q20" s="38">
        <f>VLOOKUP('Hide - Control'!$B$4,'All practice data'!B:BC,A20+2,FALSE)</f>
        <v>1015</v>
      </c>
      <c r="R20" s="38">
        <f>+((2*P20+1.96^2-1.96*SQRT(1.96^2+4*P20*(1-P20/Q20)))/(2*(Q20+1.96^2)))</f>
        <v>0.2912601995015664</v>
      </c>
      <c r="S20" s="38">
        <f>+((2*P20+1.96^2+1.96*SQRT(1.96^2+4*P20*(1-P20/Q20)))/(2*(Q20+1.96^2)))</f>
        <v>0.3485267899578353</v>
      </c>
      <c r="T20" s="53">
        <f t="shared" si="19"/>
        <v>0.7272727489471436</v>
      </c>
      <c r="U20" s="51">
        <f t="shared" si="20"/>
        <v>0.09238772839307785</v>
      </c>
      <c r="V20" s="7"/>
      <c r="W20" s="27">
        <f t="shared" si="2"/>
        <v>-0.08143943548202515</v>
      </c>
      <c r="X20" s="27">
        <f t="shared" si="3"/>
        <v>0.7272727489471436</v>
      </c>
      <c r="Y20" s="27">
        <f t="shared" si="4"/>
        <v>-0.08143943548202515</v>
      </c>
      <c r="Z20" s="27">
        <f t="shared" si="5"/>
        <v>0.7272727489471436</v>
      </c>
      <c r="AA20" s="32">
        <f t="shared" si="6"/>
        <v>0.21494317412541433</v>
      </c>
      <c r="AB20" s="33">
        <f t="shared" si="7"/>
        <v>0.3480093955316279</v>
      </c>
      <c r="AC20" s="33">
        <v>0.5</v>
      </c>
      <c r="AD20" s="33">
        <f t="shared" si="8"/>
        <v>0.5850117324377712</v>
      </c>
      <c r="AE20" s="33">
        <f t="shared" si="9"/>
        <v>1</v>
      </c>
      <c r="AF20" s="33">
        <f t="shared" si="10"/>
        <v>-999</v>
      </c>
      <c r="AG20" s="33">
        <f t="shared" si="11"/>
        <v>-999</v>
      </c>
      <c r="AH20" s="33">
        <f t="shared" si="12"/>
        <v>-999</v>
      </c>
      <c r="AI20" s="34">
        <f t="shared" si="13"/>
        <v>0.661415444037861</v>
      </c>
      <c r="AJ20" s="4">
        <v>16.689991822403904</v>
      </c>
      <c r="AK20" s="32">
        <f t="shared" si="14"/>
        <v>-999</v>
      </c>
      <c r="AL20" s="34">
        <f t="shared" si="15"/>
        <v>-999</v>
      </c>
      <c r="AY20" s="103" t="s">
        <v>211</v>
      </c>
      <c r="AZ20" s="103" t="s">
        <v>463</v>
      </c>
      <c r="BA20" s="103" t="s">
        <v>362</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111.73904418945312</v>
      </c>
      <c r="K21" s="38">
        <v>237.08120727539062</v>
      </c>
      <c r="L21" s="38">
        <v>333.5157165527344</v>
      </c>
      <c r="M21" s="38">
        <v>957.6613159179688</v>
      </c>
      <c r="N21" s="80">
        <f>VLOOKUP('Hide - Control'!B$3,'All practice data'!A:CA,A21+29,FALSE)</f>
        <v>272.4752971390094</v>
      </c>
      <c r="O21" s="80">
        <f>VLOOKUP('Hide - Control'!C$3,'All practice data'!A:CA,A21+29,FALSE)</f>
        <v>377.7293140102421</v>
      </c>
      <c r="P21" s="38">
        <f>VLOOKUP('Hide - Control'!$B$4,'All practice data'!B:BC,A21+2,FALSE)</f>
        <v>1044</v>
      </c>
      <c r="Q21" s="38">
        <f>VLOOKUP('Hide - Control'!$B$4,'All practice data'!B:BC,3,FALSE)</f>
        <v>383154</v>
      </c>
      <c r="R21" s="38">
        <f aca="true" t="shared" si="21" ref="R21:R27">100000*(P21*(1-1/(9*P21)-1.96/(3*SQRT(P21)))^3)/Q21</f>
        <v>256.1952660246607</v>
      </c>
      <c r="S21" s="38">
        <f aca="true" t="shared" si="22" ref="S21:S27">100000*((P21+1)*(1-1/(9*(P21+1))+1.96/(3*SQRT(P21+1)))^3)/Q21</f>
        <v>289.51860457959725</v>
      </c>
      <c r="T21" s="53">
        <f t="shared" si="19"/>
        <v>957.6613159179688</v>
      </c>
      <c r="U21" s="51">
        <f t="shared" si="20"/>
        <v>61.46357345581055</v>
      </c>
      <c r="V21" s="7"/>
      <c r="W21" s="27">
        <f t="shared" si="2"/>
        <v>-483.4989013671875</v>
      </c>
      <c r="X21" s="27">
        <f t="shared" si="3"/>
        <v>957.6613159179688</v>
      </c>
      <c r="Y21" s="27">
        <f t="shared" si="4"/>
        <v>-483.4989013671875</v>
      </c>
      <c r="Z21" s="27">
        <f t="shared" si="5"/>
        <v>957.6613159179688</v>
      </c>
      <c r="AA21" s="32">
        <f t="shared" si="6"/>
        <v>0.37814149203312947</v>
      </c>
      <c r="AB21" s="33">
        <f t="shared" si="7"/>
        <v>0.41302690597298347</v>
      </c>
      <c r="AC21" s="33">
        <v>0.5</v>
      </c>
      <c r="AD21" s="33">
        <f t="shared" si="8"/>
        <v>0.5669144957796616</v>
      </c>
      <c r="AE21" s="33">
        <f t="shared" si="9"/>
        <v>1</v>
      </c>
      <c r="AF21" s="33">
        <f t="shared" si="10"/>
        <v>-999</v>
      </c>
      <c r="AG21" s="33">
        <f t="shared" si="11"/>
        <v>-999</v>
      </c>
      <c r="AH21" s="33">
        <f t="shared" si="12"/>
        <v>-999</v>
      </c>
      <c r="AI21" s="34">
        <f t="shared" si="13"/>
        <v>0.5975936644988737</v>
      </c>
      <c r="AJ21" s="4">
        <v>17.765987247785823</v>
      </c>
      <c r="AK21" s="32">
        <f t="shared" si="14"/>
        <v>-999</v>
      </c>
      <c r="AL21" s="34">
        <f t="shared" si="15"/>
        <v>-999</v>
      </c>
      <c r="AY21" s="103" t="s">
        <v>123</v>
      </c>
      <c r="AZ21" s="103" t="s">
        <v>437</v>
      </c>
      <c r="BA21" s="103" t="s">
        <v>362</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50.67641067504883</v>
      </c>
      <c r="K22" s="38">
        <v>138.78964233398438</v>
      </c>
      <c r="L22" s="38">
        <v>236.61093139648438</v>
      </c>
      <c r="M22" s="38">
        <v>612.8334350585938</v>
      </c>
      <c r="N22" s="80">
        <f>VLOOKUP('Hide - Control'!B$3,'All practice data'!A:CA,A22+29,FALSE)</f>
        <v>180.34523977304164</v>
      </c>
      <c r="O22" s="80">
        <f>VLOOKUP('Hide - Control'!C$3,'All practice data'!A:CA,A22+29,FALSE)</f>
        <v>282.45290788403287</v>
      </c>
      <c r="P22" s="38">
        <f>VLOOKUP('Hide - Control'!$B$4,'All practice data'!B:BC,A22+2,FALSE)</f>
        <v>691</v>
      </c>
      <c r="Q22" s="38">
        <f>VLOOKUP('Hide - Control'!$B$4,'All practice data'!B:BC,3,FALSE)</f>
        <v>383154</v>
      </c>
      <c r="R22" s="38">
        <f t="shared" si="21"/>
        <v>167.14708037343516</v>
      </c>
      <c r="S22" s="38">
        <f t="shared" si="22"/>
        <v>194.3084616236676</v>
      </c>
      <c r="T22" s="53">
        <f t="shared" si="19"/>
        <v>612.8334350585938</v>
      </c>
      <c r="U22" s="51">
        <f t="shared" si="20"/>
        <v>18.07059669494629</v>
      </c>
      <c r="V22" s="7"/>
      <c r="W22" s="27">
        <f t="shared" si="2"/>
        <v>-335.254150390625</v>
      </c>
      <c r="X22" s="27">
        <f t="shared" si="3"/>
        <v>612.8334350585938</v>
      </c>
      <c r="Y22" s="27">
        <f t="shared" si="4"/>
        <v>-335.254150390625</v>
      </c>
      <c r="Z22" s="27">
        <f t="shared" si="5"/>
        <v>612.8334350585938</v>
      </c>
      <c r="AA22" s="32">
        <f t="shared" si="6"/>
        <v>0.37267099844806056</v>
      </c>
      <c r="AB22" s="33">
        <f t="shared" si="7"/>
        <v>0.40706213960476434</v>
      </c>
      <c r="AC22" s="33">
        <v>0.5</v>
      </c>
      <c r="AD22" s="33">
        <f t="shared" si="8"/>
        <v>0.6031774812409876</v>
      </c>
      <c r="AE22" s="33">
        <f t="shared" si="9"/>
        <v>1</v>
      </c>
      <c r="AF22" s="33">
        <f t="shared" si="10"/>
        <v>-999</v>
      </c>
      <c r="AG22" s="33">
        <f t="shared" si="11"/>
        <v>-999</v>
      </c>
      <c r="AH22" s="33">
        <f t="shared" si="12"/>
        <v>-999</v>
      </c>
      <c r="AI22" s="34">
        <f t="shared" si="13"/>
        <v>0.6515295292913034</v>
      </c>
      <c r="AJ22" s="4">
        <v>18.841982673167745</v>
      </c>
      <c r="AK22" s="32">
        <f t="shared" si="14"/>
        <v>-999</v>
      </c>
      <c r="AL22" s="34">
        <f t="shared" si="15"/>
        <v>-999</v>
      </c>
      <c r="AY22" s="103" t="s">
        <v>149</v>
      </c>
      <c r="AZ22" s="103" t="s">
        <v>447</v>
      </c>
      <c r="BA22" s="103" t="s">
        <v>362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22.7442626953125</v>
      </c>
      <c r="L23" s="38">
        <v>37.39623260498047</v>
      </c>
      <c r="M23" s="38">
        <v>149.75233459472656</v>
      </c>
      <c r="N23" s="80">
        <f>VLOOKUP('Hide - Control'!B$3,'All practice data'!A:CA,A23+29,FALSE)</f>
        <v>32.88494965470803</v>
      </c>
      <c r="O23" s="80">
        <f>VLOOKUP('Hide - Control'!C$3,'All practice data'!A:CA,A23+29,FALSE)</f>
        <v>70.46674929228394</v>
      </c>
      <c r="P23" s="38">
        <f>VLOOKUP('Hide - Control'!$B$4,'All practice data'!B:BC,A23+2,FALSE)</f>
        <v>126</v>
      </c>
      <c r="Q23" s="38">
        <f>VLOOKUP('Hide - Control'!$B$4,'All practice data'!B:BC,3,FALSE)</f>
        <v>383154</v>
      </c>
      <c r="R23" s="38">
        <f t="shared" si="21"/>
        <v>27.393518168755012</v>
      </c>
      <c r="S23" s="38">
        <f t="shared" si="22"/>
        <v>39.15411633815557</v>
      </c>
      <c r="T23" s="53">
        <f t="shared" si="19"/>
        <v>149.75233459472656</v>
      </c>
      <c r="U23" s="51">
        <f t="shared" si="20"/>
        <v>3.248678207397461</v>
      </c>
      <c r="V23" s="7"/>
      <c r="W23" s="27">
        <f t="shared" si="2"/>
        <v>-104.26380920410156</v>
      </c>
      <c r="X23" s="27">
        <f t="shared" si="3"/>
        <v>149.75233459472656</v>
      </c>
      <c r="Y23" s="27">
        <f t="shared" si="4"/>
        <v>-104.26380920410156</v>
      </c>
      <c r="Z23" s="27">
        <f t="shared" si="5"/>
        <v>149.75233459472656</v>
      </c>
      <c r="AA23" s="32">
        <f t="shared" si="6"/>
        <v>0.4232506084205622</v>
      </c>
      <c r="AB23" s="33">
        <f t="shared" si="7"/>
        <v>0.41046134960097197</v>
      </c>
      <c r="AC23" s="33">
        <v>0.5</v>
      </c>
      <c r="AD23" s="33">
        <f t="shared" si="8"/>
        <v>0.5576812547838369</v>
      </c>
      <c r="AE23" s="33">
        <f t="shared" si="9"/>
        <v>1</v>
      </c>
      <c r="AF23" s="33">
        <f t="shared" si="10"/>
        <v>-999</v>
      </c>
      <c r="AG23" s="33">
        <f t="shared" si="11"/>
        <v>-999</v>
      </c>
      <c r="AH23" s="33">
        <f t="shared" si="12"/>
        <v>-999</v>
      </c>
      <c r="AI23" s="34">
        <f t="shared" si="13"/>
        <v>0.6878718646904819</v>
      </c>
      <c r="AJ23" s="4">
        <v>19.917978098549675</v>
      </c>
      <c r="AK23" s="32">
        <f t="shared" si="14"/>
        <v>-999</v>
      </c>
      <c r="AL23" s="34">
        <f t="shared" si="15"/>
        <v>-999</v>
      </c>
      <c r="AY23" s="103" t="s">
        <v>264</v>
      </c>
      <c r="AZ23" s="103" t="s">
        <v>265</v>
      </c>
      <c r="BA23" s="103" t="s">
        <v>362</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14.933854103088379</v>
      </c>
      <c r="K24" s="38">
        <v>33.38899612426758</v>
      </c>
      <c r="L24" s="38">
        <v>98.60101318359375</v>
      </c>
      <c r="M24" s="38">
        <v>742.1875</v>
      </c>
      <c r="N24" s="80">
        <f>VLOOKUP('Hide - Control'!B$3,'All practice data'!A:CA,A24+29,FALSE)</f>
        <v>70.46774926008864</v>
      </c>
      <c r="O24" s="80">
        <f>VLOOKUP('Hide - Control'!C$3,'All practice data'!A:CA,A24+29,FALSE)</f>
        <v>323.23046266988894</v>
      </c>
      <c r="P24" s="38">
        <f>VLOOKUP('Hide - Control'!$B$4,'All practice data'!B:BC,A24+2,FALSE)</f>
        <v>270</v>
      </c>
      <c r="Q24" s="38">
        <f>VLOOKUP('Hide - Control'!$B$4,'All practice data'!B:BC,3,FALSE)</f>
        <v>383154</v>
      </c>
      <c r="R24" s="38">
        <f t="shared" si="21"/>
        <v>62.31182600914346</v>
      </c>
      <c r="S24" s="38">
        <f t="shared" si="22"/>
        <v>79.39443966243735</v>
      </c>
      <c r="T24" s="53">
        <f t="shared" si="19"/>
        <v>742.1875</v>
      </c>
      <c r="U24" s="51">
        <f t="shared" si="20"/>
        <v>27.3076171875</v>
      </c>
      <c r="V24" s="7"/>
      <c r="W24" s="27">
        <f t="shared" si="2"/>
        <v>-675.4095077514648</v>
      </c>
      <c r="X24" s="27">
        <f t="shared" si="3"/>
        <v>742.1875</v>
      </c>
      <c r="Y24" s="27">
        <f t="shared" si="4"/>
        <v>-675.4095077514648</v>
      </c>
      <c r="Z24" s="27">
        <f t="shared" si="5"/>
        <v>742.1875</v>
      </c>
      <c r="AA24" s="32">
        <f t="shared" si="6"/>
        <v>0.49571007916670645</v>
      </c>
      <c r="AB24" s="33">
        <f t="shared" si="7"/>
        <v>0.486981390394967</v>
      </c>
      <c r="AC24" s="33">
        <v>0.5</v>
      </c>
      <c r="AD24" s="33">
        <f t="shared" si="8"/>
        <v>0.5460018021361112</v>
      </c>
      <c r="AE24" s="33">
        <f t="shared" si="9"/>
        <v>1</v>
      </c>
      <c r="AF24" s="33">
        <f t="shared" si="10"/>
        <v>-999</v>
      </c>
      <c r="AG24" s="33">
        <f t="shared" si="11"/>
        <v>-999</v>
      </c>
      <c r="AH24" s="33">
        <f t="shared" si="12"/>
        <v>-999</v>
      </c>
      <c r="AI24" s="34">
        <f t="shared" si="13"/>
        <v>0.7044597053751942</v>
      </c>
      <c r="AJ24" s="4">
        <v>20.99397352393159</v>
      </c>
      <c r="AK24" s="32">
        <f t="shared" si="14"/>
        <v>-999</v>
      </c>
      <c r="AL24" s="34">
        <f t="shared" si="15"/>
        <v>-999</v>
      </c>
      <c r="AY24" s="103" t="s">
        <v>65</v>
      </c>
      <c r="AZ24" s="103" t="s">
        <v>66</v>
      </c>
      <c r="BA24" s="103" t="s">
        <v>543</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182.31539916992188</v>
      </c>
      <c r="J25" s="38">
        <v>379.8719177246094</v>
      </c>
      <c r="K25" s="38">
        <v>484.9283447265625</v>
      </c>
      <c r="L25" s="38">
        <v>661.59326171875</v>
      </c>
      <c r="M25" s="38">
        <v>965.3200073242188</v>
      </c>
      <c r="N25" s="80">
        <f>VLOOKUP('Hide - Control'!B$3,'All practice data'!A:CA,A25+29,FALSE)</f>
        <v>530.3350610981486</v>
      </c>
      <c r="O25" s="80">
        <f>VLOOKUP('Hide - Control'!C$3,'All practice data'!A:CA,A25+29,FALSE)</f>
        <v>562.6134400960308</v>
      </c>
      <c r="P25" s="38">
        <f>VLOOKUP('Hide - Control'!$B$4,'All practice data'!B:BC,A25+2,FALSE)</f>
        <v>2032</v>
      </c>
      <c r="Q25" s="38">
        <f>VLOOKUP('Hide - Control'!$B$4,'All practice data'!B:BC,3,FALSE)</f>
        <v>383154</v>
      </c>
      <c r="R25" s="38">
        <f t="shared" si="21"/>
        <v>507.5239488230122</v>
      </c>
      <c r="S25" s="38">
        <f t="shared" si="22"/>
        <v>553.90723416162</v>
      </c>
      <c r="T25" s="53">
        <f t="shared" si="19"/>
        <v>965.3200073242188</v>
      </c>
      <c r="U25" s="51">
        <f t="shared" si="20"/>
        <v>182.31539916992188</v>
      </c>
      <c r="V25" s="7"/>
      <c r="W25" s="27">
        <f t="shared" si="2"/>
        <v>4.53668212890625</v>
      </c>
      <c r="X25" s="27">
        <f t="shared" si="3"/>
        <v>965.3200073242188</v>
      </c>
      <c r="Y25" s="27">
        <f t="shared" si="4"/>
        <v>4.53668212890625</v>
      </c>
      <c r="Z25" s="27">
        <f t="shared" si="5"/>
        <v>965.3200073242188</v>
      </c>
      <c r="AA25" s="32">
        <f t="shared" si="6"/>
        <v>0.18503518158464702</v>
      </c>
      <c r="AB25" s="33">
        <f t="shared" si="7"/>
        <v>0.3906554430671486</v>
      </c>
      <c r="AC25" s="33">
        <v>0.5</v>
      </c>
      <c r="AD25" s="33">
        <f t="shared" si="8"/>
        <v>0.6838759191165961</v>
      </c>
      <c r="AE25" s="33">
        <f t="shared" si="9"/>
        <v>1</v>
      </c>
      <c r="AF25" s="33">
        <f t="shared" si="10"/>
        <v>-999</v>
      </c>
      <c r="AG25" s="33">
        <f t="shared" si="11"/>
        <v>-999</v>
      </c>
      <c r="AH25" s="33">
        <f t="shared" si="12"/>
        <v>-999</v>
      </c>
      <c r="AI25" s="34">
        <f t="shared" si="13"/>
        <v>0.5808559987796167</v>
      </c>
      <c r="AJ25" s="4">
        <v>22.06996894931352</v>
      </c>
      <c r="AK25" s="32">
        <f t="shared" si="14"/>
        <v>-999</v>
      </c>
      <c r="AL25" s="34">
        <f t="shared" si="15"/>
        <v>-999</v>
      </c>
      <c r="AY25" s="103" t="s">
        <v>257</v>
      </c>
      <c r="AZ25" s="103" t="s">
        <v>258</v>
      </c>
      <c r="BA25" s="103" t="s">
        <v>543</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90.7132339477539</v>
      </c>
      <c r="J26" s="38">
        <v>204.92933654785156</v>
      </c>
      <c r="K26" s="38">
        <v>291.1054382324219</v>
      </c>
      <c r="L26" s="38">
        <v>381.7540283203125</v>
      </c>
      <c r="M26" s="38">
        <v>914.0767822265625</v>
      </c>
      <c r="N26" s="80">
        <f>VLOOKUP('Hide - Control'!B$3,'All practice data'!A:CA,A26+29,FALSE)</f>
        <v>296.747521884151</v>
      </c>
      <c r="O26" s="80">
        <f>VLOOKUP('Hide - Control'!C$3,'All practice data'!A:CA,A26+29,FALSE)</f>
        <v>405.57105879375996</v>
      </c>
      <c r="P26" s="38">
        <f>VLOOKUP('Hide - Control'!$B$4,'All practice data'!B:BC,A26+2,FALSE)</f>
        <v>1137</v>
      </c>
      <c r="Q26" s="38">
        <f>VLOOKUP('Hide - Control'!$B$4,'All practice data'!B:BC,3,FALSE)</f>
        <v>383154</v>
      </c>
      <c r="R26" s="38">
        <f t="shared" si="21"/>
        <v>279.74696062717913</v>
      </c>
      <c r="S26" s="38">
        <f t="shared" si="22"/>
        <v>314.5110332780924</v>
      </c>
      <c r="T26" s="53">
        <f t="shared" si="19"/>
        <v>914.0767822265625</v>
      </c>
      <c r="U26" s="51">
        <f t="shared" si="20"/>
        <v>90.7132339477539</v>
      </c>
      <c r="V26" s="7"/>
      <c r="W26" s="27">
        <f t="shared" si="2"/>
        <v>-331.86590576171875</v>
      </c>
      <c r="X26" s="27">
        <f t="shared" si="3"/>
        <v>914.0767822265625</v>
      </c>
      <c r="Y26" s="27">
        <f t="shared" si="4"/>
        <v>-331.86590576171875</v>
      </c>
      <c r="Z26" s="27">
        <f t="shared" si="5"/>
        <v>914.0767822265625</v>
      </c>
      <c r="AA26" s="32">
        <f t="shared" si="6"/>
        <v>0.33916418771378287</v>
      </c>
      <c r="AB26" s="33">
        <f t="shared" si="7"/>
        <v>0.43083461822492686</v>
      </c>
      <c r="AC26" s="33">
        <v>0.5</v>
      </c>
      <c r="AD26" s="33">
        <f t="shared" si="8"/>
        <v>0.5727550239363364</v>
      </c>
      <c r="AE26" s="33">
        <f t="shared" si="9"/>
        <v>1</v>
      </c>
      <c r="AF26" s="33">
        <f t="shared" si="10"/>
        <v>-999</v>
      </c>
      <c r="AG26" s="33">
        <f t="shared" si="11"/>
        <v>-999</v>
      </c>
      <c r="AH26" s="33">
        <f t="shared" si="12"/>
        <v>-999</v>
      </c>
      <c r="AI26" s="34">
        <f t="shared" si="13"/>
        <v>0.5918706949082514</v>
      </c>
      <c r="AJ26" s="4">
        <v>23.145964374695435</v>
      </c>
      <c r="AK26" s="32">
        <f t="shared" si="14"/>
        <v>-999</v>
      </c>
      <c r="AL26" s="34">
        <f t="shared" si="15"/>
        <v>-999</v>
      </c>
      <c r="AY26" s="103" t="s">
        <v>120</v>
      </c>
      <c r="AZ26" s="103" t="s">
        <v>436</v>
      </c>
      <c r="BA26" s="103" t="s">
        <v>362</v>
      </c>
      <c r="BB26" s="10">
        <v>193393</v>
      </c>
      <c r="BE26" s="70"/>
      <c r="BF26" s="239"/>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8">
        <v>341.4263916015625</v>
      </c>
      <c r="J27" s="38">
        <v>708.5321655273438</v>
      </c>
      <c r="K27" s="38">
        <v>966.4265747070312</v>
      </c>
      <c r="L27" s="38">
        <v>1095.322509765625</v>
      </c>
      <c r="M27" s="38">
        <v>1992.2523193359375</v>
      </c>
      <c r="N27" s="80">
        <f>VLOOKUP('Hide - Control'!B$3,'All practice data'!A:CA,A27+29,FALSE)</f>
        <v>941.9189151098514</v>
      </c>
      <c r="O27" s="80">
        <f>VLOOKUP('Hide - Control'!C$3,'All practice data'!A:CA,A27+29,FALSE)</f>
        <v>1059.3522061277838</v>
      </c>
      <c r="P27" s="38">
        <f>VLOOKUP('Hide - Control'!$B$4,'All practice data'!B:BC,A27+2,FALSE)</f>
        <v>3609</v>
      </c>
      <c r="Q27" s="38">
        <f>VLOOKUP('Hide - Control'!$B$4,'All practice data'!B:BC,3,FALSE)</f>
        <v>383154</v>
      </c>
      <c r="R27" s="38">
        <f t="shared" si="21"/>
        <v>911.4358379728127</v>
      </c>
      <c r="S27" s="38">
        <f t="shared" si="22"/>
        <v>973.1616486437337</v>
      </c>
      <c r="T27" s="53">
        <f t="shared" si="19"/>
        <v>1992.2523193359375</v>
      </c>
      <c r="U27" s="51">
        <f t="shared" si="20"/>
        <v>341.4263916015625</v>
      </c>
      <c r="V27" s="7"/>
      <c r="W27" s="27">
        <f t="shared" si="2"/>
        <v>-59.399169921875</v>
      </c>
      <c r="X27" s="27">
        <f t="shared" si="3"/>
        <v>1992.2523193359375</v>
      </c>
      <c r="Y27" s="27">
        <f t="shared" si="4"/>
        <v>-59.399169921875</v>
      </c>
      <c r="Z27" s="27">
        <f t="shared" si="5"/>
        <v>1992.2523193359375</v>
      </c>
      <c r="AA27" s="32">
        <f t="shared" si="6"/>
        <v>0.1953672753984336</v>
      </c>
      <c r="AB27" s="33">
        <f t="shared" si="7"/>
        <v>0.3742991143817603</v>
      </c>
      <c r="AC27" s="33">
        <v>0.5</v>
      </c>
      <c r="AD27" s="33">
        <f t="shared" si="8"/>
        <v>0.562825453413251</v>
      </c>
      <c r="AE27" s="33">
        <f t="shared" si="9"/>
        <v>1</v>
      </c>
      <c r="AF27" s="33">
        <f t="shared" si="10"/>
        <v>-999</v>
      </c>
      <c r="AG27" s="33">
        <f t="shared" si="11"/>
        <v>-999</v>
      </c>
      <c r="AH27" s="33">
        <f t="shared" si="12"/>
        <v>-999</v>
      </c>
      <c r="AI27" s="34">
        <f t="shared" si="13"/>
        <v>0.5452930879865803</v>
      </c>
      <c r="AJ27" s="4">
        <v>24.221959800077364</v>
      </c>
      <c r="AK27" s="32">
        <f t="shared" si="14"/>
        <v>-999</v>
      </c>
      <c r="AL27" s="34">
        <f t="shared" si="15"/>
        <v>-999</v>
      </c>
      <c r="AY27" s="103" t="s">
        <v>115</v>
      </c>
      <c r="AZ27" s="103" t="s">
        <v>435</v>
      </c>
      <c r="BA27" s="103" t="s">
        <v>543</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292.94110107421875</v>
      </c>
      <c r="K28" s="38">
        <v>423.7150573730469</v>
      </c>
      <c r="L28" s="38">
        <v>538.93603515625</v>
      </c>
      <c r="M28" s="38">
        <v>1002.3388061523438</v>
      </c>
      <c r="N28" s="80">
        <f>VLOOKUP('Hide - Control'!B$3,'All practice data'!A:CA,A28+29,FALSE)</f>
        <v>423.8504622162368</v>
      </c>
      <c r="O28" s="80">
        <f>VLOOKUP('Hide - Control'!C$3,'All practice data'!A:CA,A28+29,FALSE)</f>
        <v>582.9390489900089</v>
      </c>
      <c r="P28" s="38">
        <f>VLOOKUP('Hide - Control'!$B$4,'All practice data'!B:BC,A28+2,FALSE)</f>
        <v>1624</v>
      </c>
      <c r="Q28" s="38">
        <f>VLOOKUP('Hide - Control'!$B$4,'All practice data'!B:BC,3,FALSE)</f>
        <v>383154</v>
      </c>
      <c r="R28" s="38">
        <f>100000*(P28*(1-1/(9*P28)-1.96/(3*SQRT(P28)))^3)/Q28</f>
        <v>403.4840329174384</v>
      </c>
      <c r="S28" s="38">
        <f>100000*((P28+1)*(1-1/(9*(P28+1))+1.96/(3*SQRT(P28+1)))^3)/Q28</f>
        <v>444.97861817660623</v>
      </c>
      <c r="T28" s="53">
        <f t="shared" si="19"/>
        <v>1002.3388061523438</v>
      </c>
      <c r="U28" s="51">
        <f t="shared" si="20"/>
        <v>155.9251708984375</v>
      </c>
      <c r="V28" s="7"/>
      <c r="W28" s="27">
        <f t="shared" si="2"/>
        <v>-154.90869140625</v>
      </c>
      <c r="X28" s="27">
        <f t="shared" si="3"/>
        <v>1002.3388061523438</v>
      </c>
      <c r="Y28" s="27">
        <f t="shared" si="4"/>
        <v>-154.90869140625</v>
      </c>
      <c r="Z28" s="27">
        <f t="shared" si="5"/>
        <v>1002.3388061523438</v>
      </c>
      <c r="AA28" s="32">
        <f t="shared" si="6"/>
        <v>0.2685975670376849</v>
      </c>
      <c r="AB28" s="33">
        <f t="shared" si="7"/>
        <v>0.3869956888438147</v>
      </c>
      <c r="AC28" s="33">
        <v>0.5</v>
      </c>
      <c r="AD28" s="33">
        <f t="shared" si="8"/>
        <v>0.5995646808710159</v>
      </c>
      <c r="AE28" s="33">
        <f t="shared" si="9"/>
        <v>1</v>
      </c>
      <c r="AF28" s="33">
        <f t="shared" si="10"/>
        <v>-999</v>
      </c>
      <c r="AG28" s="33">
        <f t="shared" si="11"/>
        <v>-999</v>
      </c>
      <c r="AH28" s="33">
        <f t="shared" si="12"/>
        <v>-999</v>
      </c>
      <c r="AI28" s="34">
        <f t="shared" si="13"/>
        <v>0.6375885382797297</v>
      </c>
      <c r="AJ28" s="4">
        <v>25.297955225459287</v>
      </c>
      <c r="AK28" s="32">
        <f t="shared" si="14"/>
        <v>-999</v>
      </c>
      <c r="AL28" s="34">
        <f t="shared" si="15"/>
        <v>-999</v>
      </c>
      <c r="AY28" s="103" t="s">
        <v>241</v>
      </c>
      <c r="AZ28" s="103" t="s">
        <v>242</v>
      </c>
      <c r="BA28" s="103" t="s">
        <v>543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438</v>
      </c>
      <c r="BA29" s="103" t="s">
        <v>362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459</v>
      </c>
      <c r="BA31" s="103" t="s">
        <v>362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418</v>
      </c>
      <c r="BA32" s="103" t="s">
        <v>362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483</v>
      </c>
      <c r="BA33" s="103" t="s">
        <v>543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362</v>
      </c>
      <c r="BB34" s="10">
        <v>532801</v>
      </c>
      <c r="BE34" s="77"/>
      <c r="BF34" s="253"/>
    </row>
    <row r="35" spans="2:58" ht="12.75">
      <c r="B35" s="17" t="s">
        <v>41</v>
      </c>
      <c r="C35" s="18"/>
      <c r="H35" s="290" t="s">
        <v>637</v>
      </c>
      <c r="I35" s="291"/>
      <c r="Y35" s="43"/>
      <c r="Z35" s="44"/>
      <c r="AA35" s="44"/>
      <c r="AB35" s="43"/>
      <c r="AC35" s="43"/>
      <c r="AY35" s="103" t="s">
        <v>159</v>
      </c>
      <c r="AZ35" s="103" t="s">
        <v>451</v>
      </c>
      <c r="BA35" s="103" t="s">
        <v>362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440</v>
      </c>
      <c r="BA36" s="103" t="s">
        <v>362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457</v>
      </c>
      <c r="BA37" s="103" t="s">
        <v>362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362</v>
      </c>
      <c r="BB40" s="10">
        <v>714731</v>
      </c>
      <c r="BF40" s="252"/>
    </row>
    <row r="41" spans="1:58" ht="12.75">
      <c r="A41" s="3"/>
      <c r="B41" s="71"/>
      <c r="C41" s="3"/>
      <c r="T41" s="13"/>
      <c r="U41" s="2"/>
      <c r="W41" s="2"/>
      <c r="X41" s="10"/>
      <c r="Y41" s="44"/>
      <c r="Z41" s="44"/>
      <c r="AA41" s="44"/>
      <c r="AB41" s="44"/>
      <c r="AC41" s="44"/>
      <c r="AD41" s="2"/>
      <c r="AE41" s="2"/>
      <c r="AY41" s="103" t="s">
        <v>272</v>
      </c>
      <c r="AZ41" s="103" t="s">
        <v>484</v>
      </c>
      <c r="BA41" s="103" t="s">
        <v>543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481</v>
      </c>
      <c r="BA43" s="103" t="s">
        <v>362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469</v>
      </c>
      <c r="BA44" s="103" t="s">
        <v>362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460</v>
      </c>
      <c r="BA46" s="103" t="s">
        <v>543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464</v>
      </c>
      <c r="BA48" s="103" t="s">
        <v>543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475</v>
      </c>
      <c r="BA49" s="103" t="s">
        <v>543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441</v>
      </c>
      <c r="BA51" s="103" t="s">
        <v>362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362</v>
      </c>
      <c r="BB52" s="10">
        <v>611636</v>
      </c>
      <c r="BF52" s="252"/>
    </row>
    <row r="53" spans="1:58" ht="12.75">
      <c r="A53" s="3"/>
      <c r="B53" s="12"/>
      <c r="C53" s="3"/>
      <c r="I53" s="11"/>
      <c r="J53" s="11"/>
      <c r="K53" s="11"/>
      <c r="L53" s="11"/>
      <c r="S53" s="11"/>
      <c r="U53" s="2"/>
      <c r="X53" s="2"/>
      <c r="Y53" s="2"/>
      <c r="Z53" s="2"/>
      <c r="AA53" s="2"/>
      <c r="AB53" s="2"/>
      <c r="AY53" s="103" t="s">
        <v>244</v>
      </c>
      <c r="AZ53" s="103" t="s">
        <v>474</v>
      </c>
      <c r="BA53" s="103" t="s">
        <v>362</v>
      </c>
      <c r="BB53" s="10">
        <v>230998</v>
      </c>
      <c r="BF53" s="252"/>
    </row>
    <row r="54" spans="1:58" ht="12.75">
      <c r="A54" s="3"/>
      <c r="B54" s="12"/>
      <c r="C54" s="3"/>
      <c r="I54" s="11"/>
      <c r="J54" s="11"/>
      <c r="K54" s="11"/>
      <c r="L54" s="11"/>
      <c r="S54" s="11"/>
      <c r="U54" s="2"/>
      <c r="X54" s="2"/>
      <c r="Y54" s="2"/>
      <c r="Z54" s="2"/>
      <c r="AA54" s="2"/>
      <c r="AB54" s="2"/>
      <c r="AY54" s="103" t="s">
        <v>67</v>
      </c>
      <c r="AZ54" s="103" t="s">
        <v>415</v>
      </c>
      <c r="BA54" s="103" t="s">
        <v>362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461</v>
      </c>
      <c r="BA55" s="103" t="s">
        <v>362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431</v>
      </c>
      <c r="BA56" s="103" t="s">
        <v>362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476</v>
      </c>
      <c r="BA57" s="103" t="s">
        <v>362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421</v>
      </c>
      <c r="BA58" s="103" t="s">
        <v>362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465</v>
      </c>
      <c r="BA61" s="103" t="s">
        <v>543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454</v>
      </c>
      <c r="BA63" s="103" t="s">
        <v>362</v>
      </c>
      <c r="BB63" s="10">
        <v>318405</v>
      </c>
      <c r="BE63" s="70"/>
      <c r="BF63" s="239"/>
    </row>
    <row r="64" spans="1:58" ht="12.75">
      <c r="A64" s="3"/>
      <c r="B64" s="12"/>
      <c r="C64" s="3"/>
      <c r="I64" s="11"/>
      <c r="V64" s="3"/>
      <c r="AY64" s="103" t="s">
        <v>78</v>
      </c>
      <c r="AZ64" s="103" t="s">
        <v>422</v>
      </c>
      <c r="BA64" s="103" t="s">
        <v>543</v>
      </c>
      <c r="BB64" s="10">
        <v>181285</v>
      </c>
      <c r="BE64" s="70"/>
      <c r="BF64" s="241"/>
    </row>
    <row r="65" spans="1:58" ht="12.75">
      <c r="A65" s="3"/>
      <c r="B65" s="12"/>
      <c r="C65" s="3"/>
      <c r="AY65" s="103" t="s">
        <v>532</v>
      </c>
      <c r="AZ65" s="103" t="s">
        <v>533</v>
      </c>
      <c r="BA65" s="103" t="s">
        <v>362</v>
      </c>
      <c r="BB65" s="10">
        <v>1169302</v>
      </c>
      <c r="BE65" s="70"/>
      <c r="BF65" s="241"/>
    </row>
    <row r="66" spans="1:58" ht="12.75">
      <c r="A66" s="3"/>
      <c r="B66" s="12"/>
      <c r="C66" s="3"/>
      <c r="E66" s="2"/>
      <c r="F66" s="2"/>
      <c r="G66" s="2"/>
      <c r="V66" s="2"/>
      <c r="AY66" s="103" t="s">
        <v>200</v>
      </c>
      <c r="AZ66" s="103" t="s">
        <v>462</v>
      </c>
      <c r="BA66" s="103" t="s">
        <v>362</v>
      </c>
      <c r="BB66" s="10">
        <v>217916</v>
      </c>
      <c r="BE66" s="70"/>
      <c r="BF66" s="239"/>
    </row>
    <row r="67" spans="1:58" ht="12.75">
      <c r="A67" s="3"/>
      <c r="B67" s="12"/>
      <c r="C67" s="3"/>
      <c r="AY67" s="103" t="s">
        <v>69</v>
      </c>
      <c r="AZ67" s="103" t="s">
        <v>70</v>
      </c>
      <c r="BA67" s="103" t="s">
        <v>362</v>
      </c>
      <c r="BB67" s="10">
        <v>270842</v>
      </c>
      <c r="BE67" s="70"/>
      <c r="BF67" s="239"/>
    </row>
    <row r="68" spans="1:58" ht="12.75">
      <c r="A68" s="3"/>
      <c r="B68" s="12"/>
      <c r="C68" s="3"/>
      <c r="AY68" s="103" t="s">
        <v>109</v>
      </c>
      <c r="AZ68" s="103" t="s">
        <v>110</v>
      </c>
      <c r="BA68" s="103" t="s">
        <v>362</v>
      </c>
      <c r="BB68" s="10">
        <v>251613</v>
      </c>
      <c r="BF68" s="252"/>
    </row>
    <row r="69" spans="1:58" ht="12.75">
      <c r="A69" s="3"/>
      <c r="B69" s="12"/>
      <c r="C69" s="3"/>
      <c r="AY69" s="103" t="s">
        <v>209</v>
      </c>
      <c r="AZ69" s="103" t="s">
        <v>210</v>
      </c>
      <c r="BA69" s="103" t="s">
        <v>362</v>
      </c>
      <c r="BB69" s="10">
        <v>283547</v>
      </c>
      <c r="BE69" s="70"/>
      <c r="BF69" s="241"/>
    </row>
    <row r="70" spans="1:58" ht="12.75">
      <c r="A70" s="3"/>
      <c r="B70" s="12"/>
      <c r="C70" s="3"/>
      <c r="AY70" s="103" t="s">
        <v>275</v>
      </c>
      <c r="AZ70" s="103" t="s">
        <v>485</v>
      </c>
      <c r="BA70" s="103" t="s">
        <v>542</v>
      </c>
      <c r="BB70" s="10">
        <v>141474</v>
      </c>
      <c r="BE70" s="70"/>
      <c r="BF70" s="239"/>
    </row>
    <row r="71" spans="1:58" ht="12.75">
      <c r="A71" s="3"/>
      <c r="B71" s="12"/>
      <c r="C71" s="3"/>
      <c r="AY71" s="103" t="s">
        <v>127</v>
      </c>
      <c r="AZ71" s="103" t="s">
        <v>439</v>
      </c>
      <c r="BA71" s="103" t="s">
        <v>362</v>
      </c>
      <c r="BB71" s="10">
        <v>213326</v>
      </c>
      <c r="BE71" s="70"/>
      <c r="BF71" s="239"/>
    </row>
    <row r="72" spans="1:58" ht="12.75">
      <c r="A72" s="3"/>
      <c r="B72" s="12"/>
      <c r="C72" s="3"/>
      <c r="AY72" s="103" t="s">
        <v>136</v>
      </c>
      <c r="AZ72" s="103" t="s">
        <v>137</v>
      </c>
      <c r="BA72" s="103" t="s">
        <v>362</v>
      </c>
      <c r="BB72" s="10">
        <v>183220</v>
      </c>
      <c r="BE72" s="250"/>
      <c r="BF72" s="239"/>
    </row>
    <row r="73" spans="1:58" ht="12.75">
      <c r="A73" s="3"/>
      <c r="B73" s="12"/>
      <c r="C73" s="3"/>
      <c r="AY73" s="103" t="s">
        <v>64</v>
      </c>
      <c r="AZ73" s="103" t="s">
        <v>414</v>
      </c>
      <c r="BA73" s="103" t="s">
        <v>362</v>
      </c>
      <c r="BB73" s="10">
        <v>190143</v>
      </c>
      <c r="BE73" s="70"/>
      <c r="BF73" s="239"/>
    </row>
    <row r="74" spans="1:58" ht="12.75">
      <c r="A74" s="3"/>
      <c r="B74" s="12"/>
      <c r="C74" s="3"/>
      <c r="AY74" s="103" t="s">
        <v>165</v>
      </c>
      <c r="AZ74" s="103" t="s">
        <v>166</v>
      </c>
      <c r="BA74" s="103" t="s">
        <v>543</v>
      </c>
      <c r="BB74" s="10">
        <v>419928</v>
      </c>
      <c r="BE74" s="70"/>
      <c r="BF74" s="241"/>
    </row>
    <row r="75" spans="1:58" ht="12.75">
      <c r="A75" s="3"/>
      <c r="B75" s="12"/>
      <c r="C75" s="3"/>
      <c r="AY75" s="103" t="s">
        <v>113</v>
      </c>
      <c r="AZ75" s="103" t="s">
        <v>433</v>
      </c>
      <c r="BA75" s="103" t="s">
        <v>362</v>
      </c>
      <c r="BB75" s="10">
        <v>158106</v>
      </c>
      <c r="BE75" s="70"/>
      <c r="BF75" s="241"/>
    </row>
    <row r="76" spans="1:58" ht="12.75">
      <c r="A76" s="3"/>
      <c r="B76" s="12"/>
      <c r="C76" s="3"/>
      <c r="AY76" s="103" t="s">
        <v>140</v>
      </c>
      <c r="AZ76" s="103" t="s">
        <v>141</v>
      </c>
      <c r="BA76" s="103" t="s">
        <v>362</v>
      </c>
      <c r="BB76" s="10">
        <v>377807</v>
      </c>
      <c r="BE76" s="70"/>
      <c r="BF76" s="241"/>
    </row>
    <row r="77" spans="1:58" ht="12.75">
      <c r="A77" s="3"/>
      <c r="B77" s="12"/>
      <c r="C77" s="3"/>
      <c r="AY77" s="103" t="s">
        <v>163</v>
      </c>
      <c r="AZ77" s="103" t="s">
        <v>164</v>
      </c>
      <c r="BA77" s="103" t="s">
        <v>543</v>
      </c>
      <c r="BB77" s="10">
        <v>799634</v>
      </c>
      <c r="BE77" s="70"/>
      <c r="BF77" s="249"/>
    </row>
    <row r="78" spans="1:58" ht="12.75">
      <c r="A78" s="3"/>
      <c r="B78" s="12"/>
      <c r="C78" s="3"/>
      <c r="AY78" s="103" t="s">
        <v>224</v>
      </c>
      <c r="AZ78" s="103" t="s">
        <v>225</v>
      </c>
      <c r="BA78" s="103" t="s">
        <v>362</v>
      </c>
      <c r="BB78" s="10">
        <v>362638</v>
      </c>
      <c r="BE78" s="70"/>
      <c r="BF78" s="239"/>
    </row>
    <row r="79" spans="1:58" ht="12.75">
      <c r="A79" s="3"/>
      <c r="B79" s="12"/>
      <c r="C79" s="3"/>
      <c r="AY79" s="103" t="s">
        <v>223</v>
      </c>
      <c r="AZ79" s="103" t="s">
        <v>467</v>
      </c>
      <c r="BA79" s="103" t="s">
        <v>362</v>
      </c>
      <c r="BB79" s="10">
        <v>678998</v>
      </c>
      <c r="BF79" s="239"/>
    </row>
    <row r="80" spans="1:58" ht="12.75">
      <c r="A80" s="3"/>
      <c r="B80" s="12"/>
      <c r="C80" s="3"/>
      <c r="AY80" s="103" t="s">
        <v>144</v>
      </c>
      <c r="AZ80" s="103" t="s">
        <v>145</v>
      </c>
      <c r="BA80" s="103" t="s">
        <v>362</v>
      </c>
      <c r="BB80" s="10">
        <v>290986</v>
      </c>
      <c r="BF80" s="252"/>
    </row>
    <row r="81" spans="1:58" ht="12.75">
      <c r="A81" s="3"/>
      <c r="B81" s="12"/>
      <c r="C81" s="3"/>
      <c r="AY81" s="103" t="s">
        <v>178</v>
      </c>
      <c r="AZ81" s="103" t="s">
        <v>456</v>
      </c>
      <c r="BA81" s="103" t="s">
        <v>543</v>
      </c>
      <c r="BB81" s="10">
        <v>747976</v>
      </c>
      <c r="BF81" s="252"/>
    </row>
    <row r="82" spans="1:58" ht="12.75">
      <c r="A82" s="3"/>
      <c r="B82" s="12"/>
      <c r="C82" s="3"/>
      <c r="AY82" s="103" t="s">
        <v>193</v>
      </c>
      <c r="AZ82" s="103" t="s">
        <v>194</v>
      </c>
      <c r="BA82" s="103" t="s">
        <v>362</v>
      </c>
      <c r="BB82" s="10">
        <v>489140</v>
      </c>
      <c r="BF82" s="252"/>
    </row>
    <row r="83" spans="1:58" ht="12.75">
      <c r="A83" s="3"/>
      <c r="B83" s="12"/>
      <c r="C83" s="3"/>
      <c r="AY83" s="103" t="s">
        <v>98</v>
      </c>
      <c r="AZ83" s="103" t="s">
        <v>430</v>
      </c>
      <c r="BA83" s="103" t="s">
        <v>543</v>
      </c>
      <c r="BB83" s="10">
        <v>208442</v>
      </c>
      <c r="BE83" s="70"/>
      <c r="BF83" s="241"/>
    </row>
    <row r="84" spans="1:58" ht="12.75">
      <c r="A84" s="3"/>
      <c r="B84" s="12"/>
      <c r="C84" s="3"/>
      <c r="AY84" s="103" t="s">
        <v>203</v>
      </c>
      <c r="AZ84" s="103" t="s">
        <v>204</v>
      </c>
      <c r="BA84" s="103" t="s">
        <v>543</v>
      </c>
      <c r="BB84" s="10">
        <v>545543</v>
      </c>
      <c r="BE84" s="70"/>
      <c r="BF84" s="241"/>
    </row>
    <row r="85" spans="1:58" ht="12.75">
      <c r="A85" s="3"/>
      <c r="B85" s="12"/>
      <c r="C85" s="3"/>
      <c r="AY85" s="103" t="s">
        <v>135</v>
      </c>
      <c r="AZ85" s="103" t="s">
        <v>445</v>
      </c>
      <c r="BA85" s="103" t="s">
        <v>543</v>
      </c>
      <c r="BB85" s="10">
        <v>274067</v>
      </c>
      <c r="BE85" s="70"/>
      <c r="BF85" s="241"/>
    </row>
    <row r="86" spans="1:58" ht="12.75">
      <c r="A86" s="3"/>
      <c r="B86" s="12"/>
      <c r="C86" s="3"/>
      <c r="AY86" s="103" t="s">
        <v>251</v>
      </c>
      <c r="AZ86" s="103" t="s">
        <v>252</v>
      </c>
      <c r="BA86" s="103" t="s">
        <v>543</v>
      </c>
      <c r="BB86" s="10">
        <v>374861</v>
      </c>
      <c r="BE86" s="70"/>
      <c r="BF86" s="249"/>
    </row>
    <row r="87" spans="1:58" ht="12.75">
      <c r="A87" s="3"/>
      <c r="B87" s="12"/>
      <c r="C87" s="3"/>
      <c r="AY87" s="103" t="s">
        <v>132</v>
      </c>
      <c r="AZ87" s="103" t="s">
        <v>133</v>
      </c>
      <c r="BA87" s="103" t="s">
        <v>362</v>
      </c>
      <c r="BB87" s="10">
        <v>153833</v>
      </c>
      <c r="BE87" s="70"/>
      <c r="BF87" s="249"/>
    </row>
    <row r="88" spans="1:58" ht="12.75">
      <c r="A88" s="3"/>
      <c r="B88" s="12"/>
      <c r="C88" s="3"/>
      <c r="AY88" s="103" t="s">
        <v>79</v>
      </c>
      <c r="AZ88" s="103" t="s">
        <v>80</v>
      </c>
      <c r="BA88" s="103" t="s">
        <v>543</v>
      </c>
      <c r="BB88" s="10">
        <v>258492</v>
      </c>
      <c r="BE88" s="70"/>
      <c r="BF88" s="241"/>
    </row>
    <row r="89" spans="1:58" ht="12.75">
      <c r="A89" s="3"/>
      <c r="B89" s="12"/>
      <c r="C89" s="3"/>
      <c r="AY89" s="103" t="s">
        <v>81</v>
      </c>
      <c r="AZ89" s="103" t="s">
        <v>423</v>
      </c>
      <c r="BA89" s="103" t="s">
        <v>362</v>
      </c>
      <c r="BB89" s="10">
        <v>283085</v>
      </c>
      <c r="BE89" s="70"/>
      <c r="BF89" s="241"/>
    </row>
    <row r="90" spans="1:58" ht="12.75">
      <c r="A90" s="3"/>
      <c r="B90" s="12"/>
      <c r="C90" s="3"/>
      <c r="AY90" s="103" t="s">
        <v>76</v>
      </c>
      <c r="AZ90" s="103" t="s">
        <v>420</v>
      </c>
      <c r="BA90" s="103" t="s">
        <v>362</v>
      </c>
      <c r="BB90" s="10">
        <v>357346</v>
      </c>
      <c r="BE90" s="70"/>
      <c r="BF90" s="241"/>
    </row>
    <row r="91" spans="1:58" ht="12.75">
      <c r="A91" s="3"/>
      <c r="B91" s="12"/>
      <c r="C91" s="3"/>
      <c r="AY91" s="103" t="s">
        <v>243</v>
      </c>
      <c r="AZ91" s="103" t="s">
        <v>473</v>
      </c>
      <c r="BA91" s="103" t="s">
        <v>543</v>
      </c>
      <c r="BB91" s="10">
        <v>748575</v>
      </c>
      <c r="BE91" s="247"/>
      <c r="BF91" s="249"/>
    </row>
    <row r="92" spans="1:58" ht="12.75">
      <c r="A92" s="3"/>
      <c r="B92" s="12"/>
      <c r="C92" s="3"/>
      <c r="AY92" s="103" t="s">
        <v>249</v>
      </c>
      <c r="AZ92" s="103" t="s">
        <v>250</v>
      </c>
      <c r="BA92" s="103" t="s">
        <v>543</v>
      </c>
      <c r="BB92" s="10">
        <v>322673</v>
      </c>
      <c r="BE92" s="247"/>
      <c r="BF92" s="249"/>
    </row>
    <row r="93" spans="1:58" ht="12.75">
      <c r="A93" s="3"/>
      <c r="B93" s="12"/>
      <c r="C93" s="3"/>
      <c r="AY93" s="103" t="s">
        <v>58</v>
      </c>
      <c r="AZ93" s="103" t="s">
        <v>59</v>
      </c>
      <c r="BA93" s="103" t="s">
        <v>362</v>
      </c>
      <c r="BB93" s="10">
        <v>165284</v>
      </c>
      <c r="BF93" s="252"/>
    </row>
    <row r="94" spans="1:58" ht="12.75">
      <c r="A94" s="3"/>
      <c r="B94" s="12"/>
      <c r="C94" s="3"/>
      <c r="AY94" s="103" t="s">
        <v>186</v>
      </c>
      <c r="AZ94" s="103" t="s">
        <v>458</v>
      </c>
      <c r="BA94" s="103" t="s">
        <v>362</v>
      </c>
      <c r="BB94" s="10">
        <v>339272</v>
      </c>
      <c r="BE94" s="70"/>
      <c r="BF94" s="241"/>
    </row>
    <row r="95" spans="1:58" ht="12.75">
      <c r="A95" s="3"/>
      <c r="B95" s="12"/>
      <c r="C95" s="3"/>
      <c r="AY95" s="103" t="s">
        <v>86</v>
      </c>
      <c r="AZ95" s="103" t="s">
        <v>87</v>
      </c>
      <c r="BA95" s="103" t="s">
        <v>362</v>
      </c>
      <c r="BB95" s="10">
        <v>165642</v>
      </c>
      <c r="BE95" s="247"/>
      <c r="BF95" s="249"/>
    </row>
    <row r="96" spans="1:58" ht="12.75">
      <c r="A96" s="3"/>
      <c r="B96" s="12"/>
      <c r="C96" s="3"/>
      <c r="AY96" s="103" t="s">
        <v>157</v>
      </c>
      <c r="AZ96" s="103" t="s">
        <v>158</v>
      </c>
      <c r="BA96" s="103" t="s">
        <v>362</v>
      </c>
      <c r="BB96" s="10">
        <v>208351</v>
      </c>
      <c r="BE96" s="243"/>
      <c r="BF96" s="238"/>
    </row>
    <row r="97" spans="1:58" ht="12.75">
      <c r="A97" s="3"/>
      <c r="B97" s="12"/>
      <c r="C97" s="3"/>
      <c r="AY97" s="103" t="s">
        <v>231</v>
      </c>
      <c r="AZ97" s="103" t="s">
        <v>232</v>
      </c>
      <c r="BA97" s="103" t="s">
        <v>362</v>
      </c>
      <c r="BB97" s="10">
        <v>203178</v>
      </c>
      <c r="BE97" s="243"/>
      <c r="BF97" s="238"/>
    </row>
    <row r="98" spans="1:58" ht="12.75">
      <c r="A98" s="3"/>
      <c r="B98" s="12"/>
      <c r="C98" s="3"/>
      <c r="AY98" s="103" t="s">
        <v>82</v>
      </c>
      <c r="AZ98" s="103" t="s">
        <v>424</v>
      </c>
      <c r="BA98" s="103" t="s">
        <v>362</v>
      </c>
      <c r="BB98" s="10">
        <v>214052</v>
      </c>
      <c r="BE98" s="248"/>
      <c r="BF98" s="241"/>
    </row>
    <row r="99" spans="1:58" ht="12.75">
      <c r="A99" s="3"/>
      <c r="B99" s="12"/>
      <c r="C99" s="3"/>
      <c r="AY99" s="103" t="s">
        <v>205</v>
      </c>
      <c r="AZ99" s="103" t="s">
        <v>206</v>
      </c>
      <c r="BA99" s="103" t="s">
        <v>543</v>
      </c>
      <c r="BB99" s="10">
        <v>795503</v>
      </c>
      <c r="BE99" s="70"/>
      <c r="BF99" s="249"/>
    </row>
    <row r="100" spans="1:58" ht="12.75">
      <c r="A100" s="3"/>
      <c r="B100" s="12"/>
      <c r="C100" s="3"/>
      <c r="AY100" s="103" t="s">
        <v>226</v>
      </c>
      <c r="AZ100" s="103" t="s">
        <v>468</v>
      </c>
      <c r="BA100" s="103" t="s">
        <v>362</v>
      </c>
      <c r="BB100" s="10">
        <v>648340</v>
      </c>
      <c r="BE100" s="70"/>
      <c r="BF100" s="249"/>
    </row>
    <row r="101" spans="51:58" ht="12.75">
      <c r="AY101" s="103" t="s">
        <v>51</v>
      </c>
      <c r="AZ101" s="103" t="s">
        <v>52</v>
      </c>
      <c r="BA101" s="103" t="s">
        <v>362</v>
      </c>
      <c r="BB101" s="10">
        <v>320818</v>
      </c>
      <c r="BE101" s="237"/>
      <c r="BF101" s="238"/>
    </row>
    <row r="102" spans="51:58" ht="12.75">
      <c r="AY102" s="103" t="s">
        <v>88</v>
      </c>
      <c r="AZ102" s="103" t="s">
        <v>89</v>
      </c>
      <c r="BA102" s="103" t="s">
        <v>362</v>
      </c>
      <c r="BB102" s="10">
        <v>339920</v>
      </c>
      <c r="BE102" s="237"/>
      <c r="BF102" s="238"/>
    </row>
    <row r="103" spans="51:58" ht="12.75">
      <c r="AY103" s="103" t="s">
        <v>177</v>
      </c>
      <c r="AZ103" s="103" t="s">
        <v>455</v>
      </c>
      <c r="BA103" s="103" t="s">
        <v>362</v>
      </c>
      <c r="BB103" s="10">
        <v>656875</v>
      </c>
      <c r="BE103" s="70"/>
      <c r="BF103" s="239"/>
    </row>
    <row r="104" spans="51:58" ht="12.75">
      <c r="AY104" s="103" t="s">
        <v>114</v>
      </c>
      <c r="AZ104" s="103" t="s">
        <v>434</v>
      </c>
      <c r="BA104" s="103" t="s">
        <v>362</v>
      </c>
      <c r="BB104" s="10">
        <v>236592</v>
      </c>
      <c r="BF104" s="252"/>
    </row>
    <row r="105" spans="51:58" ht="12.75">
      <c r="AY105" s="103" t="s">
        <v>259</v>
      </c>
      <c r="AZ105" s="103" t="s">
        <v>477</v>
      </c>
      <c r="BA105" s="103" t="s">
        <v>543</v>
      </c>
      <c r="BB105" s="10">
        <v>671572</v>
      </c>
      <c r="BE105" s="237"/>
      <c r="BF105" s="238"/>
    </row>
    <row r="106" spans="51:58" ht="12.75">
      <c r="AY106" s="103" t="s">
        <v>239</v>
      </c>
      <c r="AZ106" s="103" t="s">
        <v>240</v>
      </c>
      <c r="BA106" s="103" t="s">
        <v>543</v>
      </c>
      <c r="BB106" s="10">
        <v>177882</v>
      </c>
      <c r="BF106" s="252"/>
    </row>
    <row r="107" spans="51:58" ht="12.75">
      <c r="AY107" s="103" t="s">
        <v>91</v>
      </c>
      <c r="AZ107" s="103" t="s">
        <v>427</v>
      </c>
      <c r="BA107" s="103" t="s">
        <v>362</v>
      </c>
      <c r="BB107" s="10">
        <v>274443</v>
      </c>
      <c r="BF107" s="252"/>
    </row>
    <row r="108" spans="51:58" ht="12.75">
      <c r="AY108" s="103" t="s">
        <v>95</v>
      </c>
      <c r="AZ108" s="103" t="s">
        <v>429</v>
      </c>
      <c r="BA108" s="103" t="s">
        <v>362</v>
      </c>
      <c r="BB108" s="10">
        <v>213174</v>
      </c>
      <c r="BE108" s="70"/>
      <c r="BF108" s="239"/>
    </row>
    <row r="109" spans="51:58" ht="12.75">
      <c r="AY109" s="103" t="s">
        <v>179</v>
      </c>
      <c r="AZ109" s="103" t="s">
        <v>180</v>
      </c>
      <c r="BA109" s="103" t="s">
        <v>362</v>
      </c>
      <c r="BB109" s="10">
        <v>278950</v>
      </c>
      <c r="BE109" s="237"/>
      <c r="BF109" s="238"/>
    </row>
    <row r="110" spans="51:58" ht="12.75">
      <c r="AY110" s="103" t="s">
        <v>273</v>
      </c>
      <c r="AZ110" s="103" t="s">
        <v>274</v>
      </c>
      <c r="BA110" s="103" t="s">
        <v>362</v>
      </c>
      <c r="BB110" s="10">
        <v>133304</v>
      </c>
      <c r="BE110" s="70"/>
      <c r="BF110" s="249"/>
    </row>
    <row r="111" spans="51:58" ht="12.75">
      <c r="AY111" s="103" t="s">
        <v>155</v>
      </c>
      <c r="AZ111" s="103" t="s">
        <v>449</v>
      </c>
      <c r="BA111" s="103" t="s">
        <v>362</v>
      </c>
      <c r="BB111" s="10">
        <v>197060</v>
      </c>
      <c r="BE111" s="70"/>
      <c r="BF111" s="239"/>
    </row>
    <row r="112" spans="51:58" ht="12.75">
      <c r="AY112" s="103" t="s">
        <v>100</v>
      </c>
      <c r="AZ112" s="103" t="s">
        <v>101</v>
      </c>
      <c r="BA112" s="103" t="s">
        <v>362</v>
      </c>
      <c r="BB112" s="10">
        <v>253140</v>
      </c>
      <c r="BE112" s="250"/>
      <c r="BF112" s="249"/>
    </row>
    <row r="113" spans="51:58" ht="12.75">
      <c r="AY113" s="103" t="s">
        <v>92</v>
      </c>
      <c r="AZ113" s="103" t="s">
        <v>93</v>
      </c>
      <c r="BA113" s="103" t="s">
        <v>362</v>
      </c>
      <c r="BB113" s="10">
        <v>240983</v>
      </c>
      <c r="BE113" s="70"/>
      <c r="BF113" s="241"/>
    </row>
    <row r="114" spans="51:58" ht="12.75">
      <c r="AY114" s="103" t="s">
        <v>228</v>
      </c>
      <c r="AZ114" s="103" t="s">
        <v>470</v>
      </c>
      <c r="BA114" s="103" t="s">
        <v>362</v>
      </c>
      <c r="BB114" s="10">
        <v>340451</v>
      </c>
      <c r="BF114" s="241"/>
    </row>
    <row r="115" spans="51:58" ht="12.75">
      <c r="AY115" s="103" t="s">
        <v>189</v>
      </c>
      <c r="AZ115" s="103" t="s">
        <v>190</v>
      </c>
      <c r="BA115" s="103" t="s">
        <v>362</v>
      </c>
      <c r="BB115" s="10">
        <v>280673</v>
      </c>
      <c r="BE115" s="248"/>
      <c r="BF115" s="241"/>
    </row>
    <row r="116" spans="51:58" ht="12.75">
      <c r="AY116" s="103" t="s">
        <v>169</v>
      </c>
      <c r="AZ116" s="103" t="s">
        <v>170</v>
      </c>
      <c r="BA116" s="103" t="s">
        <v>362</v>
      </c>
      <c r="BB116" s="10">
        <v>565874</v>
      </c>
      <c r="BE116" s="70"/>
      <c r="BF116" s="239"/>
    </row>
    <row r="117" spans="51:58" ht="12.75">
      <c r="AY117" s="103" t="s">
        <v>152</v>
      </c>
      <c r="AZ117" s="103" t="s">
        <v>448</v>
      </c>
      <c r="BA117" s="103" t="s">
        <v>543</v>
      </c>
      <c r="BB117" s="10">
        <v>295379</v>
      </c>
      <c r="BE117" s="237"/>
      <c r="BF117" s="238"/>
    </row>
    <row r="118" spans="51:58" ht="12.75">
      <c r="AY118" s="103" t="s">
        <v>56</v>
      </c>
      <c r="AZ118" s="103" t="s">
        <v>57</v>
      </c>
      <c r="BA118" s="103" t="s">
        <v>362</v>
      </c>
      <c r="BB118" s="10">
        <v>217094</v>
      </c>
      <c r="BE118" s="70"/>
      <c r="BF118" s="239"/>
    </row>
    <row r="119" spans="51:58" ht="12.75">
      <c r="AY119" s="103" t="s">
        <v>268</v>
      </c>
      <c r="AZ119" s="103" t="s">
        <v>480</v>
      </c>
      <c r="BA119" s="103" t="s">
        <v>362</v>
      </c>
      <c r="BB119" s="10">
        <v>538131</v>
      </c>
      <c r="BE119" s="70"/>
      <c r="BF119" s="239"/>
    </row>
    <row r="120" spans="51:58" ht="12.75">
      <c r="AY120" s="103" t="s">
        <v>150</v>
      </c>
      <c r="AZ120" s="103" t="s">
        <v>151</v>
      </c>
      <c r="BA120" s="103" t="s">
        <v>543</v>
      </c>
      <c r="BB120" s="10">
        <v>389725</v>
      </c>
      <c r="BE120" s="70"/>
      <c r="BF120" s="239"/>
    </row>
    <row r="121" spans="51:58" ht="12.75">
      <c r="AY121" s="103" t="s">
        <v>212</v>
      </c>
      <c r="AZ121" s="103" t="s">
        <v>213</v>
      </c>
      <c r="BA121" s="103" t="s">
        <v>543</v>
      </c>
      <c r="BB121" s="10">
        <v>356812</v>
      </c>
      <c r="BE121" s="237"/>
      <c r="BF121" s="238"/>
    </row>
    <row r="122" spans="51:58" ht="12.75">
      <c r="AY122" s="103" t="s">
        <v>60</v>
      </c>
      <c r="AZ122" s="103" t="s">
        <v>61</v>
      </c>
      <c r="BA122" s="103" t="s">
        <v>362</v>
      </c>
      <c r="BB122" s="10">
        <v>256321</v>
      </c>
      <c r="BE122" s="70"/>
      <c r="BF122" s="249"/>
    </row>
    <row r="123" spans="51:58" ht="12.75">
      <c r="AY123" s="103" t="s">
        <v>234</v>
      </c>
      <c r="AZ123" s="103" t="s">
        <v>472</v>
      </c>
      <c r="BA123" s="103" t="s">
        <v>543</v>
      </c>
      <c r="BB123" s="10">
        <v>615835</v>
      </c>
      <c r="BF123" s="252"/>
    </row>
    <row r="124" spans="51:58" ht="12.75">
      <c r="AY124" s="103" t="s">
        <v>130</v>
      </c>
      <c r="AZ124" s="103" t="s">
        <v>442</v>
      </c>
      <c r="BA124" s="103" t="s">
        <v>362</v>
      </c>
      <c r="BB124" s="10">
        <v>150179</v>
      </c>
      <c r="BF124" s="252"/>
    </row>
    <row r="125" spans="51:58" ht="12.75">
      <c r="AY125" s="103" t="s">
        <v>253</v>
      </c>
      <c r="AZ125" s="103" t="s">
        <v>254</v>
      </c>
      <c r="BA125" s="103" t="s">
        <v>362</v>
      </c>
      <c r="BB125" s="10">
        <v>420503</v>
      </c>
      <c r="BE125" s="70"/>
      <c r="BF125" s="249"/>
    </row>
    <row r="126" spans="51:58" ht="12.75">
      <c r="AY126" s="103" t="s">
        <v>134</v>
      </c>
      <c r="AZ126" s="103" t="s">
        <v>444</v>
      </c>
      <c r="BA126" s="103" t="s">
        <v>362</v>
      </c>
      <c r="BB126" s="10">
        <v>263936</v>
      </c>
      <c r="BE126" s="70"/>
      <c r="BF126" s="239"/>
    </row>
    <row r="127" spans="51:58" ht="12.75">
      <c r="AY127" s="103" t="s">
        <v>142</v>
      </c>
      <c r="AZ127" s="103" t="s">
        <v>143</v>
      </c>
      <c r="BA127" s="103" t="s">
        <v>362</v>
      </c>
      <c r="BB127" s="10">
        <v>308593</v>
      </c>
      <c r="BF127" s="252"/>
    </row>
    <row r="128" spans="51:58" ht="12.75">
      <c r="AY128" s="103" t="s">
        <v>94</v>
      </c>
      <c r="AZ128" s="103" t="s">
        <v>428</v>
      </c>
      <c r="BA128" s="103" t="s">
        <v>543</v>
      </c>
      <c r="BB128" s="10">
        <v>298190</v>
      </c>
      <c r="BE128" s="250"/>
      <c r="BF128" s="249"/>
    </row>
    <row r="129" spans="51:58" ht="12.75">
      <c r="AY129" s="103" t="s">
        <v>85</v>
      </c>
      <c r="AZ129" s="103" t="s">
        <v>425</v>
      </c>
      <c r="BA129" s="103" t="s">
        <v>362</v>
      </c>
      <c r="BB129" s="10">
        <v>191885</v>
      </c>
      <c r="BE129" s="70"/>
      <c r="BF129" s="249"/>
    </row>
    <row r="130" spans="51:58" ht="12.75">
      <c r="AY130" s="103" t="s">
        <v>233</v>
      </c>
      <c r="AZ130" s="103" t="s">
        <v>471</v>
      </c>
      <c r="BA130" s="103" t="s">
        <v>362</v>
      </c>
      <c r="BB130" s="10">
        <v>268223</v>
      </c>
      <c r="BE130" s="70"/>
      <c r="BF130" s="249"/>
    </row>
    <row r="131" spans="51:58" ht="12.75">
      <c r="AY131" s="103" t="s">
        <v>245</v>
      </c>
      <c r="AZ131" s="103" t="s">
        <v>246</v>
      </c>
      <c r="BA131" s="103" t="s">
        <v>543</v>
      </c>
      <c r="BB131" s="10">
        <v>616983</v>
      </c>
      <c r="BE131" s="247"/>
      <c r="BF131" s="249"/>
    </row>
    <row r="132" spans="51:58" ht="12.75">
      <c r="AY132" s="103" t="s">
        <v>131</v>
      </c>
      <c r="AZ132" s="103" t="s">
        <v>443</v>
      </c>
      <c r="BA132" s="103" t="s">
        <v>362</v>
      </c>
      <c r="BB132" s="10">
        <v>283991</v>
      </c>
      <c r="BE132" s="247"/>
      <c r="BF132" s="249"/>
    </row>
    <row r="133" spans="51:58" ht="12.75">
      <c r="AY133" s="103" t="s">
        <v>216</v>
      </c>
      <c r="AZ133" s="103" t="s">
        <v>217</v>
      </c>
      <c r="BA133" s="103" t="s">
        <v>362</v>
      </c>
      <c r="BB133" s="10">
        <v>1156805</v>
      </c>
      <c r="BE133" s="247"/>
      <c r="BF133" s="251"/>
    </row>
    <row r="134" spans="51:58" ht="12.75">
      <c r="AY134" s="103" t="s">
        <v>156</v>
      </c>
      <c r="AZ134" s="103" t="s">
        <v>450</v>
      </c>
      <c r="BA134" s="103" t="s">
        <v>362</v>
      </c>
      <c r="BB134" s="10">
        <v>390971</v>
      </c>
      <c r="BE134" s="243"/>
      <c r="BF134" s="238"/>
    </row>
    <row r="135" spans="51:58" ht="12.75">
      <c r="AY135" s="103" t="s">
        <v>121</v>
      </c>
      <c r="AZ135" s="103" t="s">
        <v>122</v>
      </c>
      <c r="BA135" s="103" t="s">
        <v>542</v>
      </c>
      <c r="BB135" s="10">
        <v>218182</v>
      </c>
      <c r="BE135" s="250"/>
      <c r="BF135" s="249"/>
    </row>
    <row r="136" spans="51:58" ht="12.75">
      <c r="AY136" s="103" t="s">
        <v>148</v>
      </c>
      <c r="AZ136" s="103" t="s">
        <v>446</v>
      </c>
      <c r="BA136" s="103" t="s">
        <v>543</v>
      </c>
      <c r="BB136" s="10">
        <v>236598</v>
      </c>
      <c r="BE136" s="237"/>
      <c r="BF136" s="238"/>
    </row>
    <row r="137" spans="51:58" ht="12.75">
      <c r="AY137" s="103" t="s">
        <v>160</v>
      </c>
      <c r="AZ137" s="103" t="s">
        <v>452</v>
      </c>
      <c r="BA137" s="103" t="s">
        <v>543</v>
      </c>
      <c r="BB137" s="10">
        <v>165993</v>
      </c>
      <c r="BF137" s="252"/>
    </row>
    <row r="138" spans="51:58" ht="12.75">
      <c r="AY138" s="103" t="s">
        <v>54</v>
      </c>
      <c r="AZ138" s="103" t="s">
        <v>55</v>
      </c>
      <c r="BA138" s="103" t="s">
        <v>362</v>
      </c>
      <c r="BB138" s="10">
        <v>145889</v>
      </c>
      <c r="BE138" s="70"/>
      <c r="BF138" s="239"/>
    </row>
    <row r="139" spans="51:58" ht="12.75">
      <c r="AY139" s="103" t="s">
        <v>75</v>
      </c>
      <c r="AZ139" s="103" t="s">
        <v>419</v>
      </c>
      <c r="BA139" s="103" t="s">
        <v>362</v>
      </c>
      <c r="BB139" s="10">
        <v>267393</v>
      </c>
      <c r="BE139" s="237"/>
      <c r="BF139" s="238"/>
    </row>
    <row r="140" spans="51:58" ht="12.75">
      <c r="AY140" s="103" t="s">
        <v>201</v>
      </c>
      <c r="AZ140" s="103" t="s">
        <v>202</v>
      </c>
      <c r="BA140" s="103" t="s">
        <v>543</v>
      </c>
      <c r="BB140" s="10">
        <v>232551</v>
      </c>
      <c r="BE140" s="70"/>
      <c r="BF140" s="239"/>
    </row>
    <row r="141" spans="51:58" ht="12.75">
      <c r="AY141" s="103" t="s">
        <v>167</v>
      </c>
      <c r="AZ141" s="103" t="s">
        <v>168</v>
      </c>
      <c r="BA141" s="103" t="s">
        <v>543</v>
      </c>
      <c r="BB141" s="10">
        <v>350958</v>
      </c>
      <c r="BE141" s="70"/>
      <c r="BF141" s="239"/>
    </row>
    <row r="142" spans="51:58" ht="12.75">
      <c r="AY142" s="103" t="s">
        <v>153</v>
      </c>
      <c r="AZ142" s="103" t="s">
        <v>154</v>
      </c>
      <c r="BA142" s="103" t="s">
        <v>362</v>
      </c>
      <c r="BB142" s="10">
        <v>265654</v>
      </c>
      <c r="BE142" s="70"/>
      <c r="BF142" s="241"/>
    </row>
    <row r="143" spans="51:58" ht="12.75">
      <c r="AY143" s="103" t="s">
        <v>181</v>
      </c>
      <c r="AZ143" s="103" t="s">
        <v>182</v>
      </c>
      <c r="BA143" s="103" t="s">
        <v>362</v>
      </c>
      <c r="BB143" s="10">
        <v>284466</v>
      </c>
      <c r="BE143" s="70"/>
      <c r="BF143" s="249"/>
    </row>
    <row r="144" spans="51:58" ht="12.75">
      <c r="AY144" s="103" t="s">
        <v>146</v>
      </c>
      <c r="AZ144" s="103" t="s">
        <v>147</v>
      </c>
      <c r="BA144" s="103" t="s">
        <v>362</v>
      </c>
      <c r="BB144" s="10">
        <v>319933</v>
      </c>
      <c r="BE144" s="70"/>
      <c r="BF144" s="241"/>
    </row>
    <row r="145" spans="51:58" ht="12.75">
      <c r="AY145" s="103" t="s">
        <v>111</v>
      </c>
      <c r="AZ145" s="103" t="s">
        <v>112</v>
      </c>
      <c r="BA145" s="103" t="s">
        <v>362</v>
      </c>
      <c r="BB145" s="10">
        <v>192336</v>
      </c>
      <c r="BE145" s="248"/>
      <c r="BF145" s="249"/>
    </row>
    <row r="146" spans="51:58" ht="12.75">
      <c r="AY146" s="103" t="s">
        <v>237</v>
      </c>
      <c r="AZ146" s="103" t="s">
        <v>238</v>
      </c>
      <c r="BA146" s="103" t="s">
        <v>362</v>
      </c>
      <c r="BB146" s="10">
        <v>548313</v>
      </c>
      <c r="BF146" s="252"/>
    </row>
    <row r="147" spans="51:58" ht="12.75">
      <c r="AY147" s="103" t="s">
        <v>247</v>
      </c>
      <c r="AZ147" s="103" t="s">
        <v>248</v>
      </c>
      <c r="BA147" s="103" t="s">
        <v>362</v>
      </c>
      <c r="BB147" s="10">
        <v>287229</v>
      </c>
      <c r="BF147" s="252"/>
    </row>
    <row r="148" spans="51:58" ht="12.75">
      <c r="AY148" s="103" t="s">
        <v>222</v>
      </c>
      <c r="AZ148" s="103" t="s">
        <v>466</v>
      </c>
      <c r="BA148" s="103" t="s">
        <v>543</v>
      </c>
      <c r="BB148" s="10">
        <v>707573</v>
      </c>
      <c r="BF148" s="252"/>
    </row>
    <row r="149" spans="51:58" ht="12.75">
      <c r="AY149" s="103" t="s">
        <v>218</v>
      </c>
      <c r="AZ149" s="103" t="s">
        <v>219</v>
      </c>
      <c r="BA149" s="103" t="s">
        <v>543</v>
      </c>
      <c r="BB149" s="10">
        <v>825533</v>
      </c>
      <c r="BE149" s="248"/>
      <c r="BF149" s="249"/>
    </row>
    <row r="150" spans="51:58" ht="12.75">
      <c r="AY150" s="103" t="s">
        <v>196</v>
      </c>
      <c r="AZ150" s="103" t="s">
        <v>197</v>
      </c>
      <c r="BA150" s="103" t="s">
        <v>362</v>
      </c>
      <c r="BB150" s="10">
        <v>259945</v>
      </c>
      <c r="BF150" s="252"/>
    </row>
    <row r="151" spans="51:58" ht="12.75">
      <c r="AY151" s="103" t="s">
        <v>138</v>
      </c>
      <c r="AZ151" s="103" t="s">
        <v>139</v>
      </c>
      <c r="BA151" s="103" t="s">
        <v>362</v>
      </c>
      <c r="BB151" s="10">
        <v>246573</v>
      </c>
      <c r="BF151" s="252"/>
    </row>
    <row r="152" spans="51:58" ht="12.75">
      <c r="AY152" s="103" t="s">
        <v>266</v>
      </c>
      <c r="AZ152" s="103" t="s">
        <v>267</v>
      </c>
      <c r="BA152" s="103" t="s">
        <v>543</v>
      </c>
      <c r="BB152" s="10">
        <v>462395</v>
      </c>
      <c r="BE152" s="250"/>
      <c r="BF152" s="239"/>
    </row>
    <row r="153" spans="51:58" ht="12.75">
      <c r="AY153" s="103" t="s">
        <v>191</v>
      </c>
      <c r="AZ153" s="103" t="s">
        <v>192</v>
      </c>
      <c r="BA153" s="103" t="s">
        <v>362</v>
      </c>
      <c r="BB153" s="10">
        <v>332176</v>
      </c>
      <c r="BF153" s="252"/>
    </row>
    <row r="154" spans="51:58" ht="12.75">
      <c r="AY154" s="103" t="s">
        <v>161</v>
      </c>
      <c r="AZ154" s="103" t="s">
        <v>453</v>
      </c>
      <c r="BA154" s="103" t="s">
        <v>362</v>
      </c>
      <c r="BB154" s="10">
        <v>246213</v>
      </c>
      <c r="BE154" s="237"/>
      <c r="BF154" s="238"/>
    </row>
    <row r="155" spans="51:58" ht="12.75">
      <c r="AY155" s="103" t="s">
        <v>235</v>
      </c>
      <c r="AZ155" s="103" t="s">
        <v>236</v>
      </c>
      <c r="BA155" s="103" t="s">
        <v>543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610</v>
      </c>
      <c r="B3" s="56" t="s">
        <v>108</v>
      </c>
      <c r="C3" s="56" t="s">
        <v>24</v>
      </c>
    </row>
    <row r="4" spans="1:2" ht="12.75">
      <c r="A4" s="76">
        <v>1</v>
      </c>
      <c r="B4" s="78" t="s">
        <v>107</v>
      </c>
    </row>
    <row r="5" ht="12.75">
      <c r="A5" s="280" t="s">
        <v>610</v>
      </c>
    </row>
    <row r="6" ht="12.75">
      <c r="A6" s="280" t="s">
        <v>595</v>
      </c>
    </row>
    <row r="7" ht="12.75">
      <c r="A7" s="280" t="s">
        <v>580</v>
      </c>
    </row>
    <row r="8" ht="12.75">
      <c r="A8" s="280" t="s">
        <v>561</v>
      </c>
    </row>
    <row r="9" ht="12.75">
      <c r="A9" s="280" t="s">
        <v>615</v>
      </c>
    </row>
    <row r="10" ht="12.75">
      <c r="A10" s="280" t="s">
        <v>575</v>
      </c>
    </row>
    <row r="11" ht="12.75">
      <c r="A11" s="280" t="s">
        <v>553</v>
      </c>
    </row>
    <row r="12" ht="12.75">
      <c r="A12" s="280" t="s">
        <v>586</v>
      </c>
    </row>
    <row r="13" ht="12.75">
      <c r="A13" s="280" t="s">
        <v>609</v>
      </c>
    </row>
    <row r="14" ht="12.75">
      <c r="A14" s="280" t="s">
        <v>620</v>
      </c>
    </row>
    <row r="15" ht="12.75">
      <c r="A15" s="280" t="s">
        <v>604</v>
      </c>
    </row>
    <row r="16" ht="12.75">
      <c r="A16" s="280" t="s">
        <v>560</v>
      </c>
    </row>
    <row r="17" ht="12.75">
      <c r="A17" s="280" t="s">
        <v>573</v>
      </c>
    </row>
    <row r="18" ht="12.75">
      <c r="A18" s="280" t="s">
        <v>585</v>
      </c>
    </row>
    <row r="19" ht="12.75">
      <c r="A19" s="280" t="s">
        <v>597</v>
      </c>
    </row>
    <row r="20" ht="12.75">
      <c r="A20" s="280" t="s">
        <v>613</v>
      </c>
    </row>
    <row r="21" ht="12.75">
      <c r="A21" s="280" t="s">
        <v>556</v>
      </c>
    </row>
    <row r="22" ht="12.75">
      <c r="A22" s="280" t="s">
        <v>563</v>
      </c>
    </row>
    <row r="23" ht="12.75">
      <c r="A23" s="280" t="s">
        <v>562</v>
      </c>
    </row>
    <row r="24" ht="12.75">
      <c r="A24" s="280" t="s">
        <v>558</v>
      </c>
    </row>
    <row r="25" ht="12.75">
      <c r="A25" s="280" t="s">
        <v>589</v>
      </c>
    </row>
    <row r="26" ht="12.75">
      <c r="A26" s="280" t="s">
        <v>574</v>
      </c>
    </row>
    <row r="27" ht="12.75">
      <c r="A27" s="280" t="s">
        <v>559</v>
      </c>
    </row>
    <row r="28" ht="12.75">
      <c r="A28" s="280" t="s">
        <v>551</v>
      </c>
    </row>
    <row r="29" ht="12.75">
      <c r="A29" s="280" t="s">
        <v>557</v>
      </c>
    </row>
    <row r="30" ht="12.75">
      <c r="A30" s="280" t="s">
        <v>565</v>
      </c>
    </row>
    <row r="31" ht="12.75">
      <c r="A31" s="280" t="s">
        <v>577</v>
      </c>
    </row>
    <row r="32" ht="12.75">
      <c r="A32" s="280" t="s">
        <v>572</v>
      </c>
    </row>
    <row r="33" ht="12.75">
      <c r="A33" s="280" t="s">
        <v>626</v>
      </c>
    </row>
    <row r="34" ht="12.75">
      <c r="A34" s="280" t="s">
        <v>550</v>
      </c>
    </row>
    <row r="35" ht="12.75">
      <c r="A35" s="280" t="s">
        <v>555</v>
      </c>
    </row>
    <row r="36" ht="12.75">
      <c r="A36" s="280" t="s">
        <v>579</v>
      </c>
    </row>
    <row r="37" ht="12.75">
      <c r="A37" s="280" t="s">
        <v>582</v>
      </c>
    </row>
    <row r="38" ht="12.75">
      <c r="A38" s="280" t="s">
        <v>602</v>
      </c>
    </row>
    <row r="39" ht="12.75">
      <c r="A39" s="280" t="s">
        <v>576</v>
      </c>
    </row>
    <row r="40" ht="12.75">
      <c r="A40" s="280" t="s">
        <v>552</v>
      </c>
    </row>
    <row r="41" ht="12.75">
      <c r="A41" s="280" t="s">
        <v>567</v>
      </c>
    </row>
    <row r="42" ht="12.75">
      <c r="A42" s="280" t="s">
        <v>570</v>
      </c>
    </row>
    <row r="43" ht="12.75">
      <c r="A43" s="280" t="s">
        <v>584</v>
      </c>
    </row>
    <row r="44" ht="12.75">
      <c r="A44" s="280" t="s">
        <v>566</v>
      </c>
    </row>
    <row r="45" ht="12.75">
      <c r="A45" s="280" t="s">
        <v>621</v>
      </c>
    </row>
    <row r="46" ht="12.75">
      <c r="A46" s="280" t="s">
        <v>627</v>
      </c>
    </row>
    <row r="47" ht="12.75">
      <c r="A47" s="280" t="s">
        <v>594</v>
      </c>
    </row>
    <row r="48" ht="12.75">
      <c r="A48" s="280" t="s">
        <v>571</v>
      </c>
    </row>
    <row r="49" ht="12.75">
      <c r="A49" s="280" t="s">
        <v>625</v>
      </c>
    </row>
    <row r="50" ht="12.75">
      <c r="A50" s="280" t="s">
        <v>603</v>
      </c>
    </row>
    <row r="51" ht="12.75">
      <c r="A51" s="280" t="s">
        <v>583</v>
      </c>
    </row>
    <row r="52" ht="12.75">
      <c r="A52" s="280" t="s">
        <v>548</v>
      </c>
    </row>
    <row r="53" ht="12.75">
      <c r="A53" s="280" t="s">
        <v>588</v>
      </c>
    </row>
    <row r="54" ht="12.75">
      <c r="A54" s="280" t="s">
        <v>578</v>
      </c>
    </row>
    <row r="55" ht="12.75">
      <c r="A55" s="280" t="s">
        <v>592</v>
      </c>
    </row>
    <row r="56" ht="12.75">
      <c r="A56" s="280" t="s">
        <v>569</v>
      </c>
    </row>
    <row r="57" ht="12.75">
      <c r="A57" s="280" t="s">
        <v>611</v>
      </c>
    </row>
    <row r="58" ht="12.75">
      <c r="A58" s="280" t="s">
        <v>612</v>
      </c>
    </row>
    <row r="59" ht="12.75">
      <c r="A59" s="280" t="s">
        <v>601</v>
      </c>
    </row>
    <row r="60" ht="12.75">
      <c r="A60" s="280" t="s">
        <v>606</v>
      </c>
    </row>
    <row r="61" ht="12.75">
      <c r="A61" s="280" t="s">
        <v>591</v>
      </c>
    </row>
    <row r="62" ht="12.75">
      <c r="A62" s="280" t="s">
        <v>608</v>
      </c>
    </row>
    <row r="63" ht="12.75">
      <c r="A63" s="280" t="s">
        <v>622</v>
      </c>
    </row>
    <row r="64" ht="12.75">
      <c r="A64" s="280" t="s">
        <v>590</v>
      </c>
    </row>
    <row r="65" ht="12.75">
      <c r="A65" s="280" t="s">
        <v>619</v>
      </c>
    </row>
    <row r="66" ht="12.75">
      <c r="A66" s="280" t="s">
        <v>607</v>
      </c>
    </row>
    <row r="67" ht="12.75">
      <c r="A67" s="280" t="s">
        <v>624</v>
      </c>
    </row>
    <row r="68" ht="12.75">
      <c r="A68" s="280" t="s">
        <v>593</v>
      </c>
    </row>
    <row r="69" ht="12.75">
      <c r="A69" s="280" t="s">
        <v>564</v>
      </c>
    </row>
    <row r="70" ht="12.75">
      <c r="A70" s="280" t="s">
        <v>581</v>
      </c>
    </row>
    <row r="71" ht="12.75">
      <c r="A71" s="280" t="s">
        <v>587</v>
      </c>
    </row>
    <row r="72" ht="12.75">
      <c r="A72" s="280" t="s">
        <v>623</v>
      </c>
    </row>
    <row r="73" ht="12.75">
      <c r="A73" s="280" t="s">
        <v>614</v>
      </c>
    </row>
    <row r="74" ht="12.75">
      <c r="A74" s="280" t="s">
        <v>618</v>
      </c>
    </row>
    <row r="75" ht="12.75">
      <c r="A75" s="280" t="s">
        <v>605</v>
      </c>
    </row>
    <row r="76" ht="12.75">
      <c r="A76" s="280" t="s">
        <v>596</v>
      </c>
    </row>
    <row r="77" ht="12.75">
      <c r="A77" s="280" t="s">
        <v>599</v>
      </c>
    </row>
    <row r="78" ht="12.75">
      <c r="A78" s="280" t="s">
        <v>617</v>
      </c>
    </row>
    <row r="79" ht="12.75">
      <c r="A79" s="280" t="s">
        <v>600</v>
      </c>
    </row>
    <row r="80" ht="12.75">
      <c r="A80" s="280" t="s">
        <v>616</v>
      </c>
    </row>
    <row r="81" ht="12.75">
      <c r="A81" s="280" t="s">
        <v>549</v>
      </c>
    </row>
    <row r="82" ht="12.75">
      <c r="A82" s="280" t="s">
        <v>568</v>
      </c>
    </row>
    <row r="83" ht="12.75">
      <c r="A83" s="280" t="s">
        <v>598</v>
      </c>
    </row>
    <row r="84" ht="12.75">
      <c r="A84" s="280" t="s">
        <v>554</v>
      </c>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