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<sst xmlns="http://schemas.openxmlformats.org/spreadsheetml/2006/main" count="1859" uniqueCount="600">
  <si>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</si>
  <si>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</si>
  <si>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</si>
  <si>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</si>
  <si>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</si>
  <si>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</si>
  <si>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</si>
  <si>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</si>
  <si>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</si>
  <si>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</si>
  <si>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</si>
  <si>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</si>
  <si>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</si>
  <si>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</si>
  <si>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</si>
  <si>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</si>
  <si>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</si>
  <si>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</si>
  <si>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</si>
  <si>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</si>
  <si>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</si>
  <si>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</si>
  <si>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</si>
  <si>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</si>
  <si>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</si>
  <si>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</si>
  <si>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</si>
  <si>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</si>
  <si>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</si>
  <si>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</si>
  <si>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</si>
  <si>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</si>
  <si>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</si>
  <si>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</si>
  <si>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</si>
  <si>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</si>
  <si>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</si>
  <si>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</si>
  <si>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</si>
  <si>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</si>
  <si>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</si>
  <si>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</si>
  <si>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</si>
  <si>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</si>
  <si>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</si>
  <si>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</si>
  <si>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</si>
  <si>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</si>
  <si>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</si>
  <si>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</si>
  <si>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</si>
  <si>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</si>
  <si>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</si>
  <si>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</si>
  <si>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</si>
  <si>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</si>
  <si>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</si>
  <si>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</si>
  <si>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</si>
  <si>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</si>
  <si>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</si>
  <si>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</si>
  <si>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</si>
  <si>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</si>
  <si>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</si>
  <si>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</si>
  <si>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</si>
  <si>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</si>
  <si>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</si>
  <si>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</si>
  <si>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</si>
  <si>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</si>
  <si>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</si>
  <si>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</si>
  <si>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</si>
  <si>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</si>
  <si>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</si>
  <si>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</si>
  <si>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</si>
  <si>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</si>
  <si>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</si>
  <si>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</si>
  <si>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</si>
  <si>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</si>
  <si>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</si>
  <si>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</si>
  <si>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</si>
  <si>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</si>
  <si>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</si>
  <si>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</si>
  <si>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</si>
  <si>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</si>
  <si>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</si>
  <si>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</si>
  <si>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</si>
  <si>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</si>
  <si>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</si>
  <si>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</si>
  <si>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</si>
  <si>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</si>
  <si>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</si>
  <si>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</si>
  <si>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</si>
  <si>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</si>
  <si>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</si>
  <si>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</si>
  <si>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</si>
  <si>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</si>
  <si>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</si>
  <si>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</si>
  <si>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</si>
  <si>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</si>
  <si>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</si>
  <si>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</si>
  <si>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</si>
  <si>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</si>
  <si>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</si>
  <si>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</si>
  <si>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</si>
  <si>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</si>
  <si>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</si>
  <si>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</si>
  <si>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</si>
  <si>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</si>
  <si>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</si>
  <si>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</si>
  <si>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</si>
  <si>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</si>
  <si>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</si>
  <si>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</si>
  <si>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</si>
  <si>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</si>
  <si>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</si>
  <si>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</si>
  <si>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</si>
  <si>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</si>
  <si>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</si>
  <si>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</si>
  <si>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</si>
  <si>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</si>
  <si>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</si>
  <si>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</si>
  <si>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</si>
  <si>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</si>
  <si>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</si>
  <si>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</si>
  <si>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</si>
  <si>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</si>
  <si>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</si>
  <si>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</si>
  <si>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</si>
  <si>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</si>
  <si>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</si>
  <si>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</si>
  <si>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</si>
  <si>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</si>
  <si>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</si>
  <si>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</si>
  <si>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</si>
  <si>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</si>
  <si>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</si>
  <si>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</si>
  <si>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</si>
  <si>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</si>
  <si>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</si>
  <si>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</si>
  <si>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</si>
  <si>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</si>
  <si>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</si>
  <si>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</si>
  <si>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</si>
  <si>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</si>
  <si>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</si>
  <si>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</si>
  <si>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</si>
  <si>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</si>
  <si>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</si>
  <si>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</si>
  <si>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</si>
  <si>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</si>
  <si>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</si>
  <si>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</si>
  <si>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</si>
  <si>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</si>
  <si>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</si>
  <si>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</si>
  <si>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</si>
  <si>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</si>
  <si>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</si>
  <si>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</si>
  <si>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</si>
  <si>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</si>
  <si>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</si>
  <si>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</si>
  <si>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</si>
  <si>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</si>
  <si>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</si>
  <si>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</si>
  <si>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</si>
  <si>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</si>
  <si>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</si>
  <si>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</si>
  <si>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</si>
  <si>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</si>
  <si>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</si>
  <si>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</si>
  <si>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</si>
  <si>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</si>
  <si>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</si>
  <si>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</si>
  <si>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</si>
  <si>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</si>
  <si>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</si>
  <si>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</si>
  <si>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</si>
  <si>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</si>
  <si>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</si>
  <si>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</si>
  <si>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</si>
  <si>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</si>
  <si>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</si>
  <si>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</si>
  <si>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</si>
  <si>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</si>
  <si>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</si>
  <si>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</si>
  <si>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</si>
  <si>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</si>
  <si>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</si>
  <si>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</si>
  <si>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</si>
  <si>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</si>
  <si>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</si>
  <si>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</si>
  <si>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</si>
  <si>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</si>
  <si>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</si>
  <si>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</si>
  <si>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</si>
  <si>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</si>
  <si>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</si>
  <si>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</si>
  <si>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</si>
  <si>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</si>
  <si>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</si>
  <si>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</si>
  <si>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</si>
  <si>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</si>
  <si>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</si>
  <si>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</si>
  <si>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</si>
  <si>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</si>
  <si>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</si>
  <si>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</si>
  <si>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</si>
  <si>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</si>
  <si>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</si>
  <si>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</si>
  <si>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</si>
  <si>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</si>
  <si>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</si>
  <si>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</si>
  <si>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</si>
  <si>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</si>
  <si>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</si>
  <si>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</si>
  <si>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</si>
  <si>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</si>
  <si>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</si>
  <si>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</si>
  <si>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</si>
  <si>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</si>
  <si>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</si>
  <si>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</si>
  <si>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</si>
  <si>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</si>
  <si>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</si>
  <si>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</si>
  <si>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</si>
  <si>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</si>
  <si>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</si>
  <si>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</si>
  <si>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H83001</t>
  </si>
  <si>
    <t>H83002</t>
  </si>
  <si>
    <t>H83004</t>
  </si>
  <si>
    <t>H83005</t>
  </si>
  <si>
    <t>H83006</t>
  </si>
  <si>
    <t>H83007</t>
  </si>
  <si>
    <t>H83008</t>
  </si>
  <si>
    <t>H83009</t>
  </si>
  <si>
    <t>H83010</t>
  </si>
  <si>
    <t>H83011</t>
  </si>
  <si>
    <t>H83012</t>
  </si>
  <si>
    <t>H83013</t>
  </si>
  <si>
    <t>H83014</t>
  </si>
  <si>
    <t>H83015</t>
  </si>
  <si>
    <t>H83016</t>
  </si>
  <si>
    <t>H83017</t>
  </si>
  <si>
    <t>H83018</t>
  </si>
  <si>
    <t>H83019</t>
  </si>
  <si>
    <t>H83020</t>
  </si>
  <si>
    <t>H83021</t>
  </si>
  <si>
    <t>H83022</t>
  </si>
  <si>
    <t>H83023</t>
  </si>
  <si>
    <t>H83024</t>
  </si>
  <si>
    <t>H83025</t>
  </si>
  <si>
    <t>H83027</t>
  </si>
  <si>
    <t>H83028</t>
  </si>
  <si>
    <t>H83029</t>
  </si>
  <si>
    <t>H83030</t>
  </si>
  <si>
    <t>H83031</t>
  </si>
  <si>
    <t>H83033</t>
  </si>
  <si>
    <t>H83034</t>
  </si>
  <si>
    <t>H83035</t>
  </si>
  <si>
    <t>H83037</t>
  </si>
  <si>
    <t>H83039</t>
  </si>
  <si>
    <t>H83040</t>
  </si>
  <si>
    <t>H83041</t>
  </si>
  <si>
    <t>H83042</t>
  </si>
  <si>
    <t>H83043</t>
  </si>
  <si>
    <t>H83044</t>
  </si>
  <si>
    <t>H83046</t>
  </si>
  <si>
    <t>H83048</t>
  </si>
  <si>
    <t>H83049</t>
  </si>
  <si>
    <t>H83050</t>
  </si>
  <si>
    <t>H83051</t>
  </si>
  <si>
    <t>H83052</t>
  </si>
  <si>
    <t>H83053</t>
  </si>
  <si>
    <t>H83608</t>
  </si>
  <si>
    <t>H83609</t>
  </si>
  <si>
    <t>H83611</t>
  </si>
  <si>
    <t>H83616</t>
  </si>
  <si>
    <t>H83620</t>
  </si>
  <si>
    <t>H83622</t>
  </si>
  <si>
    <t>H83623</t>
  </si>
  <si>
    <t>H83624</t>
  </si>
  <si>
    <t>H83625</t>
  </si>
  <si>
    <t>H83626</t>
  </si>
  <si>
    <t>H83627</t>
  </si>
  <si>
    <t>H83631</t>
  </si>
  <si>
    <t>H83634</t>
  </si>
  <si>
    <t>H83635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</si>
  <si>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</si>
  <si>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</si>
  <si>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</si>
  <si>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</si>
  <si>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</si>
  <si>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</si>
  <si>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</si>
  <si>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</si>
  <si>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</si>
  <si>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</si>
  <si>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</si>
  <si>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</si>
  <si>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</si>
  <si>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</si>
  <si>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</si>
  <si>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</si>
  <si>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</si>
  <si>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</si>
  <si>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</si>
  <si>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</si>
  <si>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</si>
  <si>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</si>
  <si>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</si>
  <si>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</si>
  <si>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</si>
  <si>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</si>
  <si>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</si>
  <si>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</si>
  <si>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</si>
  <si>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</si>
  <si>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</si>
  <si>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</si>
  <si>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</si>
  <si>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</si>
  <si>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</si>
  <si>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</si>
  <si>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</si>
  <si>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</si>
  <si>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</si>
  <si>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</si>
  <si>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</si>
  <si>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</si>
  <si>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</si>
  <si>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</si>
  <si>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</si>
  <si>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</si>
  <si>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</si>
  <si>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</si>
  <si>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</si>
  <si>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</si>
  <si>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</si>
  <si>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</si>
  <si>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</si>
  <si>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</si>
  <si>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</si>
  <si>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</si>
  <si>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</si>
  <si>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</si>
  <si>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</si>
  <si>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</si>
  <si>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</si>
  <si>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</si>
  <si>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</si>
  <si>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</si>
  <si>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</si>
  <si>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</si>
  <si>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</si>
  <si>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</si>
  <si>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</si>
  <si>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</si>
  <si>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</si>
  <si>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</si>
  <si>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</si>
  <si>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</si>
  <si>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</si>
  <si>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</si>
  <si>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</si>
  <si>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</si>
  <si>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</si>
  <si>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</si>
  <si>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</si>
  <si>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</si>
  <si>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</si>
  <si>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</si>
  <si>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</si>
  <si>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</si>
  <si>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</si>
  <si>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</si>
  <si>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</si>
  <si>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</si>
  <si>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</si>
  <si>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</si>
  <si>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</si>
  <si>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</si>
  <si>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</si>
  <si>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</si>
  <si>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</si>
  <si>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</si>
  <si>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</si>
  <si>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</si>
  <si>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</si>
  <si>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</si>
  <si>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</si>
  <si>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</si>
  <si>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</si>
  <si>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</si>
  <si>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</si>
  <si>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</si>
  <si>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</si>
  <si>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</si>
  <si>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</si>
  <si>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</si>
  <si>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</si>
  <si>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</si>
  <si>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</si>
  <si>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</si>
  <si>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</si>
  <si>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</si>
  <si>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</si>
  <si>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</si>
  <si>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</si>
  <si>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</si>
  <si>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</si>
  <si>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</si>
  <si>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</si>
  <si>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</si>
  <si>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</si>
  <si>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</si>
  <si>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</si>
  <si>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</si>
  <si>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</si>
  <si>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</si>
  <si>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</si>
  <si>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</si>
  <si>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</si>
  <si>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</si>
  <si>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</si>
  <si>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</si>
  <si>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</si>
  <si>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</si>
  <si>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</si>
  <si>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</si>
  <si>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</si>
  <si>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</si>
  <si>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</si>
  <si>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</si>
  <si>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</si>
  <si>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</si>
  <si>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</si>
  <si>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</si>
  <si>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</si>
  <si>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</si>
  <si>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</si>
  <si>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</si>
  <si>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</si>
  <si>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</si>
  <si>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</si>
  <si>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</si>
  <si>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</si>
  <si>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</si>
  <si>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</si>
  <si>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</si>
  <si>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</si>
  <si>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</si>
  <si>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</si>
  <si>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</si>
  <si>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</si>
  <si>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</si>
  <si>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</si>
  <si>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</si>
  <si>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</si>
  <si>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</si>
  <si>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</si>
  <si>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</si>
  <si>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</si>
  <si>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</si>
  <si>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</si>
  <si>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</si>
  <si>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</si>
  <si>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</si>
  <si>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</si>
  <si>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</si>
  <si>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</si>
  <si>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</si>
  <si>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</si>
  <si>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</si>
  <si>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(H83001) PORTLAND MEDICAL CENTRE</t>
  </si>
  <si>
    <t>(H83002) HEATHFIELD SURGERY</t>
  </si>
  <si>
    <t>(H83004) THE FARLEY ROAD MEDICAL PRACTICE</t>
  </si>
  <si>
    <t>(H83005) UPPER NORWOOD GROUP PRACTICE</t>
  </si>
  <si>
    <t>(H83006) PARKWAY HEALTH CENTRE (02)</t>
  </si>
  <si>
    <t>(H83007) VIOLET LANE MEDICAL PRACTICE</t>
  </si>
  <si>
    <t>(H83008) THE ADDISCOMBE SURGERY</t>
  </si>
  <si>
    <t>(H83009) NORBURY HEALTH CENTRE (02)</t>
  </si>
  <si>
    <t>(H83010) SOUTH NORWOOD HILL MEDICAL CENTRE</t>
  </si>
  <si>
    <t>(H83011) NORTH CROYDON MEDICAL CENTRE</t>
  </si>
  <si>
    <t>(H83012) ST. JAMES'S MEDICAL CENTRE</t>
  </si>
  <si>
    <t>(H83013) OLD COULSDON MEDICAL PRACTICE</t>
  </si>
  <si>
    <t>(H83014) QUEENHILL MEDICAL PRACTICE</t>
  </si>
  <si>
    <t>(H83015) PARKSIDE GROUP PRACTICE</t>
  </si>
  <si>
    <t>(H83016) KESTON HOUSE MEDICAL PRACTICE</t>
  </si>
  <si>
    <t>(H83017) BRIGSTOCK MEDICAL CENTRE</t>
  </si>
  <si>
    <t>(H83018) SELSDON PARK MEDICAL PRACTICE</t>
  </si>
  <si>
    <t>(H83019) FRIENDS ROAD MEDICAL PRACTICE</t>
  </si>
  <si>
    <t>(H83020) EVERSLEY MEDICAL CENTRE</t>
  </si>
  <si>
    <t>(H83021) LINDEN LODGE MEDICAL PRACTICE</t>
  </si>
  <si>
    <t>(H83022) THORNTON HEATH HEALTH CENTRE</t>
  </si>
  <si>
    <t>(H83023) MORLAND ROAD SURGERY</t>
  </si>
  <si>
    <t>(H83024) THE WOODCOTE GROUP PRACTICE</t>
  </si>
  <si>
    <t>(H83025) WOODSIDE GROUP PRACTICE</t>
  </si>
  <si>
    <t>(H83027) PARKWAY HEALTH CENTRE (01)</t>
  </si>
  <si>
    <t>(H83028) PARKWAY HEALTH CENTRE (03)</t>
  </si>
  <si>
    <t>(H83029) HARTLAND WAY SURGERY</t>
  </si>
  <si>
    <t>(H83030) BROOM ROAD PRACTICE</t>
  </si>
  <si>
    <t>(H83031) THE HALING PARK PARTNERSHIP</t>
  </si>
  <si>
    <t>(H83033) ASHBURTON PARK MEDICAL CENTRE</t>
  </si>
  <si>
    <t>(H83034) THE WHITEHORSE PRACTICE</t>
  </si>
  <si>
    <t>(H83035) SOUTH WAY SURGERY</t>
  </si>
  <si>
    <t>(H83037) AUCKLAND SURGERY</t>
  </si>
  <si>
    <t>(H83039) STOVELL HOUSE SURGERY</t>
  </si>
  <si>
    <t>(H83040) MITCHLEY AVENUE SURGERY</t>
  </si>
  <si>
    <t>(H83041) SOUTH NORWOOD MEDICAL CENTRE</t>
  </si>
  <si>
    <t>(H83042) LEANDER ROAD PRIMARY CARE CENTRE</t>
  </si>
  <si>
    <t>(H83043) SHIRLEY MEDICAL CENTRE</t>
  </si>
  <si>
    <t>(H83044) EAST CROYDON MEDICAL CENTRE</t>
  </si>
  <si>
    <t>(H83046) FIELDWAY MEDICAL CENTRE</t>
  </si>
  <si>
    <t>(H83048) DOWNLAND SURGERY</t>
  </si>
  <si>
    <t>(H83049) HEADLEY DRIVE SURGERY</t>
  </si>
  <si>
    <t>(H83050) THE MOORINGS MEDICAL PRACTICE</t>
  </si>
  <si>
    <t>(H83051) THORNTON ROAD SURGERY</t>
  </si>
  <si>
    <t>(H83052) BRAMLEY AVENUE SURGERY</t>
  </si>
  <si>
    <t>(H83608) BRIGSTOCK FAMILY PRACTICE</t>
  </si>
  <si>
    <t>(H83609) MERSHAM MEDICAL CENTRE</t>
  </si>
  <si>
    <t>(H83611) SELHURST MEDICAL PRACTICE</t>
  </si>
  <si>
    <t>(H83616) PURLEY MEDICAL PRACTICE</t>
  </si>
  <si>
    <t>(H83620) COULSDON MEDICAL PRACTICE</t>
  </si>
  <si>
    <t>(H83622) SOUTH NORWOOD MEDICAL PRACTICE</t>
  </si>
  <si>
    <t>(H83623) SOUTH CROYDON MEDICAL CENTRE</t>
  </si>
  <si>
    <t>(H83624) FAIRVIEW MEDICAL CENTRE</t>
  </si>
  <si>
    <t>(H83625) BROUGHTON CORNER MEDICAL CENTRE</t>
  </si>
  <si>
    <t>(H83626) WOODSIDE HEALTH CENTRE (02)</t>
  </si>
  <si>
    <t>(H83627) BIRDHURST MEDICAL PRACTICE</t>
  </si>
  <si>
    <t>(H83631) GREENSIDE MEDICAL PRACTICE</t>
  </si>
  <si>
    <t>(H83634) VALLEY PARK SURGERY</t>
  </si>
  <si>
    <t>(H83635) WOODSIDE HEALTH CENTRE (04)</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</si>
  <si>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</si>
  <si>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</si>
  <si>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</si>
  <si>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</si>
  <si>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</si>
  <si>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</si>
  <si>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</si>
  <si>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</si>
  <si>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</si>
  <si>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</si>
  <si>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(H83053) DR RK NAMASIVAYAM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</si>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</sst>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0.7410986130806704</c:v>
                </c:pt>
                <c:pt idx="8">
                  <c:v>0.8060688099103325</c:v>
                </c:pt>
                <c:pt idx="9">
                  <c:v>0.9440370902064175</c:v>
                </c:pt>
                <c:pt idx="10">
                  <c:v>1</c:v>
                </c:pt>
                <c:pt idx="11">
                  <c:v>1</c:v>
                </c:pt>
                <c:pt idx="12">
                  <c:v>1</c:v>
                </c:pt>
                <c:pt idx="13">
                  <c:v>0</c:v>
                </c:pt>
                <c:pt idx="14">
                  <c:v>1</c:v>
                </c:pt>
                <c:pt idx="15">
                  <c:v>0.8875038667715953</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0.6281415758548632</c:v>
                </c:pt>
                <c:pt idx="3">
                  <c:v>0.6160714114655056</c:v>
                </c:pt>
                <c:pt idx="4">
                  <c:v>0.6156663050269635</c:v>
                </c:pt>
                <c:pt idx="5">
                  <c:v>0.5363016057816785</c:v>
                </c:pt>
                <c:pt idx="6">
                  <c:v>0.6293103453812857</c:v>
                </c:pt>
                <c:pt idx="7">
                  <c:v>0.5867392524664182</c:v>
                </c:pt>
                <c:pt idx="8">
                  <c:v>0.5691325609361246</c:v>
                </c:pt>
                <c:pt idx="9">
                  <c:v>0.6084788790793555</c:v>
                </c:pt>
                <c:pt idx="10">
                  <c:v>0.6629778965371677</c:v>
                </c:pt>
                <c:pt idx="11">
                  <c:v>0.6590942053522049</c:v>
                </c:pt>
                <c:pt idx="12">
                  <c:v>0.5779016257843852</c:v>
                </c:pt>
                <c:pt idx="13">
                  <c:v>0</c:v>
                </c:pt>
                <c:pt idx="14">
                  <c:v>0.6673293743799994</c:v>
                </c:pt>
                <c:pt idx="15">
                  <c:v>0.70182103935793</c:v>
                </c:pt>
                <c:pt idx="16">
                  <c:v>0.5385558645010577</c:v>
                </c:pt>
                <c:pt idx="17">
                  <c:v>0.5245766832039964</c:v>
                </c:pt>
                <c:pt idx="18">
                  <c:v>0.5787325734226406</c:v>
                </c:pt>
                <c:pt idx="19">
                  <c:v>0.5656423839777065</c:v>
                </c:pt>
                <c:pt idx="20">
                  <c:v>0.5703616883710078</c:v>
                </c:pt>
                <c:pt idx="21">
                  <c:v>0.6071111558112763</c:v>
                </c:pt>
                <c:pt idx="22">
                  <c:v>0.6774440520005378</c:v>
                </c:pt>
                <c:pt idx="23">
                  <c:v>0.6086365353068148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0.43291332660509785</c:v>
                </c:pt>
                <c:pt idx="3">
                  <c:v>0.2142857522988764</c:v>
                </c:pt>
                <c:pt idx="4">
                  <c:v>0.3802725154351607</c:v>
                </c:pt>
                <c:pt idx="5">
                  <c:v>0.47510279702262886</c:v>
                </c:pt>
                <c:pt idx="6">
                  <c:v>0.44827585542457166</c:v>
                </c:pt>
                <c:pt idx="7">
                  <c:v>0.41083427313875387</c:v>
                </c:pt>
                <c:pt idx="8">
                  <c:v>0.3678757370127094</c:v>
                </c:pt>
                <c:pt idx="9">
                  <c:v>0.3876967067870931</c:v>
                </c:pt>
                <c:pt idx="10">
                  <c:v>0.3798200911294569</c:v>
                </c:pt>
                <c:pt idx="11">
                  <c:v>0.37097808666012033</c:v>
                </c:pt>
                <c:pt idx="12">
                  <c:v>0.4523254032446433</c:v>
                </c:pt>
                <c:pt idx="13">
                  <c:v>0</c:v>
                </c:pt>
                <c:pt idx="14">
                  <c:v>0.38600910158458335</c:v>
                </c:pt>
                <c:pt idx="15">
                  <c:v>0.36739725740605583</c:v>
                </c:pt>
                <c:pt idx="16">
                  <c:v>0.4379251758266002</c:v>
                </c:pt>
                <c:pt idx="17">
                  <c:v>0.4865323818260067</c:v>
                </c:pt>
                <c:pt idx="18">
                  <c:v>0.3869647614443277</c:v>
                </c:pt>
                <c:pt idx="19">
                  <c:v>0.4523865025391514</c:v>
                </c:pt>
                <c:pt idx="20">
                  <c:v>0.4446846143686356</c:v>
                </c:pt>
                <c:pt idx="21">
                  <c:v>0.39959800163097076</c:v>
                </c:pt>
                <c:pt idx="22">
                  <c:v>0.36968641931530954</c:v>
                </c:pt>
                <c:pt idx="23">
                  <c:v>0.43681752925966716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0.17946865228253156</c:v>
                </c:pt>
                <c:pt idx="3">
                  <c:v>0.035714340833370765</c:v>
                </c:pt>
                <c:pt idx="4">
                  <c:v>0.22306783613909323</c:v>
                </c:pt>
                <c:pt idx="5">
                  <c:v>0.41558367720047384</c:v>
                </c:pt>
                <c:pt idx="6">
                  <c:v>0.17241380722278526</c:v>
                </c:pt>
                <c:pt idx="7">
                  <c:v>0</c:v>
                </c:pt>
                <c:pt idx="8">
                  <c:v>0</c:v>
                </c:pt>
                <c:pt idx="9">
                  <c:v>0</c:v>
                </c:pt>
                <c:pt idx="10">
                  <c:v>0.13562955774215962</c:v>
                </c:pt>
                <c:pt idx="11">
                  <c:v>0.06804217598392759</c:v>
                </c:pt>
                <c:pt idx="12">
                  <c:v>0.3577505294875655</c:v>
                </c:pt>
                <c:pt idx="13">
                  <c:v>0</c:v>
                </c:pt>
                <c:pt idx="14">
                  <c:v>0.2000336333659475</c:v>
                </c:pt>
                <c:pt idx="15">
                  <c:v>0</c:v>
                </c:pt>
                <c:pt idx="16">
                  <c:v>0.3724112934946734</c:v>
                </c:pt>
                <c:pt idx="17">
                  <c:v>0.4722123669088711</c:v>
                </c:pt>
                <c:pt idx="18">
                  <c:v>0.40222670550920947</c:v>
                </c:pt>
                <c:pt idx="19">
                  <c:v>0.41614051049211676</c:v>
                </c:pt>
                <c:pt idx="20">
                  <c:v>0.285641844651978</c:v>
                </c:pt>
                <c:pt idx="21">
                  <c:v>0.282605377671701</c:v>
                </c:pt>
                <c:pt idx="22">
                  <c:v>0.023939903062066323</c:v>
                </c:pt>
                <c:pt idx="23">
                  <c:v>0.31261161049640834</c:v>
                </c:pt>
                <c:pt idx="24">
                  <c:v>0</c:v>
                </c:pt>
                <c:pt idx="25">
                  <c:v>0</c:v>
                </c:pt>
                <c:pt idx="26">
                  <c:v>0</c:v>
                </c:pt>
              </c:numCache>
            </c:numRef>
          </c:val>
        </c:ser>
        <c:overlap val="100"/>
        <c:gapWidth val="100"/>
        <c:axId val="56057243"/>
        <c:axId val="3954796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0.6592677765487766</c:v>
                </c:pt>
                <c:pt idx="3">
                  <c:v>0.3575332490192963</c:v>
                </c:pt>
                <c:pt idx="4">
                  <c:v>0.7034270861940154</c:v>
                </c:pt>
                <c:pt idx="5">
                  <c:v>0.5703883512139897</c:v>
                </c:pt>
                <c:pt idx="6">
                  <c:v>0.6531284883700698</c:v>
                </c:pt>
                <c:pt idx="7">
                  <c:v>0.6461475155092402</c:v>
                </c:pt>
                <c:pt idx="8">
                  <c:v>0.6524816927471551</c:v>
                </c:pt>
                <c:pt idx="9">
                  <c:v>0.5571497481760851</c:v>
                </c:pt>
                <c:pt idx="10">
                  <c:v>0.7186684807776273</c:v>
                </c:pt>
                <c:pt idx="11">
                  <c:v>0.8021501289142913</c:v>
                </c:pt>
                <c:pt idx="12">
                  <c:v>0.613792298924215</c:v>
                </c:pt>
                <c:pt idx="13">
                  <c:v>0.5</c:v>
                </c:pt>
                <c:pt idx="14">
                  <c:v>0.559936732663663</c:v>
                </c:pt>
                <c:pt idx="15">
                  <c:v>0.6216810218415081</c:v>
                </c:pt>
                <c:pt idx="16">
                  <c:v>0.6040342780317669</c:v>
                </c:pt>
                <c:pt idx="17">
                  <c:v>0.5429504021614454</c:v>
                </c:pt>
                <c:pt idx="18">
                  <c:v>0.718010041239658</c:v>
                </c:pt>
                <c:pt idx="19">
                  <c:v>0.6159185353779827</c:v>
                </c:pt>
                <c:pt idx="20">
                  <c:v>0.40106275772196553</c:v>
                </c:pt>
                <c:pt idx="21">
                  <c:v>0.7855508697734249</c:v>
                </c:pt>
                <c:pt idx="22">
                  <c:v>0.48421304549843514</c:v>
                </c:pt>
                <c:pt idx="23">
                  <c:v>0.6505865449468654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0.49046820511098427</c:v>
                </c:pt>
                <c:pt idx="3">
                  <c:v>-999</c:v>
                </c:pt>
                <c:pt idx="4">
                  <c:v>0.5946838952601433</c:v>
                </c:pt>
                <c:pt idx="5">
                  <c:v>0.6113937366905831</c:v>
                </c:pt>
                <c:pt idx="6">
                  <c:v>0.48275862053018975</c:v>
                </c:pt>
                <c:pt idx="7">
                  <c:v>-999</c:v>
                </c:pt>
                <c:pt idx="8">
                  <c:v>0.4630612562258927</c:v>
                </c:pt>
                <c:pt idx="9">
                  <c:v>0.46710965081694666</c:v>
                </c:pt>
                <c:pt idx="10">
                  <c:v>-999</c:v>
                </c:pt>
                <c:pt idx="11">
                  <c:v>0.36263616487770745</c:v>
                </c:pt>
                <c:pt idx="12">
                  <c:v>0.5255434474950214</c:v>
                </c:pt>
                <c:pt idx="13">
                  <c:v>0.4415683213395455</c:v>
                </c:pt>
                <c:pt idx="14">
                  <c:v>-999</c:v>
                </c:pt>
                <c:pt idx="15">
                  <c:v>-999</c:v>
                </c:pt>
                <c:pt idx="16">
                  <c:v>-999</c:v>
                </c:pt>
                <c:pt idx="17">
                  <c:v>-999</c:v>
                </c:pt>
                <c:pt idx="18">
                  <c:v>-999</c:v>
                </c:pt>
                <c:pt idx="19">
                  <c:v>-999</c:v>
                </c:pt>
                <c:pt idx="20">
                  <c:v>0.49003843823265053</c:v>
                </c:pt>
                <c:pt idx="21">
                  <c:v>0.6544738131453451</c:v>
                </c:pt>
                <c:pt idx="22">
                  <c:v>0.4464209863174008</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0.6428571355586158</c:v>
                </c:pt>
                <c:pt idx="4">
                  <c:v>-999</c:v>
                </c:pt>
                <c:pt idx="5">
                  <c:v>-999</c:v>
                </c:pt>
                <c:pt idx="6">
                  <c:v>-999</c:v>
                </c:pt>
                <c:pt idx="7">
                  <c:v>0.36603625757902747</c:v>
                </c:pt>
                <c:pt idx="8">
                  <c:v>-999</c:v>
                </c:pt>
                <c:pt idx="9">
                  <c:v>-999</c:v>
                </c:pt>
                <c:pt idx="10">
                  <c:v>0.37293009258532317</c:v>
                </c:pt>
                <c:pt idx="11">
                  <c:v>-999</c:v>
                </c:pt>
                <c:pt idx="12">
                  <c:v>-999</c:v>
                </c:pt>
                <c:pt idx="13">
                  <c:v>-999</c:v>
                </c:pt>
                <c:pt idx="14">
                  <c:v>-999</c:v>
                </c:pt>
                <c:pt idx="15">
                  <c:v>-999</c:v>
                </c:pt>
                <c:pt idx="16">
                  <c:v>-999</c:v>
                </c:pt>
                <c:pt idx="17">
                  <c:v>-999</c:v>
                </c:pt>
                <c:pt idx="18">
                  <c:v>-999</c:v>
                </c:pt>
                <c:pt idx="19">
                  <c:v>0.8366172273200904</c:v>
                </c:pt>
                <c:pt idx="20">
                  <c:v>-999</c:v>
                </c:pt>
                <c:pt idx="21">
                  <c:v>-999</c:v>
                </c:pt>
                <c:pt idx="22">
                  <c:v>-999</c:v>
                </c:pt>
                <c:pt idx="23">
                  <c:v>0.8324212211964545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4828097"/>
        <c:axId val="23760494"/>
      </c:scatterChart>
      <c:catAx>
        <c:axId val="56057243"/>
        <c:scaling>
          <c:orientation val="maxMin"/>
        </c:scaling>
        <c:axPos val="l"/>
        <c:delete val="0"/>
        <c:numFmt formatCode="General" sourceLinked="1"/>
        <c:majorTickMark val="out"/>
        <c:minorTickMark val="none"/>
        <c:tickLblPos val="none"/>
        <c:spPr>
          <a:ln w="3175">
            <a:noFill/>
          </a:ln>
        </c:spPr>
        <c:crossAx val="39547968"/>
        <c:crosses val="autoZero"/>
        <c:auto val="1"/>
        <c:lblOffset val="100"/>
        <c:tickLblSkip val="1"/>
        <c:noMultiLvlLbl val="0"/>
      </c:catAx>
      <c:valAx>
        <c:axId val="39547968"/>
        <c:scaling>
          <c:orientation val="minMax"/>
          <c:max val="1"/>
          <c:min val="0"/>
        </c:scaling>
        <c:axPos val="t"/>
        <c:delete val="0"/>
        <c:numFmt formatCode="General" sourceLinked="1"/>
        <c:majorTickMark val="none"/>
        <c:minorTickMark val="none"/>
        <c:tickLblPos val="none"/>
        <c:spPr>
          <a:ln w="3175">
            <a:noFill/>
          </a:ln>
        </c:spPr>
        <c:crossAx val="56057243"/>
        <c:crossesAt val="1"/>
        <c:crossBetween val="between"/>
        <c:dispUnits/>
        <c:majorUnit val="1"/>
      </c:valAx>
      <c:valAx>
        <c:axId val="34828097"/>
        <c:scaling>
          <c:orientation val="minMax"/>
          <c:max val="1"/>
          <c:min val="0"/>
        </c:scaling>
        <c:axPos val="t"/>
        <c:delete val="0"/>
        <c:numFmt formatCode="General" sourceLinked="1"/>
        <c:majorTickMark val="none"/>
        <c:minorTickMark val="none"/>
        <c:tickLblPos val="none"/>
        <c:spPr>
          <a:ln w="3175">
            <a:noFill/>
          </a:ln>
        </c:spPr>
        <c:crossAx val="23760494"/>
        <c:crosses val="max"/>
        <c:crossBetween val="midCat"/>
        <c:dispUnits/>
        <c:majorUnit val="0.1"/>
        <c:minorUnit val="0.020000000000000004"/>
      </c:valAx>
      <c:valAx>
        <c:axId val="23760494"/>
        <c:scaling>
          <c:orientation val="maxMin"/>
          <c:max val="29"/>
          <c:min val="0"/>
        </c:scaling>
        <c:axPos val="l"/>
        <c:delete val="0"/>
        <c:numFmt formatCode="General" sourceLinked="1"/>
        <c:majorTickMark val="none"/>
        <c:minorTickMark val="none"/>
        <c:tickLblPos val="none"/>
        <c:spPr>
          <a:ln w="3175">
            <a:noFill/>
          </a:ln>
        </c:spPr>
        <c:crossAx val="348280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(H83033) ASHBURTON PARK MEDICAL CENTRE, CROYDON PCT (5K9)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590</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589</v>
      </c>
      <c r="C8" s="115"/>
      <c r="D8" s="115"/>
      <c r="E8" s="128">
        <f>VLOOKUP('Hide - Control'!A$3,'All practice data'!A:CA,4,FALSE)</f>
        <v>2461</v>
      </c>
      <c r="F8" s="310" t="str">
        <f>VLOOKUP('Hide - Control'!B4,'Hide - Calculation'!AY:BA,3,FALSE)</f>
        <v> </v>
      </c>
      <c r="G8" s="310"/>
      <c r="H8" s="310"/>
      <c r="I8" s="115"/>
      <c r="J8" s="115"/>
      <c r="K8" s="115"/>
      <c r="L8" s="115"/>
      <c r="M8" s="109"/>
      <c r="N8" s="314" t="s">
        <v>507</v>
      </c>
      <c r="O8" s="314"/>
      <c r="P8" s="314"/>
      <c r="Q8" s="314" t="s">
        <v>32</v>
      </c>
      <c r="R8" s="314"/>
      <c r="S8" s="314"/>
      <c r="T8" s="314" t="s">
        <v>593</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381450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352</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350</v>
      </c>
      <c r="C13" s="163">
        <v>1</v>
      </c>
      <c r="D13" s="312" t="s">
        <v>346</v>
      </c>
      <c r="E13" s="313"/>
      <c r="F13" s="313"/>
      <c r="G13" s="166">
        <f>IF(VLOOKUP('Hide - Control'!A$3,'All practice data'!A:CA,C13+4,FALSE)=" "," ",VLOOKUP('Hide - Control'!A$3,'All practice data'!A:CA,C13+4,FALSE))</f>
        <v>267</v>
      </c>
      <c r="H13" s="190">
        <f>IF(VLOOKUP('Hide - Control'!A$3,'All practice data'!A:CA,C13+30,FALSE)=" "," ",VLOOKUP('Hide - Control'!A$3,'All practice data'!A:CA,C13+30,FALSE))</f>
        <v>0.10849248273059732</v>
      </c>
      <c r="I13" s="191">
        <f>IF(LEFT(G13,1)=" "," n/a",+((2*G13+1.96^2-1.96*SQRT(1.96^2+4*G13*(1-G13/E$8)))/(2*(E$8+1.96^2))))</f>
        <v>0.09680962255507268</v>
      </c>
      <c r="J13" s="191">
        <f>IF(LEFT(G13,1)=" "," n/a",+((2*G13+1.96^2+1.96*SQRT(1.96^2+4*G13*(1-G13/E$8)))/(2*(E$8+1.96^2))))</f>
        <v>0.12139571769884056</v>
      </c>
      <c r="K13" s="190">
        <f>IF('Hide - Calculation'!N7="","",'Hide - Calculation'!N7)</f>
        <v>0.12112465591820684</v>
      </c>
      <c r="L13" s="192">
        <f>'Hide - Calculation'!O7</f>
        <v>0.1599882305185145</v>
      </c>
      <c r="M13" s="208">
        <f>IF(ISBLANK('Hide - Calculation'!K7),"",'Hide - Calculation'!U7)</f>
        <v>0.013615733943879604</v>
      </c>
      <c r="N13" s="173"/>
      <c r="O13" s="173"/>
      <c r="P13" s="173"/>
      <c r="Q13" s="173"/>
      <c r="R13" s="173"/>
      <c r="S13" s="173"/>
      <c r="T13" s="173"/>
      <c r="U13" s="173"/>
      <c r="V13" s="173"/>
      <c r="W13" s="173"/>
      <c r="X13" s="173"/>
      <c r="Y13" s="173"/>
      <c r="Z13" s="173"/>
      <c r="AA13" s="226">
        <f>IF(ISBLANK('Hide - Calculation'!K7),"",'Hide - Calculation'!T7)</f>
        <v>0.26393553614616394</v>
      </c>
      <c r="AB13" s="233" t="s">
        <v>587</v>
      </c>
      <c r="AC13" s="209" t="s">
        <v>588</v>
      </c>
    </row>
    <row r="14" spans="2:29" ht="33.75" customHeight="1">
      <c r="B14" s="306"/>
      <c r="C14" s="137">
        <v>2</v>
      </c>
      <c r="D14" s="132" t="s">
        <v>501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0.23</v>
      </c>
      <c r="I14" s="120">
        <f>IF(LEFT(G14,1)=" "," n/a",+((2*H14*E8+1.96^2-1.96*SQRT(1.96^2+4*H14*E8*(1-H14*E8/E$8)))/(2*(E$8+1.96^2))))</f>
        <v>0.21380161093752342</v>
      </c>
      <c r="J14" s="120">
        <f>IF(LEFT(G14,1)=" "," n/a",+((2*H14*E8+1.96^2+1.96*SQRT(1.96^2+4*H14*E8*(1-H14*E8/E$8)))/(2*(E$8+1.96^2))))</f>
        <v>0.24704001069041398</v>
      </c>
      <c r="K14" s="119">
        <f>IF('Hide - Calculation'!N8="","",'Hide - Calculation'!N8)</f>
        <v>0.17140138943505048</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0.33000001311302185</v>
      </c>
      <c r="AB14" s="234" t="s">
        <v>39</v>
      </c>
      <c r="AC14" s="130" t="s">
        <v>588</v>
      </c>
    </row>
    <row r="15" spans="2:39" s="63" customFormat="1" ht="33.75" customHeight="1">
      <c r="B15" s="306"/>
      <c r="C15" s="137">
        <v>3</v>
      </c>
      <c r="D15" s="132" t="s">
        <v>355</v>
      </c>
      <c r="E15" s="85"/>
      <c r="F15" s="85"/>
      <c r="G15" s="121">
        <f>IF(VLOOKUP('Hide - Control'!A$3,'All practice data'!A:CA,C15+4,FALSE)=" "," ",VLOOKUP('Hide - Control'!A$3,'All practice data'!A:CA,C15+4,FALSE))</f>
        <v>9</v>
      </c>
      <c r="H15" s="122">
        <f>IF(VLOOKUP('Hide - Control'!A$3,'All practice data'!A:CA,C15+30,FALSE)=" "," ",VLOOKUP('Hide - Control'!A$3,'All practice data'!A:CA,C15+30,FALSE))</f>
        <v>365.7049979683056</v>
      </c>
      <c r="I15" s="123">
        <f>IF(LEFT(G15,1)=" "," n/a",IF(G15&lt;5,100000*VLOOKUP(G15,'Hide - Calculation'!AQ:AR,2,FALSE)/$E$8,100000*(G15*(1-1/(9*G15)-1.96/(3*SQRT(G15)))^3)/$E$8))</f>
        <v>166.87610660390732</v>
      </c>
      <c r="J15" s="123">
        <f>IF(LEFT(G15,1)=" "," n/a",IF(G15&lt;5,100000*VLOOKUP(G15,'Hide - Calculation'!AQ:AS,3,FALSE)/$E$8,100000*((G15+1)*(1-1/(9*(G15+1))+1.96/(3*SQRT(G15+1)))^3)/$E$8))</f>
        <v>694.2683242883081</v>
      </c>
      <c r="K15" s="122">
        <f>IF('Hide - Calculation'!N9="","",'Hide - Calculation'!N9)</f>
        <v>303.0541355354568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663.5700073242188</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7</v>
      </c>
      <c r="H16" s="122">
        <f>IF(VLOOKUP('Hide - Control'!A$3,'All practice data'!A:CA,C16+30,FALSE)=" "," ",VLOOKUP('Hide - Control'!A$3,'All practice data'!A:CA,C16+30,FALSE))</f>
        <v>284.43722064201546</v>
      </c>
      <c r="I16" s="123">
        <f>IF(LEFT(G16,1)=" "," n/a",IF(G16&lt;5,100000*VLOOKUP(G16,'Hide - Calculation'!AQ:AR,2,FALSE)/$E$8,100000*(G16*(1-1/(9*G16)-1.96/(3*SQRT(G16)))^3)/$E$8))</f>
        <v>113.95282001537662</v>
      </c>
      <c r="J16" s="123">
        <f>IF(LEFT(G16,1)=" "," n/a",IF(G16&lt;5,100000*VLOOKUP(G16,'Hide - Calculation'!AQ:AS,3,FALSE)/$E$8,100000*((G16+1)*(1-1/(9*(G16+1))+1.96/(3*SQRT(G16+1)))^3)/$E$8))</f>
        <v>586.0793766065892</v>
      </c>
      <c r="K16" s="122">
        <f>IF('Hide - Calculation'!N10="","",'Hide - Calculation'!N10)</f>
        <v>162.01337003539126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761.2667236328125</v>
      </c>
      <c r="AB16" s="234" t="s">
        <v>349</v>
      </c>
      <c r="AC16" s="131" t="s">
        <v>525</v>
      </c>
    </row>
    <row r="17" spans="2:29" s="63" customFormat="1" ht="33.75" customHeight="1" thickBot="1">
      <c r="B17" s="309"/>
      <c r="C17" s="180">
        <v>5</v>
      </c>
      <c r="D17" s="195" t="s">
        <v>354</v>
      </c>
      <c r="E17" s="182"/>
      <c r="F17" s="182"/>
      <c r="G17" s="140">
        <f>IF(VLOOKUP('Hide - Control'!A$3,'All practice data'!A:CA,C17+4,FALSE)=" "," ",VLOOKUP('Hide - Control'!A$3,'All practice data'!A:CA,C17+4,FALSE))</f>
        <v>27</v>
      </c>
      <c r="H17" s="141">
        <f>IF(VLOOKUP('Hide - Control'!A$3,'All practice data'!A:CA,C17+30,FALSE)=" "," ",VLOOKUP('Hide - Control'!A$3,'All practice data'!A:CA,C17+30,FALSE))</f>
        <v>0.011000000000000001</v>
      </c>
      <c r="I17" s="142">
        <f>IF(LEFT(G17,1)=" "," n/a",+((2*G17+1.96^2-1.96*SQRT(1.96^2+4*G17*(1-G17/E$8)))/(2*(E$8+1.96^2))))</f>
        <v>0.007550926356215564</v>
      </c>
      <c r="J17" s="142">
        <f>IF(LEFT(G17,1)=" "," n/a",+((2*G17+1.96^2+1.96*SQRT(1.96^2+4*G17*(1-G17/E$8)))/(2*(E$8+1.96^2))))</f>
        <v>0.015915733732611237</v>
      </c>
      <c r="K17" s="141">
        <f>IF('Hide - Calculation'!N11="","",'Hide - Calculation'!N11)</f>
        <v>0.013039716869838774</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0.026000000536441803</v>
      </c>
      <c r="AB17" s="235" t="s">
        <v>494</v>
      </c>
      <c r="AC17" s="189" t="s">
        <v>525</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116</v>
      </c>
      <c r="H18" s="220">
        <f>IF(OR(VLOOKUP('Hide - Control'!A$3,'All practice data'!A:CA,C18+30,FALSE)=" ",VLOOKUP('Hide - Control'!A$3,'All practice data'!A:CA,C18+52,FALSE)=0)," n/a",VLOOKUP('Hide - Control'!A$3,'All practice data'!A:CA,C18+30,FALSE))</f>
        <v>0.560386</v>
      </c>
      <c r="I18" s="191">
        <f>IF(OR(LEFT(H18,1)=" ",VLOOKUP('Hide - Control'!A$3,'All practice data'!A:CA,C18+52,FALSE)=0)," n/a",+((2*G18+1.96^2-1.96*SQRT(1.96^2+4*G18*(1-G18/(VLOOKUP('Hide - Control'!A$3,'All practice data'!A:CA,C18+52,FALSE)))))/(2*(((VLOOKUP('Hide - Control'!A$3,'All practice data'!A:CA,C18+52,FALSE)))+1.96^2))))</f>
        <v>0.49227988461993055</v>
      </c>
      <c r="J18" s="191">
        <f>IF(OR(LEFT(H18,1)=" ",VLOOKUP('Hide - Control'!A$3,'All practice data'!A:CA,C18+52,FALSE)=0)," n/a",+((2*G18+1.96^2+1.96*SQRT(1.96^2+4*G18*(1-G18/(VLOOKUP('Hide - Control'!A$3,'All practice data'!A:CA,C18+52,FALSE)))))/(2*((VLOOKUP('Hide - Control'!A$3,'All practice data'!A:CA,C18+52,FALSE))+1.96^2))))</f>
        <v>0.6262925413149892</v>
      </c>
      <c r="K18" s="220">
        <f>IF('Hide - Calculation'!N12="","",'Hide - Calculation'!N12)</f>
        <v>0.6535830407075043</v>
      </c>
      <c r="L18" s="192">
        <f>'Hide - Calculation'!O12</f>
        <v>0.7248631360507991</v>
      </c>
      <c r="M18" s="193">
        <f>IF(ISBLANK('Hide - Calculation'!K12),"",'Hide - Calculation'!U12)</f>
        <v>0.34545499086380005</v>
      </c>
      <c r="N18" s="194"/>
      <c r="O18" s="173"/>
      <c r="P18" s="173"/>
      <c r="Q18" s="173"/>
      <c r="R18" s="173"/>
      <c r="S18" s="173"/>
      <c r="T18" s="173"/>
      <c r="U18" s="173"/>
      <c r="V18" s="173"/>
      <c r="W18" s="173"/>
      <c r="X18" s="173"/>
      <c r="Y18" s="173"/>
      <c r="Z18" s="174"/>
      <c r="AA18" s="193">
        <f>IF(ISBLANK('Hide - Calculation'!K12),"",'Hide - Calculation'!T12)</f>
        <v>0.7806169986724854</v>
      </c>
      <c r="AB18" s="233" t="s">
        <v>48</v>
      </c>
      <c r="AC18" s="175" t="s">
        <v>526</v>
      </c>
    </row>
    <row r="19" spans="2:29" s="63" customFormat="1" ht="33.75" customHeight="1">
      <c r="B19" s="306"/>
      <c r="C19" s="137">
        <v>7</v>
      </c>
      <c r="D19" s="132" t="s">
        <v>503</v>
      </c>
      <c r="E19" s="85"/>
      <c r="F19" s="85"/>
      <c r="G19" s="221">
        <f>IF(OR(VLOOKUP('Hide - Control'!A$3,'All practice data'!A:CA,C19+4,FALSE)=" ",VLOOKUP('Hide - Control'!A$3,'All practice data'!A:CA,C19+52,FALSE)=0)," n/a",VLOOKUP('Hide - Control'!A$3,'All practice data'!A:CA,C19+4,FALSE))</f>
        <v>12</v>
      </c>
      <c r="H19" s="218">
        <f>IF(OR(VLOOKUP('Hide - Control'!A$3,'All practice data'!A:CA,C19+30,FALSE)=" ",VLOOKUP('Hide - Control'!A$3,'All practice data'!A:CA,C19+52,FALSE)=0)," n/a",VLOOKUP('Hide - Control'!A$3,'All practice data'!A:CA,C19+30,FALSE))</f>
        <v>0.571429</v>
      </c>
      <c r="I19" s="120">
        <f>IF(OR(LEFT(H19,1)=" ",VLOOKUP('Hide - Control'!A$3,'All practice data'!A:CA,C19+52,FALSE)=0)," n/a",+((2*G19+1.96^2-1.96*SQRT(1.96^2+4*G19*(1-G19/(VLOOKUP('Hide - Control'!A$3,'All practice data'!A:CA,C19+52,FALSE)))))/(2*(((VLOOKUP('Hide - Control'!A$3,'All practice data'!A:CA,C19+52,FALSE)))+1.96^2))))</f>
        <v>0.3654621629703245</v>
      </c>
      <c r="J19" s="120">
        <f>IF(OR(LEFT(H19,1)=" ",VLOOKUP('Hide - Control'!A$3,'All practice data'!A:CA,C19+52,FALSE)=0)," n/a",+((2*G19+1.96^2+1.96*SQRT(1.96^2+4*G19*(1-G19/(VLOOKUP('Hide - Control'!A$3,'All practice data'!A:CA,C19+52,FALSE)))))/(2*((VLOOKUP('Hide - Control'!A$3,'All practice data'!A:CA,C19+52,FALSE))+1.96^2))))</f>
        <v>0.7553030051347894</v>
      </c>
      <c r="K19" s="218">
        <f>IF('Hide - Calculation'!N13="","",'Hide - Calculation'!N13)</f>
        <v>0.6655227032734953</v>
      </c>
      <c r="L19" s="155">
        <f>'Hide - Calculation'!O13</f>
        <v>0.7467412166569077</v>
      </c>
      <c r="M19" s="152">
        <f>IF(ISBLANK('Hide - Calculation'!K13),"",'Hide - Calculation'!U13)</f>
        <v>0.14285700023174286</v>
      </c>
      <c r="N19" s="160"/>
      <c r="O19" s="84"/>
      <c r="P19" s="84"/>
      <c r="Q19" s="84"/>
      <c r="R19" s="84"/>
      <c r="S19" s="84"/>
      <c r="T19" s="84"/>
      <c r="U19" s="84"/>
      <c r="V19" s="84"/>
      <c r="W19" s="84"/>
      <c r="X19" s="84"/>
      <c r="Y19" s="84"/>
      <c r="Z19" s="88"/>
      <c r="AA19" s="152">
        <f>IF(ISBLANK('Hide - Calculation'!K13),"",'Hide - Calculation'!T13)</f>
        <v>0.8888890147209167</v>
      </c>
      <c r="AB19" s="234" t="s">
        <v>48</v>
      </c>
      <c r="AC19" s="131" t="s">
        <v>525</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475</v>
      </c>
      <c r="H20" s="218">
        <f>IF(OR(VLOOKUP('Hide - Control'!A$3,'All practice data'!A:CA,C20+30,FALSE)=" ",VLOOKUP('Hide - Control'!A$3,'All practice data'!A:CA,C20+52,FALSE)=0)," n/a",VLOOKUP('Hide - Control'!A$3,'All practice data'!A:CA,C20+30,FALSE))</f>
        <v>0.728528</v>
      </c>
      <c r="I20" s="120">
        <f>IF(OR(LEFT(H20,1)=" ",VLOOKUP('Hide - Control'!A$3,'All practice data'!A:CA,C20+52,FALSE)=0)," n/a",+((2*G20+1.96^2-1.96*SQRT(1.96^2+4*G20*(1-G20/(VLOOKUP('Hide - Control'!A$3,'All practice data'!A:CA,C20+52,FALSE)))))/(2*(((VLOOKUP('Hide - Control'!A$3,'All practice data'!A:CA,C20+52,FALSE)))+1.96^2))))</f>
        <v>0.6931263845048832</v>
      </c>
      <c r="J20" s="120">
        <f>IF(OR(LEFT(H20,1)=" ",VLOOKUP('Hide - Control'!A$3,'All practice data'!A:CA,C20+52,FALSE)=0)," n/a",+((2*G20+1.96^2+1.96*SQRT(1.96^2+4*G20*(1-G20/(VLOOKUP('Hide - Control'!A$3,'All practice data'!A:CA,C20+52,FALSE)))))/(2*((VLOOKUP('Hide - Control'!A$3,'All practice data'!A:CA,C20+52,FALSE))+1.96^2))))</f>
        <v>0.7612516238434741</v>
      </c>
      <c r="K20" s="218">
        <f>IF('Hide - Calculation'!N14="","",'Hide - Calculation'!N14)</f>
        <v>0.7327733939104097</v>
      </c>
      <c r="L20" s="155">
        <f>'Hide - Calculation'!O14</f>
        <v>0.7559681673907895</v>
      </c>
      <c r="M20" s="152">
        <f>IF(ISBLANK('Hide - Calculation'!K14),"",'Hide - Calculation'!U14)</f>
        <v>0.5861740112304688</v>
      </c>
      <c r="N20" s="160"/>
      <c r="O20" s="84"/>
      <c r="P20" s="84"/>
      <c r="Q20" s="84"/>
      <c r="R20" s="84"/>
      <c r="S20" s="84"/>
      <c r="T20" s="84"/>
      <c r="U20" s="84"/>
      <c r="V20" s="84"/>
      <c r="W20" s="84"/>
      <c r="X20" s="84"/>
      <c r="Y20" s="84"/>
      <c r="Z20" s="88"/>
      <c r="AA20" s="152">
        <f>IF(ISBLANK('Hide - Calculation'!K14),"",'Hide - Calculation'!T14)</f>
        <v>0.8738740086555481</v>
      </c>
      <c r="AB20" s="234" t="s">
        <v>48</v>
      </c>
      <c r="AC20" s="131" t="s">
        <v>527</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60</v>
      </c>
      <c r="H21" s="218">
        <f>IF(OR(VLOOKUP('Hide - Control'!A$3,'All practice data'!A:CA,C21+30,FALSE)=" ",VLOOKUP('Hide - Control'!A$3,'All practice data'!A:CA,C21+52,FALSE)=0)," n/a",VLOOKUP('Hide - Control'!A$3,'All practice data'!A:CA,C21+30,FALSE))</f>
        <v>0.372671</v>
      </c>
      <c r="I21" s="120">
        <f>IF(OR(LEFT(H21,1)=" ",VLOOKUP('Hide - Control'!A$3,'All practice data'!A:CA,C21+52,FALSE)=0)," n/a",+((2*G21+1.96^2-1.96*SQRT(1.96^2+4*G21*(1-G21/(VLOOKUP('Hide - Control'!A$3,'All practice data'!A:CA,C21+52,FALSE)))))/(2*(((VLOOKUP('Hide - Control'!A$3,'All practice data'!A:CA,C21+52,FALSE)))+1.96^2))))</f>
        <v>0.3017655254139041</v>
      </c>
      <c r="J21" s="120">
        <f>IF(OR(LEFT(H21,1)=" ",VLOOKUP('Hide - Control'!A$3,'All practice data'!A:CA,C21+52,FALSE)=0)," n/a",+((2*G21+1.96^2+1.96*SQRT(1.96^2+4*G21*(1-G21/(VLOOKUP('Hide - Control'!A$3,'All practice data'!A:CA,C21+52,FALSE)))))/(2*((VLOOKUP('Hide - Control'!A$3,'All practice data'!A:CA,C21+52,FALSE))+1.96^2))))</f>
        <v>0.44951085142301084</v>
      </c>
      <c r="K21" s="218">
        <f>IF('Hide - Calculation'!N15="","",'Hide - Calculation'!N15)</f>
        <v>0.4710412423625255</v>
      </c>
      <c r="L21" s="155">
        <f>'Hide - Calculation'!O15</f>
        <v>0.5147293797466616</v>
      </c>
      <c r="M21" s="152">
        <f>IF(ISBLANK('Hide - Calculation'!K15),"",'Hide - Calculation'!U15)</f>
        <v>0.2751680016517639</v>
      </c>
      <c r="N21" s="160"/>
      <c r="O21" s="84"/>
      <c r="P21" s="84"/>
      <c r="Q21" s="84"/>
      <c r="R21" s="84"/>
      <c r="S21" s="84"/>
      <c r="T21" s="84"/>
      <c r="U21" s="84"/>
      <c r="V21" s="84"/>
      <c r="W21" s="84"/>
      <c r="X21" s="84"/>
      <c r="Y21" s="84"/>
      <c r="Z21" s="88"/>
      <c r="AA21" s="152">
        <f>IF(ISBLANK('Hide - Calculation'!K15),"",'Hide - Calculation'!T15)</f>
        <v>0.6303240060806274</v>
      </c>
      <c r="AB21" s="234" t="s">
        <v>48</v>
      </c>
      <c r="AC21" s="131" t="s">
        <v>526</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30</v>
      </c>
      <c r="H22" s="223">
        <f>IF(OR(VLOOKUP('Hide - Control'!A$3,'All practice data'!A:CA,C22+30,FALSE)=" ",VLOOKUP('Hide - Control'!A$3,'All practice data'!A:CA,C22+52,FALSE)=0)," n/a",VLOOKUP('Hide - Control'!A$3,'All practice data'!A:CA,C22+30,FALSE))</f>
        <v>0.38961</v>
      </c>
      <c r="I22" s="196">
        <f>IF(OR(LEFT(H22,1)=" ",VLOOKUP('Hide - Control'!A$3,'All practice data'!A:CA,C22+52,FALSE)=0)," n/a",+((2*G22+1.96^2-1.96*SQRT(1.96^2+4*G22*(1-G22/(VLOOKUP('Hide - Control'!A$3,'All practice data'!A:CA,C22+52,FALSE)))))/(2*(((VLOOKUP('Hide - Control'!A$3,'All practice data'!A:CA,C22+52,FALSE)))+1.96^2))))</f>
        <v>0.28842084532265894</v>
      </c>
      <c r="J22" s="196">
        <f>IF(OR(LEFT(H22,1)=" ",VLOOKUP('Hide - Control'!A$3,'All practice data'!A:CA,C22+52,FALSE)=0)," n/a",+((2*G22+1.96^2+1.96*SQRT(1.96^2+4*G22*(1-G22/(VLOOKUP('Hide - Control'!A$3,'All practice data'!A:CA,C22+52,FALSE)))))/(2*((VLOOKUP('Hide - Control'!A$3,'All practice data'!A:CA,C22+52,FALSE))+1.96^2))))</f>
        <v>0.5012913820454288</v>
      </c>
      <c r="K22" s="223">
        <f>IF('Hide - Calculation'!N16="","",'Hide - Calculation'!N16)</f>
        <v>0.48953786906290114</v>
      </c>
      <c r="L22" s="197">
        <f>'Hide - Calculation'!O16</f>
        <v>0.5752927626212945</v>
      </c>
      <c r="M22" s="198">
        <f>IF(ISBLANK('Hide - Calculation'!K16),"",'Hide - Calculation'!U16)</f>
        <v>0.2651520073413849</v>
      </c>
      <c r="N22" s="199"/>
      <c r="O22" s="91"/>
      <c r="P22" s="91"/>
      <c r="Q22" s="91"/>
      <c r="R22" s="91"/>
      <c r="S22" s="91"/>
      <c r="T22" s="91"/>
      <c r="U22" s="91"/>
      <c r="V22" s="91"/>
      <c r="W22" s="91"/>
      <c r="X22" s="91"/>
      <c r="Y22" s="91"/>
      <c r="Z22" s="188"/>
      <c r="AA22" s="198">
        <f>IF(ISBLANK('Hide - Calculation'!K16),"",'Hide - Calculation'!T16)</f>
        <v>0.6588789820671082</v>
      </c>
      <c r="AB22" s="235" t="s">
        <v>48</v>
      </c>
      <c r="AC22" s="189" t="s">
        <v>525</v>
      </c>
    </row>
    <row r="23" spans="2:29" s="63" customFormat="1" ht="33.75" customHeight="1">
      <c r="B23" s="308" t="s">
        <v>344</v>
      </c>
      <c r="C23" s="163">
        <v>11</v>
      </c>
      <c r="D23" s="179" t="s">
        <v>356</v>
      </c>
      <c r="E23" s="165"/>
      <c r="F23" s="165"/>
      <c r="G23" s="118">
        <f>IF(VLOOKUP('Hide - Control'!A$3,'All practice data'!A:CA,C23+4,FALSE)=" "," ",VLOOKUP('Hide - Control'!A$3,'All practice data'!A:CA,C23+4,FALSE))</f>
        <v>31</v>
      </c>
      <c r="H23" s="216">
        <f>IF(VLOOKUP('Hide - Control'!A$3,'All practice data'!A:CA,C23+30,FALSE)=" "," ",VLOOKUP('Hide - Control'!A$3,'All practice data'!A:CA,C23+30,FALSE))</f>
        <v>1259.650548557497</v>
      </c>
      <c r="I23" s="215">
        <f>IF(LEFT(G23,1)=" "," n/a",IF(G23&lt;5,100000*VLOOKUP(G23,'Hide - Calculation'!AQ:AR,2,FALSE)/$E$8,100000*(G23*(1-1/(9*G23)-1.96/(3*SQRT(G23)))^3)/$E$8))</f>
        <v>855.7085126449912</v>
      </c>
      <c r="J23" s="215">
        <f>IF(LEFT(G23,1)=" "," n/a",IF(G23&lt;5,100000*VLOOKUP(G23,'Hide - Calculation'!AQ:AS,3,FALSE)/$E$8,100000*((G23+1)*(1-1/(9*(G23+1))+1.96/(3*SQRT(G23+1)))^3)/$E$8))</f>
        <v>1788.044685929426</v>
      </c>
      <c r="K23" s="216">
        <f>IF('Hide - Calculation'!N17="","",'Hide - Calculation'!N17)</f>
        <v>1336.2170664569405</v>
      </c>
      <c r="L23" s="217">
        <f>'Hide - Calculation'!O17</f>
        <v>1812.1669120472948</v>
      </c>
      <c r="M23" s="170">
        <f>IF(ISBLANK('Hide - Calculation'!K17),"",'Hide - Calculation'!U17)</f>
        <v>209.11752319335938</v>
      </c>
      <c r="N23" s="171"/>
      <c r="O23" s="172"/>
      <c r="P23" s="172"/>
      <c r="Q23" s="172"/>
      <c r="R23" s="173"/>
      <c r="S23" s="173"/>
      <c r="T23" s="173"/>
      <c r="U23" s="173"/>
      <c r="V23" s="173"/>
      <c r="W23" s="173"/>
      <c r="X23" s="173"/>
      <c r="Y23" s="173"/>
      <c r="Z23" s="174"/>
      <c r="AA23" s="170">
        <f>IF(ISBLANK('Hide - Calculation'!K17),"",'Hide - Calculation'!T17)</f>
        <v>4230.1708984375</v>
      </c>
      <c r="AB23" s="233" t="s">
        <v>26</v>
      </c>
      <c r="AC23" s="175" t="s">
        <v>525</v>
      </c>
    </row>
    <row r="24" spans="2:29" s="63" customFormat="1" ht="33.75" customHeight="1">
      <c r="B24" s="306"/>
      <c r="C24" s="137">
        <v>12</v>
      </c>
      <c r="D24" s="147" t="s">
        <v>512</v>
      </c>
      <c r="E24" s="85"/>
      <c r="F24" s="85"/>
      <c r="G24" s="118">
        <f>IF(VLOOKUP('Hide - Control'!A$3,'All practice data'!A:CA,C24+4,FALSE)=" "," ",VLOOKUP('Hide - Control'!A$3,'All practice data'!A:CA,C24+4,FALSE))</f>
        <v>31</v>
      </c>
      <c r="H24" s="119">
        <f>IF(VLOOKUP('Hide - Control'!A$3,'All practice data'!A:CA,C24+30,FALSE)=" "," ",VLOOKUP('Hide - Control'!A$3,'All practice data'!A:CA,C24+30,FALSE))</f>
        <v>0.830174408</v>
      </c>
      <c r="I24" s="212">
        <f>IF(LEFT(VLOOKUP('Hide - Control'!A$3,'All practice data'!A:CA,C24+44,FALSE),1)=" "," n/a",VLOOKUP('Hide - Control'!A$3,'All practice data'!A:CA,C24+44,FALSE))</f>
        <v>0.5640632629</v>
      </c>
      <c r="J24" s="212">
        <f>IF(LEFT(VLOOKUP('Hide - Control'!A$3,'All practice data'!A:CA,C24+45,FALSE),1)=" "," n/a",VLOOKUP('Hide - Control'!A$3,'All practice data'!A:CA,C24+45,FALSE))</f>
        <v>1.1783663180000001</v>
      </c>
      <c r="K24" s="152" t="s">
        <v>592</v>
      </c>
      <c r="L24" s="213">
        <v>1</v>
      </c>
      <c r="M24" s="152">
        <f>IF(ISBLANK('Hide - Calculation'!K18),"",'Hide - Calculation'!U18)</f>
        <v>0.1551884412765503</v>
      </c>
      <c r="N24" s="86"/>
      <c r="O24" s="87"/>
      <c r="P24" s="87"/>
      <c r="Q24" s="87"/>
      <c r="R24" s="84"/>
      <c r="S24" s="84"/>
      <c r="T24" s="84"/>
      <c r="U24" s="84"/>
      <c r="V24" s="84"/>
      <c r="W24" s="84"/>
      <c r="X24" s="84"/>
      <c r="Y24" s="84"/>
      <c r="Z24" s="88"/>
      <c r="AA24" s="152">
        <f>IF(ISBLANK('Hide - Calculation'!K18),"",'Hide - Calculation'!T18)</f>
        <v>2.453197956085205</v>
      </c>
      <c r="AB24" s="234" t="s">
        <v>26</v>
      </c>
      <c r="AC24" s="131" t="s">
        <v>525</v>
      </c>
    </row>
    <row r="25" spans="2:29" s="63" customFormat="1" ht="33.75" customHeight="1">
      <c r="B25" s="306"/>
      <c r="C25" s="137">
        <v>13</v>
      </c>
      <c r="D25" s="147" t="s">
        <v>351</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0.09888169511477339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0.21739129722118378</v>
      </c>
      <c r="AB25" s="234" t="s">
        <v>26</v>
      </c>
      <c r="AC25" s="131" t="s">
        <v>525</v>
      </c>
    </row>
    <row r="26" spans="2:29" s="63" customFormat="1" ht="33.75" customHeight="1">
      <c r="B26" s="306"/>
      <c r="C26" s="137">
        <v>14</v>
      </c>
      <c r="D26" s="147" t="s">
        <v>495</v>
      </c>
      <c r="E26" s="85"/>
      <c r="F26" s="85"/>
      <c r="G26" s="121">
        <f>IF(VLOOKUP('Hide - Control'!A$3,'All practice data'!A:CA,C26+4,FALSE)=" "," ",VLOOKUP('Hide - Control'!A$3,'All practice data'!A:CA,C26+4,FALSE))</f>
        <v>8</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0.4228187919463087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0.6078431606292725</v>
      </c>
      <c r="AB26" s="234" t="s">
        <v>26</v>
      </c>
      <c r="AC26" s="131" t="s">
        <v>525</v>
      </c>
    </row>
    <row r="27" spans="2:29" s="63" customFormat="1" ht="33.75" customHeight="1">
      <c r="B27" s="306"/>
      <c r="C27" s="137">
        <v>15</v>
      </c>
      <c r="D27" s="147" t="s">
        <v>482</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249.31183641368463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918.3941040039062</v>
      </c>
      <c r="AB27" s="234" t="s">
        <v>26</v>
      </c>
      <c r="AC27" s="131" t="s">
        <v>525</v>
      </c>
    </row>
    <row r="28" spans="2:29" s="63" customFormat="1" ht="33.75" customHeight="1">
      <c r="B28" s="306"/>
      <c r="C28" s="137">
        <v>16</v>
      </c>
      <c r="D28" s="147" t="s">
        <v>483</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189.5399134880063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1990.668701171875</v>
      </c>
      <c r="AB28" s="234" t="s">
        <v>26</v>
      </c>
      <c r="AC28" s="131" t="s">
        <v>525</v>
      </c>
    </row>
    <row r="29" spans="2:29" s="63" customFormat="1" ht="33.75" customHeight="1">
      <c r="B29" s="306"/>
      <c r="C29" s="137">
        <v>17</v>
      </c>
      <c r="D29" s="147" t="s">
        <v>484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27.526543452615023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130.49151611328125</v>
      </c>
      <c r="AB29" s="234" t="s">
        <v>26</v>
      </c>
      <c r="AC29" s="131" t="s">
        <v>525</v>
      </c>
    </row>
    <row r="30" spans="2:29" s="63" customFormat="1" ht="33.75" customHeight="1" thickBot="1">
      <c r="B30" s="309"/>
      <c r="C30" s="180">
        <v>18</v>
      </c>
      <c r="D30" s="181" t="s">
        <v>485</v>
      </c>
      <c r="E30" s="182"/>
      <c r="F30" s="182"/>
      <c r="G30" s="183">
        <f>IF(VLOOKUP('Hide - Control'!A$3,'All practice data'!A:CA,C30+4,FALSE)=" "," ",VLOOKUP('Hide - Control'!A$3,'All practice data'!A:CA,C30+4,FALSE))</f>
        <v>16</v>
      </c>
      <c r="H30" s="184">
        <f>IF(VLOOKUP('Hide - Control'!A$3,'All practice data'!A:CA,C30+30,FALSE)=" "," ",VLOOKUP('Hide - Control'!A$3,'All practice data'!A:CA,C30+30,FALSE))</f>
        <v>650.142218610321</v>
      </c>
      <c r="I30" s="185">
        <f>IF(LEFT(G30,1)=" "," n/a",IF(G30&lt;5,100000*VLOOKUP(G30,'Hide - Calculation'!AQ:AR,2,FALSE)/$E$8,100000*(G30*(1-1/(9*G30)-1.96/(3*SQRT(G30)))^3)/$E$8))</f>
        <v>371.36975783818804</v>
      </c>
      <c r="J30" s="185">
        <f>IF(LEFT(G30,1)=" "," n/a",IF(G30&lt;5,100000*VLOOKUP(G30,'Hide - Calculation'!AQ:AS,3,FALSE)/$E$8,100000*((G30+1)*(1-1/(9*(G30+1))+1.96/(3*SQRT(G30+1)))^3)/$E$8))</f>
        <v>1055.8567751097885</v>
      </c>
      <c r="K30" s="184">
        <f>IF('Hide - Calculation'!N24="","",'Hide - Calculation'!N24)</f>
        <v>210.7746755800236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892.154296875</v>
      </c>
      <c r="AB30" s="235" t="s">
        <v>26</v>
      </c>
      <c r="AC30" s="189" t="s">
        <v>525</v>
      </c>
    </row>
    <row r="31" spans="2:29" s="63" customFormat="1" ht="33.75" customHeight="1">
      <c r="B31" s="304" t="s">
        <v>353</v>
      </c>
      <c r="C31" s="163">
        <v>19</v>
      </c>
      <c r="D31" s="164" t="s">
        <v>357</v>
      </c>
      <c r="E31" s="165"/>
      <c r="F31" s="165"/>
      <c r="G31" s="166">
        <f>IF(VLOOKUP('Hide - Control'!A$3,'All practice data'!A:CA,C31+4,FALSE)=" "," ",VLOOKUP('Hide - Control'!A$3,'All practice data'!A:CA,C31+4,FALSE))</f>
        <v>21</v>
      </c>
      <c r="H31" s="167">
        <f>IF(VLOOKUP('Hide - Control'!A$3,'All practice data'!A:CA,C31+30,FALSE)=" "," ",VLOOKUP('Hide - Control'!A$3,'All practice data'!A:CA,C31+30,FALSE))</f>
        <v>853.3116619260463</v>
      </c>
      <c r="I31" s="168">
        <f>IF(LEFT(G31,1)=" "," n/a",IF(G31&lt;5,100000*VLOOKUP(G31,'Hide - Calculation'!AQ:AR,2,FALSE)/$E$8,100000*(G31*(1-1/(9*G31)-1.96/(3*SQRT(G31)))^3)/$E$8))</f>
        <v>528.007991152018</v>
      </c>
      <c r="J31" s="168">
        <f>IF(LEFT(G31,1)=" "," n/a",IF(G31&lt;5,100000*VLOOKUP(G31,'Hide - Calculation'!AQ:AS,3,FALSE)/$E$8,100000*((G31+1)*(1-1/(9*(G31+1))+1.96/(3*SQRT(G31+1)))^3)/$E$8))</f>
        <v>1304.4476880981604</v>
      </c>
      <c r="K31" s="167">
        <f>IF('Hide - Calculation'!N25="","",'Hide - Calculation'!N25)</f>
        <v>936.4267925022939</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2519.440185546875</v>
      </c>
      <c r="AB31" s="233" t="s">
        <v>47</v>
      </c>
      <c r="AC31" s="175" t="s">
        <v>525</v>
      </c>
    </row>
    <row r="32" spans="2:29" s="63" customFormat="1" ht="33.75" customHeight="1">
      <c r="B32" s="305"/>
      <c r="C32" s="137">
        <v>20</v>
      </c>
      <c r="D32" s="132" t="s">
        <v>358</v>
      </c>
      <c r="E32" s="85"/>
      <c r="F32" s="85"/>
      <c r="G32" s="121">
        <f>IF(VLOOKUP('Hide - Control'!A$3,'All practice data'!A:CA,C32+4,FALSE)=" "," ",VLOOKUP('Hide - Control'!A$3,'All practice data'!A:CA,C32+4,FALSE))</f>
        <v>8</v>
      </c>
      <c r="H32" s="122">
        <f>IF(VLOOKUP('Hide - Control'!A$3,'All practice data'!A:CA,C32+30,FALSE)=" "," ",VLOOKUP('Hide - Control'!A$3,'All practice data'!A:CA,C32+30,FALSE))</f>
        <v>325.0711093051605</v>
      </c>
      <c r="I32" s="123">
        <f>IF(LEFT(G32,1)=" "," n/a",IF(G32&lt;5,100000*VLOOKUP(G32,'Hide - Calculation'!AQ:AR,2,FALSE)/$E$8,100000*(G32*(1-1/(9*G32)-1.96/(3*SQRT(G32)))^3)/$E$8))</f>
        <v>139.96881607719277</v>
      </c>
      <c r="J32" s="123">
        <f>IF(LEFT(G32,1)=" "," n/a",IF(G32&lt;5,100000*VLOOKUP(G32,'Hide - Calculation'!AQ:AS,3,FALSE)/$E$8,100000*((G32+1)*(1-1/(9*(G32+1))+1.96/(3*SQRT(G32+1)))^3)/$E$8))</f>
        <v>640.5590203974498</v>
      </c>
      <c r="K32" s="122">
        <f>IF('Hide - Calculation'!N26="","",'Hide - Calculation'!N26)</f>
        <v>235.15532835233975</v>
      </c>
      <c r="L32" s="156">
        <f>'Hide - Calculation'!O26</f>
        <v>405.57105879375996</v>
      </c>
      <c r="M32" s="148">
        <f>IF(ISBLANK('Hide - Calculation'!K26),"",'Hide - Calculation'!U26)</f>
        <v>96.6910171508789</v>
      </c>
      <c r="N32" s="86"/>
      <c r="O32" s="87"/>
      <c r="P32" s="87"/>
      <c r="Q32" s="87"/>
      <c r="R32" s="84"/>
      <c r="S32" s="84"/>
      <c r="T32" s="84"/>
      <c r="U32" s="84"/>
      <c r="V32" s="84"/>
      <c r="W32" s="84"/>
      <c r="X32" s="84"/>
      <c r="Y32" s="84"/>
      <c r="Z32" s="88"/>
      <c r="AA32" s="148">
        <f>IF(ISBLANK('Hide - Calculation'!K26),"",'Hide - Calculation'!T26)</f>
        <v>537.2733154296875</v>
      </c>
      <c r="AB32" s="234" t="s">
        <v>47</v>
      </c>
      <c r="AC32" s="131" t="s">
        <v>525</v>
      </c>
    </row>
    <row r="33" spans="2:29" s="63" customFormat="1" ht="33.75" customHeight="1">
      <c r="B33" s="305"/>
      <c r="C33" s="137">
        <v>21</v>
      </c>
      <c r="D33" s="132" t="s">
        <v>360</v>
      </c>
      <c r="E33" s="85"/>
      <c r="F33" s="85"/>
      <c r="G33" s="121">
        <f>IF(VLOOKUP('Hide - Control'!A$3,'All practice data'!A:CA,C33+4,FALSE)=" "," ",VLOOKUP('Hide - Control'!A$3,'All practice data'!A:CA,C33+4,FALSE))</f>
        <v>25</v>
      </c>
      <c r="H33" s="122">
        <f>IF(VLOOKUP('Hide - Control'!A$3,'All practice data'!A:CA,C33+30,FALSE)=" "," ",VLOOKUP('Hide - Control'!A$3,'All practice data'!A:CA,C33+30,FALSE))</f>
        <v>1015.8472165786266</v>
      </c>
      <c r="I33" s="123">
        <f>IF(LEFT(G33,1)=" "," n/a",IF(G33&lt;5,100000*VLOOKUP(G33,'Hide - Calculation'!AQ:AR,2,FALSE)/$E$8,100000*(G33*(1-1/(9*G33)-1.96/(3*SQRT(G33)))^3)/$E$8))</f>
        <v>657.2178471173628</v>
      </c>
      <c r="J33" s="123">
        <f>IF(LEFT(G33,1)=" "," n/a",IF(G33&lt;5,100000*VLOOKUP(G33,'Hide - Calculation'!AQ:AS,3,FALSE)/$E$8,100000*((G33+1)*(1-1/(9*(G33+1))+1.96/(3*SQRT(G33+1)))^3)/$E$8))</f>
        <v>1499.6620334402955</v>
      </c>
      <c r="K33" s="122">
        <f>IF('Hide - Calculation'!N27="","",'Hide - Calculation'!N27)</f>
        <v>1095.8185869707695</v>
      </c>
      <c r="L33" s="156">
        <f>'Hide - Calculation'!O27</f>
        <v>1059.3522061277838</v>
      </c>
      <c r="M33" s="148">
        <f>IF(ISBLANK('Hide - Calculation'!K27),"",'Hide - Calculation'!U27)</f>
        <v>529.500732421875</v>
      </c>
      <c r="N33" s="86"/>
      <c r="O33" s="87"/>
      <c r="P33" s="87"/>
      <c r="Q33" s="87"/>
      <c r="R33" s="84"/>
      <c r="S33" s="84"/>
      <c r="T33" s="84"/>
      <c r="U33" s="84"/>
      <c r="V33" s="84"/>
      <c r="W33" s="84"/>
      <c r="X33" s="84"/>
      <c r="Y33" s="84"/>
      <c r="Z33" s="88"/>
      <c r="AA33" s="148">
        <f>IF(ISBLANK('Hide - Calculation'!K27),"",'Hide - Calculation'!T27)</f>
        <v>1653.109375</v>
      </c>
      <c r="AB33" s="234" t="s">
        <v>47</v>
      </c>
      <c r="AC33" s="131" t="s">
        <v>525</v>
      </c>
    </row>
    <row r="34" spans="2:29" s="63" customFormat="1" ht="33.75" customHeight="1">
      <c r="B34" s="305"/>
      <c r="C34" s="137">
        <v>22</v>
      </c>
      <c r="D34" s="132" t="s">
        <v>359</v>
      </c>
      <c r="E34" s="85"/>
      <c r="F34" s="85"/>
      <c r="G34" s="118">
        <f>IF(VLOOKUP('Hide - Control'!A$3,'All practice data'!A:CA,C34+4,FALSE)=" "," ",VLOOKUP('Hide - Control'!A$3,'All practice data'!A:CA,C34+4,FALSE))</f>
        <v>20</v>
      </c>
      <c r="H34" s="122">
        <f>IF(VLOOKUP('Hide - Control'!A$3,'All practice data'!A:CA,C34+30,FALSE)=" "," ",VLOOKUP('Hide - Control'!A$3,'All practice data'!A:CA,C34+30,FALSE))</f>
        <v>812.6777732629013</v>
      </c>
      <c r="I34" s="123">
        <f>IF(LEFT(G34,1)=" "," n/a",IF(G34&lt;5,100000*VLOOKUP(G34,'Hide - Calculation'!AQ:AR,2,FALSE)/$E$8,100000*(G34*(1-1/(9*G34)-1.96/(3*SQRT(G34)))^3)/$E$8))</f>
        <v>496.19312939356143</v>
      </c>
      <c r="J34" s="123">
        <f>IF(LEFT(G34,1)=" "," n/a",IF(G34&lt;5,100000*VLOOKUP(G34,'Hide - Calculation'!AQ:AS,3,FALSE)/$E$8,100000*((G34+1)*(1-1/(9*(G34+1))+1.96/(3*SQRT(G34+1)))^3)/$E$8))</f>
        <v>1255.1846337372162</v>
      </c>
      <c r="K34" s="122">
        <f>IF('Hide - Calculation'!N28="","",'Hide - Calculation'!N28)</f>
        <v>432.03565342771003</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1024.4049072265625</v>
      </c>
      <c r="AB34" s="234" t="s">
        <v>47</v>
      </c>
      <c r="AC34" s="131" t="s">
        <v>525</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345</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345</v>
      </c>
      <c r="AC36" s="131">
        <v>2008</v>
      </c>
    </row>
    <row r="37" spans="2:29" ht="33.75" customHeight="1" thickBot="1">
      <c r="B37" s="307"/>
      <c r="C37" s="176">
        <v>25</v>
      </c>
      <c r="D37" s="177" t="s">
        <v>361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345</v>
      </c>
      <c r="AC37" s="149">
        <v>2008</v>
      </c>
    </row>
    <row r="38" spans="2:29" ht="16.5" customHeight="1">
      <c r="B38" s="69"/>
      <c r="C38" s="69"/>
      <c r="D38" s="65" t="s">
        <v>343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591</v>
      </c>
      <c r="C39" s="244"/>
      <c r="D39" s="244"/>
      <c r="E39" s="303" t="s">
        <v>595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557</v>
      </c>
      <c r="B4" s="79" t="s">
        <v>311</v>
      </c>
      <c r="C4" s="79" t="s">
        <v>128</v>
      </c>
      <c r="D4" s="99">
        <v>2461</v>
      </c>
      <c r="E4" s="99">
        <v>267</v>
      </c>
      <c r="F4" s="99" t="s">
        <v>363</v>
      </c>
      <c r="G4" s="99">
        <v>9</v>
      </c>
      <c r="H4" s="99">
        <v>7</v>
      </c>
      <c r="I4" s="99">
        <v>27</v>
      </c>
      <c r="J4" s="99">
        <v>116</v>
      </c>
      <c r="K4" s="99">
        <v>12</v>
      </c>
      <c r="L4" s="99">
        <v>475</v>
      </c>
      <c r="M4" s="99">
        <v>60</v>
      </c>
      <c r="N4" s="99">
        <v>30</v>
      </c>
      <c r="O4" s="99">
        <v>31</v>
      </c>
      <c r="P4" s="159">
        <v>31</v>
      </c>
      <c r="Q4" s="99" t="s">
        <v>594</v>
      </c>
      <c r="R4" s="99">
        <v>8</v>
      </c>
      <c r="S4" s="99" t="s">
        <v>594</v>
      </c>
      <c r="T4" s="99" t="s">
        <v>594</v>
      </c>
      <c r="U4" s="99" t="s">
        <v>594</v>
      </c>
      <c r="V4" s="99">
        <v>16</v>
      </c>
      <c r="W4" s="99">
        <v>21</v>
      </c>
      <c r="X4" s="99">
        <v>8</v>
      </c>
      <c r="Y4" s="99">
        <v>25</v>
      </c>
      <c r="Z4" s="99">
        <v>20</v>
      </c>
      <c r="AA4" s="99" t="s">
        <v>594</v>
      </c>
      <c r="AB4" s="99" t="s">
        <v>594</v>
      </c>
      <c r="AC4" s="99" t="s">
        <v>594</v>
      </c>
      <c r="AD4" s="98" t="s">
        <v>343</v>
      </c>
      <c r="AE4" s="100">
        <v>0.10849248273059732</v>
      </c>
      <c r="AF4" s="100">
        <v>0.23</v>
      </c>
      <c r="AG4" s="98">
        <v>365.7049979683056</v>
      </c>
      <c r="AH4" s="98">
        <v>284.43722064201546</v>
      </c>
      <c r="AI4" s="100">
        <v>0.011000000000000001</v>
      </c>
      <c r="AJ4" s="100">
        <v>0.560386</v>
      </c>
      <c r="AK4" s="100">
        <v>0.571429</v>
      </c>
      <c r="AL4" s="100">
        <v>0.728528</v>
      </c>
      <c r="AM4" s="100">
        <v>0.372671</v>
      </c>
      <c r="AN4" s="100">
        <v>0.38961</v>
      </c>
      <c r="AO4" s="98">
        <v>1259.650548557497</v>
      </c>
      <c r="AP4" s="158">
        <v>0.830174408</v>
      </c>
      <c r="AQ4" s="100" t="s">
        <v>594</v>
      </c>
      <c r="AR4" s="100" t="s">
        <v>594</v>
      </c>
      <c r="AS4" s="98" t="s">
        <v>594</v>
      </c>
      <c r="AT4" s="98" t="s">
        <v>594</v>
      </c>
      <c r="AU4" s="98" t="s">
        <v>594</v>
      </c>
      <c r="AV4" s="98">
        <v>650.142218610321</v>
      </c>
      <c r="AW4" s="98">
        <v>853.3116619260463</v>
      </c>
      <c r="AX4" s="98">
        <v>325.0711093051605</v>
      </c>
      <c r="AY4" s="98">
        <v>1015.8472165786266</v>
      </c>
      <c r="AZ4" s="98">
        <v>812.6777732629013</v>
      </c>
      <c r="BA4" s="100" t="s">
        <v>594</v>
      </c>
      <c r="BB4" s="100" t="s">
        <v>594</v>
      </c>
      <c r="BC4" s="100" t="s">
        <v>594</v>
      </c>
      <c r="BD4" s="158">
        <v>0.5640632629</v>
      </c>
      <c r="BE4" s="158">
        <v>1.1783663180000001</v>
      </c>
      <c r="BF4" s="162">
        <v>207</v>
      </c>
      <c r="BG4" s="162">
        <v>21</v>
      </c>
      <c r="BH4" s="162">
        <v>652</v>
      </c>
      <c r="BI4" s="162">
        <v>161</v>
      </c>
      <c r="BJ4" s="162">
        <v>77</v>
      </c>
      <c r="BK4" s="97"/>
      <c r="BL4" s="97"/>
      <c r="BM4" s="97"/>
      <c r="BN4" s="97"/>
    </row>
    <row r="5" spans="1:66" ht="12.75">
      <c r="A5" s="79" t="s">
        <v>560</v>
      </c>
      <c r="B5" s="79" t="s">
        <v>314</v>
      </c>
      <c r="C5" s="79" t="s">
        <v>128</v>
      </c>
      <c r="D5" s="99">
        <v>5459</v>
      </c>
      <c r="E5" s="99">
        <v>585</v>
      </c>
      <c r="F5" s="99" t="s">
        <v>366</v>
      </c>
      <c r="G5" s="99">
        <v>22</v>
      </c>
      <c r="H5" s="99">
        <v>6</v>
      </c>
      <c r="I5" s="99">
        <v>82</v>
      </c>
      <c r="J5" s="99">
        <v>432</v>
      </c>
      <c r="K5" s="99">
        <v>323</v>
      </c>
      <c r="L5" s="99">
        <v>1357</v>
      </c>
      <c r="M5" s="99">
        <v>249</v>
      </c>
      <c r="N5" s="99">
        <v>116</v>
      </c>
      <c r="O5" s="99">
        <v>80</v>
      </c>
      <c r="P5" s="159">
        <v>80</v>
      </c>
      <c r="Q5" s="99">
        <v>10</v>
      </c>
      <c r="R5" s="99">
        <v>23</v>
      </c>
      <c r="S5" s="99">
        <v>16</v>
      </c>
      <c r="T5" s="99">
        <v>11</v>
      </c>
      <c r="U5" s="99" t="s">
        <v>594</v>
      </c>
      <c r="V5" s="99">
        <v>21</v>
      </c>
      <c r="W5" s="99">
        <v>34</v>
      </c>
      <c r="X5" s="99">
        <v>14</v>
      </c>
      <c r="Y5" s="99">
        <v>42</v>
      </c>
      <c r="Z5" s="99">
        <v>18</v>
      </c>
      <c r="AA5" s="99" t="s">
        <v>594</v>
      </c>
      <c r="AB5" s="99" t="s">
        <v>594</v>
      </c>
      <c r="AC5" s="99" t="s">
        <v>594</v>
      </c>
      <c r="AD5" s="98" t="s">
        <v>343</v>
      </c>
      <c r="AE5" s="100">
        <v>0.10716248397142333</v>
      </c>
      <c r="AF5" s="100">
        <v>0.17</v>
      </c>
      <c r="AG5" s="98">
        <v>403.00421322586556</v>
      </c>
      <c r="AH5" s="98">
        <v>109.9102399706906</v>
      </c>
      <c r="AI5" s="100">
        <v>0.015</v>
      </c>
      <c r="AJ5" s="100">
        <v>0.684628</v>
      </c>
      <c r="AK5" s="100">
        <v>0.656504</v>
      </c>
      <c r="AL5" s="100">
        <v>0.799176</v>
      </c>
      <c r="AM5" s="100">
        <v>0.506098</v>
      </c>
      <c r="AN5" s="100">
        <v>0.511013</v>
      </c>
      <c r="AO5" s="98">
        <v>1465.4698662758747</v>
      </c>
      <c r="AP5" s="158">
        <v>0.8803442383</v>
      </c>
      <c r="AQ5" s="100">
        <v>0.125</v>
      </c>
      <c r="AR5" s="100">
        <v>0.43478260869565216</v>
      </c>
      <c r="AS5" s="98">
        <v>293.09397325517494</v>
      </c>
      <c r="AT5" s="98">
        <v>201.50210661293278</v>
      </c>
      <c r="AU5" s="98" t="s">
        <v>594</v>
      </c>
      <c r="AV5" s="98">
        <v>384.6858398974171</v>
      </c>
      <c r="AW5" s="98">
        <v>622.8246931672468</v>
      </c>
      <c r="AX5" s="98">
        <v>256.45722659827806</v>
      </c>
      <c r="AY5" s="98">
        <v>769.3716797948342</v>
      </c>
      <c r="AZ5" s="98">
        <v>329.73071991207183</v>
      </c>
      <c r="BA5" s="100" t="s">
        <v>594</v>
      </c>
      <c r="BB5" s="100" t="s">
        <v>594</v>
      </c>
      <c r="BC5" s="100" t="s">
        <v>594</v>
      </c>
      <c r="BD5" s="158">
        <v>0.6980582428</v>
      </c>
      <c r="BE5" s="158">
        <v>1.095664673</v>
      </c>
      <c r="BF5" s="162">
        <v>631</v>
      </c>
      <c r="BG5" s="162">
        <v>492</v>
      </c>
      <c r="BH5" s="162">
        <v>1698</v>
      </c>
      <c r="BI5" s="162">
        <v>492</v>
      </c>
      <c r="BJ5" s="162">
        <v>227</v>
      </c>
      <c r="BK5" s="97"/>
      <c r="BL5" s="97"/>
      <c r="BM5" s="97"/>
      <c r="BN5" s="97"/>
    </row>
    <row r="6" spans="1:66" ht="12.75">
      <c r="A6" s="79" t="s">
        <v>583</v>
      </c>
      <c r="B6" s="79" t="s">
        <v>338</v>
      </c>
      <c r="C6" s="79" t="s">
        <v>128</v>
      </c>
      <c r="D6" s="99">
        <v>6392</v>
      </c>
      <c r="E6" s="99">
        <v>612</v>
      </c>
      <c r="F6" s="99" t="s">
        <v>365</v>
      </c>
      <c r="G6" s="99">
        <v>14</v>
      </c>
      <c r="H6" s="99">
        <v>15</v>
      </c>
      <c r="I6" s="99">
        <v>58</v>
      </c>
      <c r="J6" s="99">
        <v>349</v>
      </c>
      <c r="K6" s="99">
        <v>341</v>
      </c>
      <c r="L6" s="99">
        <v>1295</v>
      </c>
      <c r="M6" s="99">
        <v>185</v>
      </c>
      <c r="N6" s="99">
        <v>94</v>
      </c>
      <c r="O6" s="99">
        <v>74</v>
      </c>
      <c r="P6" s="159">
        <v>74</v>
      </c>
      <c r="Q6" s="99">
        <v>10</v>
      </c>
      <c r="R6" s="99">
        <v>24</v>
      </c>
      <c r="S6" s="99">
        <v>32</v>
      </c>
      <c r="T6" s="99">
        <v>8</v>
      </c>
      <c r="U6" s="99" t="s">
        <v>594</v>
      </c>
      <c r="V6" s="99">
        <v>13</v>
      </c>
      <c r="W6" s="99">
        <v>51</v>
      </c>
      <c r="X6" s="99">
        <v>21</v>
      </c>
      <c r="Y6" s="99">
        <v>49</v>
      </c>
      <c r="Z6" s="99">
        <v>17</v>
      </c>
      <c r="AA6" s="99" t="s">
        <v>594</v>
      </c>
      <c r="AB6" s="99" t="s">
        <v>594</v>
      </c>
      <c r="AC6" s="99" t="s">
        <v>594</v>
      </c>
      <c r="AD6" s="98" t="s">
        <v>343</v>
      </c>
      <c r="AE6" s="100">
        <v>0.09574468085106383</v>
      </c>
      <c r="AF6" s="100">
        <v>0.12</v>
      </c>
      <c r="AG6" s="98">
        <v>219.0237797246558</v>
      </c>
      <c r="AH6" s="98">
        <v>234.6683354192741</v>
      </c>
      <c r="AI6" s="100">
        <v>0.009000000000000001</v>
      </c>
      <c r="AJ6" s="100">
        <v>0.648699</v>
      </c>
      <c r="AK6" s="100">
        <v>0.638577</v>
      </c>
      <c r="AL6" s="100">
        <v>0.705722</v>
      </c>
      <c r="AM6" s="100">
        <v>0.430233</v>
      </c>
      <c r="AN6" s="100">
        <v>0.463054</v>
      </c>
      <c r="AO6" s="98">
        <v>1157.6971214017522</v>
      </c>
      <c r="AP6" s="158">
        <v>0.7875231171</v>
      </c>
      <c r="AQ6" s="100">
        <v>0.13513513513513514</v>
      </c>
      <c r="AR6" s="100">
        <v>0.4166666666666667</v>
      </c>
      <c r="AS6" s="98">
        <v>500.6257822277847</v>
      </c>
      <c r="AT6" s="98">
        <v>125.15644555694618</v>
      </c>
      <c r="AU6" s="98" t="s">
        <v>594</v>
      </c>
      <c r="AV6" s="98">
        <v>203.37922403003753</v>
      </c>
      <c r="AW6" s="98">
        <v>797.8723404255319</v>
      </c>
      <c r="AX6" s="98">
        <v>328.5356695869837</v>
      </c>
      <c r="AY6" s="98">
        <v>766.5832290362954</v>
      </c>
      <c r="AZ6" s="98">
        <v>265.9574468085106</v>
      </c>
      <c r="BA6" s="100" t="s">
        <v>594</v>
      </c>
      <c r="BB6" s="100" t="s">
        <v>594</v>
      </c>
      <c r="BC6" s="100" t="s">
        <v>594</v>
      </c>
      <c r="BD6" s="158">
        <v>0.6183750152999999</v>
      </c>
      <c r="BE6" s="158">
        <v>0.9886631011999999</v>
      </c>
      <c r="BF6" s="162">
        <v>538</v>
      </c>
      <c r="BG6" s="162">
        <v>534</v>
      </c>
      <c r="BH6" s="162">
        <v>1835</v>
      </c>
      <c r="BI6" s="162">
        <v>430</v>
      </c>
      <c r="BJ6" s="162">
        <v>203</v>
      </c>
      <c r="BK6" s="97"/>
      <c r="BL6" s="97"/>
      <c r="BM6" s="97"/>
      <c r="BN6" s="97"/>
    </row>
    <row r="7" spans="1:66" ht="12.75">
      <c r="A7" s="79" t="s">
        <v>572</v>
      </c>
      <c r="B7" s="79" t="s">
        <v>326</v>
      </c>
      <c r="C7" s="79" t="s">
        <v>128</v>
      </c>
      <c r="D7" s="99">
        <v>2145</v>
      </c>
      <c r="E7" s="99">
        <v>360</v>
      </c>
      <c r="F7" s="99" t="s">
        <v>365</v>
      </c>
      <c r="G7" s="99">
        <v>11</v>
      </c>
      <c r="H7" s="99" t="s">
        <v>594</v>
      </c>
      <c r="I7" s="99">
        <v>28</v>
      </c>
      <c r="J7" s="99">
        <v>220</v>
      </c>
      <c r="K7" s="99">
        <v>205</v>
      </c>
      <c r="L7" s="99">
        <v>440</v>
      </c>
      <c r="M7" s="99">
        <v>132</v>
      </c>
      <c r="N7" s="99">
        <v>64</v>
      </c>
      <c r="O7" s="99">
        <v>49</v>
      </c>
      <c r="P7" s="159">
        <v>49</v>
      </c>
      <c r="Q7" s="99">
        <v>6</v>
      </c>
      <c r="R7" s="99">
        <v>12</v>
      </c>
      <c r="S7" s="99">
        <v>19</v>
      </c>
      <c r="T7" s="99" t="s">
        <v>594</v>
      </c>
      <c r="U7" s="99" t="s">
        <v>594</v>
      </c>
      <c r="V7" s="99" t="s">
        <v>594</v>
      </c>
      <c r="W7" s="99">
        <v>40</v>
      </c>
      <c r="X7" s="99">
        <v>6</v>
      </c>
      <c r="Y7" s="99">
        <v>31</v>
      </c>
      <c r="Z7" s="99">
        <v>10</v>
      </c>
      <c r="AA7" s="99" t="s">
        <v>594</v>
      </c>
      <c r="AB7" s="99" t="s">
        <v>594</v>
      </c>
      <c r="AC7" s="99" t="s">
        <v>594</v>
      </c>
      <c r="AD7" s="98" t="s">
        <v>343</v>
      </c>
      <c r="AE7" s="100">
        <v>0.16783216783216784</v>
      </c>
      <c r="AF7" s="100">
        <v>0.11</v>
      </c>
      <c r="AG7" s="98">
        <v>512.8205128205128</v>
      </c>
      <c r="AH7" s="98" t="s">
        <v>594</v>
      </c>
      <c r="AI7" s="100">
        <v>0.013000000000000001</v>
      </c>
      <c r="AJ7" s="100">
        <v>0.758621</v>
      </c>
      <c r="AK7" s="100">
        <v>0.742754</v>
      </c>
      <c r="AL7" s="100">
        <v>0.819367</v>
      </c>
      <c r="AM7" s="100">
        <v>0.45993</v>
      </c>
      <c r="AN7" s="100">
        <v>0.481203</v>
      </c>
      <c r="AO7" s="98">
        <v>2284.3822843822845</v>
      </c>
      <c r="AP7" s="158">
        <v>1.182799225</v>
      </c>
      <c r="AQ7" s="100">
        <v>0.12244897959183673</v>
      </c>
      <c r="AR7" s="100">
        <v>0.5</v>
      </c>
      <c r="AS7" s="98">
        <v>885.7808857808858</v>
      </c>
      <c r="AT7" s="98" t="s">
        <v>594</v>
      </c>
      <c r="AU7" s="98" t="s">
        <v>594</v>
      </c>
      <c r="AV7" s="98" t="s">
        <v>594</v>
      </c>
      <c r="AW7" s="98">
        <v>1864.801864801865</v>
      </c>
      <c r="AX7" s="98">
        <v>279.72027972027973</v>
      </c>
      <c r="AY7" s="98">
        <v>1445.2214452214453</v>
      </c>
      <c r="AZ7" s="98">
        <v>466.2004662004662</v>
      </c>
      <c r="BA7" s="100" t="s">
        <v>594</v>
      </c>
      <c r="BB7" s="100" t="s">
        <v>594</v>
      </c>
      <c r="BC7" s="100" t="s">
        <v>594</v>
      </c>
      <c r="BD7" s="158">
        <v>0.8750413512999999</v>
      </c>
      <c r="BE7" s="158">
        <v>1.563723297</v>
      </c>
      <c r="BF7" s="162">
        <v>290</v>
      </c>
      <c r="BG7" s="162">
        <v>276</v>
      </c>
      <c r="BH7" s="162">
        <v>537</v>
      </c>
      <c r="BI7" s="162">
        <v>287</v>
      </c>
      <c r="BJ7" s="162">
        <v>133</v>
      </c>
      <c r="BK7" s="97"/>
      <c r="BL7" s="97"/>
      <c r="BM7" s="97"/>
      <c r="BN7" s="97"/>
    </row>
    <row r="8" spans="1:66" ht="12.75">
      <c r="A8" s="79" t="s">
        <v>573</v>
      </c>
      <c r="B8" s="79" t="s">
        <v>328</v>
      </c>
      <c r="C8" s="79" t="s">
        <v>128</v>
      </c>
      <c r="D8" s="99">
        <v>4543</v>
      </c>
      <c r="E8" s="99">
        <v>328</v>
      </c>
      <c r="F8" s="99" t="s">
        <v>363</v>
      </c>
      <c r="G8" s="99">
        <v>6</v>
      </c>
      <c r="H8" s="99">
        <v>6</v>
      </c>
      <c r="I8" s="99">
        <v>26</v>
      </c>
      <c r="J8" s="99">
        <v>199</v>
      </c>
      <c r="K8" s="99">
        <v>177</v>
      </c>
      <c r="L8" s="99">
        <v>823</v>
      </c>
      <c r="M8" s="99">
        <v>77</v>
      </c>
      <c r="N8" s="99">
        <v>39</v>
      </c>
      <c r="O8" s="99">
        <v>26</v>
      </c>
      <c r="P8" s="159">
        <v>26</v>
      </c>
      <c r="Q8" s="99" t="s">
        <v>594</v>
      </c>
      <c r="R8" s="99">
        <v>9</v>
      </c>
      <c r="S8" s="99">
        <v>7</v>
      </c>
      <c r="T8" s="99" t="s">
        <v>594</v>
      </c>
      <c r="U8" s="99" t="s">
        <v>594</v>
      </c>
      <c r="V8" s="99" t="s">
        <v>594</v>
      </c>
      <c r="W8" s="99">
        <v>22</v>
      </c>
      <c r="X8" s="99" t="s">
        <v>594</v>
      </c>
      <c r="Y8" s="99">
        <v>33</v>
      </c>
      <c r="Z8" s="99">
        <v>17</v>
      </c>
      <c r="AA8" s="99" t="s">
        <v>594</v>
      </c>
      <c r="AB8" s="99" t="s">
        <v>594</v>
      </c>
      <c r="AC8" s="99" t="s">
        <v>594</v>
      </c>
      <c r="AD8" s="98" t="s">
        <v>343</v>
      </c>
      <c r="AE8" s="100">
        <v>0.07219898745322474</v>
      </c>
      <c r="AF8" s="100">
        <v>0.19</v>
      </c>
      <c r="AG8" s="98">
        <v>132.07131851199648</v>
      </c>
      <c r="AH8" s="98">
        <v>132.07131851199648</v>
      </c>
      <c r="AI8" s="100">
        <v>0.006</v>
      </c>
      <c r="AJ8" s="100">
        <v>0.549724</v>
      </c>
      <c r="AK8" s="100">
        <v>0.507163</v>
      </c>
      <c r="AL8" s="100">
        <v>0.684692</v>
      </c>
      <c r="AM8" s="100">
        <v>0.301961</v>
      </c>
      <c r="AN8" s="100">
        <v>0.291045</v>
      </c>
      <c r="AO8" s="98">
        <v>572.309046885318</v>
      </c>
      <c r="AP8" s="158">
        <v>0.4392133713</v>
      </c>
      <c r="AQ8" s="100" t="s">
        <v>594</v>
      </c>
      <c r="AR8" s="100" t="s">
        <v>594</v>
      </c>
      <c r="AS8" s="98">
        <v>154.08320493066256</v>
      </c>
      <c r="AT8" s="98" t="s">
        <v>594</v>
      </c>
      <c r="AU8" s="98" t="s">
        <v>594</v>
      </c>
      <c r="AV8" s="98" t="s">
        <v>594</v>
      </c>
      <c r="AW8" s="98">
        <v>484.26150121065376</v>
      </c>
      <c r="AX8" s="98" t="s">
        <v>594</v>
      </c>
      <c r="AY8" s="98">
        <v>726.3922518159807</v>
      </c>
      <c r="AZ8" s="98">
        <v>374.20206911732333</v>
      </c>
      <c r="BA8" s="100" t="s">
        <v>594</v>
      </c>
      <c r="BB8" s="100" t="s">
        <v>594</v>
      </c>
      <c r="BC8" s="100" t="s">
        <v>594</v>
      </c>
      <c r="BD8" s="158">
        <v>0.2869087601</v>
      </c>
      <c r="BE8" s="158">
        <v>0.6435493469</v>
      </c>
      <c r="BF8" s="162">
        <v>362</v>
      </c>
      <c r="BG8" s="162">
        <v>349</v>
      </c>
      <c r="BH8" s="162">
        <v>1202</v>
      </c>
      <c r="BI8" s="162">
        <v>255</v>
      </c>
      <c r="BJ8" s="162">
        <v>134</v>
      </c>
      <c r="BK8" s="97"/>
      <c r="BL8" s="97"/>
      <c r="BM8" s="97"/>
      <c r="BN8" s="97"/>
    </row>
    <row r="9" spans="1:66" ht="12.75">
      <c r="A9" s="79" t="s">
        <v>543</v>
      </c>
      <c r="B9" s="79" t="s">
        <v>297</v>
      </c>
      <c r="C9" s="79" t="s">
        <v>128</v>
      </c>
      <c r="D9" s="99">
        <v>11227</v>
      </c>
      <c r="E9" s="99">
        <v>959</v>
      </c>
      <c r="F9" s="99" t="s">
        <v>363</v>
      </c>
      <c r="G9" s="99">
        <v>25</v>
      </c>
      <c r="H9" s="99">
        <v>18</v>
      </c>
      <c r="I9" s="99">
        <v>112</v>
      </c>
      <c r="J9" s="99">
        <v>696</v>
      </c>
      <c r="K9" s="99">
        <v>10</v>
      </c>
      <c r="L9" s="99">
        <v>2484</v>
      </c>
      <c r="M9" s="99">
        <v>298</v>
      </c>
      <c r="N9" s="99">
        <v>158</v>
      </c>
      <c r="O9" s="99">
        <v>112</v>
      </c>
      <c r="P9" s="159">
        <v>112</v>
      </c>
      <c r="Q9" s="99">
        <v>11</v>
      </c>
      <c r="R9" s="99">
        <v>20</v>
      </c>
      <c r="S9" s="99">
        <v>28</v>
      </c>
      <c r="T9" s="99">
        <v>11</v>
      </c>
      <c r="U9" s="99" t="s">
        <v>594</v>
      </c>
      <c r="V9" s="99">
        <v>8</v>
      </c>
      <c r="W9" s="99">
        <v>66</v>
      </c>
      <c r="X9" s="99">
        <v>17</v>
      </c>
      <c r="Y9" s="99">
        <v>119</v>
      </c>
      <c r="Z9" s="99">
        <v>40</v>
      </c>
      <c r="AA9" s="99" t="s">
        <v>594</v>
      </c>
      <c r="AB9" s="99" t="s">
        <v>594</v>
      </c>
      <c r="AC9" s="99" t="s">
        <v>594</v>
      </c>
      <c r="AD9" s="98" t="s">
        <v>343</v>
      </c>
      <c r="AE9" s="100">
        <v>0.08541907900596776</v>
      </c>
      <c r="AF9" s="100">
        <v>0.19</v>
      </c>
      <c r="AG9" s="98">
        <v>222.67747394673555</v>
      </c>
      <c r="AH9" s="98">
        <v>160.3277812416496</v>
      </c>
      <c r="AI9" s="100">
        <v>0.01</v>
      </c>
      <c r="AJ9" s="100">
        <v>0.641475</v>
      </c>
      <c r="AK9" s="100">
        <v>0.47619</v>
      </c>
      <c r="AL9" s="100">
        <v>0.791587</v>
      </c>
      <c r="AM9" s="100">
        <v>0.406548</v>
      </c>
      <c r="AN9" s="100">
        <v>0.429348</v>
      </c>
      <c r="AO9" s="98">
        <v>997.5950832813753</v>
      </c>
      <c r="AP9" s="158">
        <v>0.6770001983999999</v>
      </c>
      <c r="AQ9" s="100">
        <v>0.09821428571428571</v>
      </c>
      <c r="AR9" s="100">
        <v>0.55</v>
      </c>
      <c r="AS9" s="98">
        <v>249.39877082034383</v>
      </c>
      <c r="AT9" s="98">
        <v>97.97808853656365</v>
      </c>
      <c r="AU9" s="98" t="s">
        <v>594</v>
      </c>
      <c r="AV9" s="98">
        <v>71.25679166295538</v>
      </c>
      <c r="AW9" s="98">
        <v>587.8685312193818</v>
      </c>
      <c r="AX9" s="98">
        <v>151.42068228378017</v>
      </c>
      <c r="AY9" s="98">
        <v>1059.9447759864613</v>
      </c>
      <c r="AZ9" s="98">
        <v>356.2839583147769</v>
      </c>
      <c r="BA9" s="100" t="s">
        <v>594</v>
      </c>
      <c r="BB9" s="100" t="s">
        <v>594</v>
      </c>
      <c r="BC9" s="100" t="s">
        <v>594</v>
      </c>
      <c r="BD9" s="158">
        <v>0.5574398804</v>
      </c>
      <c r="BE9" s="158">
        <v>0.8146071625000001</v>
      </c>
      <c r="BF9" s="162">
        <v>1085</v>
      </c>
      <c r="BG9" s="162">
        <v>21</v>
      </c>
      <c r="BH9" s="162">
        <v>3138</v>
      </c>
      <c r="BI9" s="162">
        <v>733</v>
      </c>
      <c r="BJ9" s="162">
        <v>368</v>
      </c>
      <c r="BK9" s="97"/>
      <c r="BL9" s="97"/>
      <c r="BM9" s="97"/>
      <c r="BN9" s="97"/>
    </row>
    <row r="10" spans="1:66" ht="12.75">
      <c r="A10" s="79" t="s">
        <v>555</v>
      </c>
      <c r="B10" s="79" t="s">
        <v>309</v>
      </c>
      <c r="C10" s="79" t="s">
        <v>128</v>
      </c>
      <c r="D10" s="99">
        <v>3500</v>
      </c>
      <c r="E10" s="99">
        <v>310</v>
      </c>
      <c r="F10" s="99" t="s">
        <v>364</v>
      </c>
      <c r="G10" s="99">
        <v>6</v>
      </c>
      <c r="H10" s="99" t="s">
        <v>594</v>
      </c>
      <c r="I10" s="99">
        <v>28</v>
      </c>
      <c r="J10" s="99">
        <v>179</v>
      </c>
      <c r="K10" s="99" t="s">
        <v>594</v>
      </c>
      <c r="L10" s="99">
        <v>629</v>
      </c>
      <c r="M10" s="99">
        <v>116</v>
      </c>
      <c r="N10" s="99">
        <v>49</v>
      </c>
      <c r="O10" s="99" t="s">
        <v>594</v>
      </c>
      <c r="P10" s="159" t="s">
        <v>594</v>
      </c>
      <c r="Q10" s="99" t="s">
        <v>594</v>
      </c>
      <c r="R10" s="99" t="s">
        <v>594</v>
      </c>
      <c r="S10" s="99" t="s">
        <v>594</v>
      </c>
      <c r="T10" s="99" t="s">
        <v>594</v>
      </c>
      <c r="U10" s="99" t="s">
        <v>594</v>
      </c>
      <c r="V10" s="99" t="s">
        <v>594</v>
      </c>
      <c r="W10" s="99">
        <v>31</v>
      </c>
      <c r="X10" s="99" t="s">
        <v>594</v>
      </c>
      <c r="Y10" s="99">
        <v>20</v>
      </c>
      <c r="Z10" s="99">
        <v>9</v>
      </c>
      <c r="AA10" s="99" t="s">
        <v>594</v>
      </c>
      <c r="AB10" s="99" t="s">
        <v>594</v>
      </c>
      <c r="AC10" s="99" t="s">
        <v>594</v>
      </c>
      <c r="AD10" s="98" t="s">
        <v>343</v>
      </c>
      <c r="AE10" s="100">
        <v>0.08857142857142856</v>
      </c>
      <c r="AF10" s="100">
        <v>0.33</v>
      </c>
      <c r="AG10" s="98">
        <v>171.42857142857142</v>
      </c>
      <c r="AH10" s="98" t="s">
        <v>594</v>
      </c>
      <c r="AI10" s="100">
        <v>0.008</v>
      </c>
      <c r="AJ10" s="100">
        <v>0.590759</v>
      </c>
      <c r="AK10" s="100" t="s">
        <v>594</v>
      </c>
      <c r="AL10" s="100">
        <v>0.744379</v>
      </c>
      <c r="AM10" s="100">
        <v>0.471545</v>
      </c>
      <c r="AN10" s="100">
        <v>0.426087</v>
      </c>
      <c r="AO10" s="98" t="s">
        <v>594</v>
      </c>
      <c r="AP10" s="158" t="s">
        <v>594</v>
      </c>
      <c r="AQ10" s="100" t="s">
        <v>594</v>
      </c>
      <c r="AR10" s="100" t="s">
        <v>594</v>
      </c>
      <c r="AS10" s="98" t="s">
        <v>594</v>
      </c>
      <c r="AT10" s="98" t="s">
        <v>594</v>
      </c>
      <c r="AU10" s="98" t="s">
        <v>594</v>
      </c>
      <c r="AV10" s="98" t="s">
        <v>594</v>
      </c>
      <c r="AW10" s="98">
        <v>885.7142857142857</v>
      </c>
      <c r="AX10" s="98" t="s">
        <v>594</v>
      </c>
      <c r="AY10" s="98">
        <v>571.4285714285714</v>
      </c>
      <c r="AZ10" s="98">
        <v>257.14285714285717</v>
      </c>
      <c r="BA10" s="100" t="s">
        <v>594</v>
      </c>
      <c r="BB10" s="100" t="s">
        <v>594</v>
      </c>
      <c r="BC10" s="100" t="s">
        <v>594</v>
      </c>
      <c r="BD10" s="158" t="s">
        <v>594</v>
      </c>
      <c r="BE10" s="158" t="s">
        <v>594</v>
      </c>
      <c r="BF10" s="162">
        <v>303</v>
      </c>
      <c r="BG10" s="162" t="s">
        <v>594</v>
      </c>
      <c r="BH10" s="162">
        <v>845</v>
      </c>
      <c r="BI10" s="162">
        <v>246</v>
      </c>
      <c r="BJ10" s="162">
        <v>115</v>
      </c>
      <c r="BK10" s="97"/>
      <c r="BL10" s="97"/>
      <c r="BM10" s="97"/>
      <c r="BN10" s="97"/>
    </row>
    <row r="11" spans="1:66" ht="12.75">
      <c r="A11" s="79" t="s">
        <v>581</v>
      </c>
      <c r="B11" s="79" t="s">
        <v>336</v>
      </c>
      <c r="C11" s="79" t="s">
        <v>128</v>
      </c>
      <c r="D11" s="99">
        <v>4782</v>
      </c>
      <c r="E11" s="99">
        <v>406</v>
      </c>
      <c r="F11" s="99" t="s">
        <v>363</v>
      </c>
      <c r="G11" s="99" t="s">
        <v>594</v>
      </c>
      <c r="H11" s="99" t="s">
        <v>594</v>
      </c>
      <c r="I11" s="99">
        <v>44</v>
      </c>
      <c r="J11" s="99">
        <v>243</v>
      </c>
      <c r="K11" s="99" t="s">
        <v>594</v>
      </c>
      <c r="L11" s="99">
        <v>728</v>
      </c>
      <c r="M11" s="99">
        <v>82</v>
      </c>
      <c r="N11" s="99">
        <v>46</v>
      </c>
      <c r="O11" s="99">
        <v>10</v>
      </c>
      <c r="P11" s="159">
        <v>10</v>
      </c>
      <c r="Q11" s="99" t="s">
        <v>594</v>
      </c>
      <c r="R11" s="99" t="s">
        <v>594</v>
      </c>
      <c r="S11" s="99" t="s">
        <v>594</v>
      </c>
      <c r="T11" s="99" t="s">
        <v>594</v>
      </c>
      <c r="U11" s="99" t="s">
        <v>594</v>
      </c>
      <c r="V11" s="99" t="s">
        <v>594</v>
      </c>
      <c r="W11" s="99">
        <v>22</v>
      </c>
      <c r="X11" s="99">
        <v>13</v>
      </c>
      <c r="Y11" s="99">
        <v>45</v>
      </c>
      <c r="Z11" s="99">
        <v>19</v>
      </c>
      <c r="AA11" s="99" t="s">
        <v>594</v>
      </c>
      <c r="AB11" s="99" t="s">
        <v>594</v>
      </c>
      <c r="AC11" s="99" t="s">
        <v>594</v>
      </c>
      <c r="AD11" s="98" t="s">
        <v>343</v>
      </c>
      <c r="AE11" s="100">
        <v>0.08490171476369719</v>
      </c>
      <c r="AF11" s="100">
        <v>0.2</v>
      </c>
      <c r="AG11" s="98" t="s">
        <v>594</v>
      </c>
      <c r="AH11" s="98" t="s">
        <v>594</v>
      </c>
      <c r="AI11" s="100">
        <v>0.009000000000000001</v>
      </c>
      <c r="AJ11" s="100">
        <v>0.629534</v>
      </c>
      <c r="AK11" s="100" t="s">
        <v>594</v>
      </c>
      <c r="AL11" s="100">
        <v>0.704743</v>
      </c>
      <c r="AM11" s="100">
        <v>0.275168</v>
      </c>
      <c r="AN11" s="100">
        <v>0.310811</v>
      </c>
      <c r="AO11" s="98">
        <v>209.11752404851526</v>
      </c>
      <c r="AP11" s="158">
        <v>0.1551884365</v>
      </c>
      <c r="AQ11" s="100" t="s">
        <v>594</v>
      </c>
      <c r="AR11" s="100" t="s">
        <v>594</v>
      </c>
      <c r="AS11" s="98" t="s">
        <v>594</v>
      </c>
      <c r="AT11" s="98" t="s">
        <v>594</v>
      </c>
      <c r="AU11" s="98" t="s">
        <v>594</v>
      </c>
      <c r="AV11" s="98" t="s">
        <v>594</v>
      </c>
      <c r="AW11" s="98">
        <v>460.0585529067336</v>
      </c>
      <c r="AX11" s="98">
        <v>271.85278126306986</v>
      </c>
      <c r="AY11" s="98">
        <v>941.0288582183186</v>
      </c>
      <c r="AZ11" s="98">
        <v>397.323295692179</v>
      </c>
      <c r="BA11" s="100" t="s">
        <v>594</v>
      </c>
      <c r="BB11" s="100" t="s">
        <v>594</v>
      </c>
      <c r="BC11" s="100" t="s">
        <v>594</v>
      </c>
      <c r="BD11" s="158">
        <v>0.07441888809</v>
      </c>
      <c r="BE11" s="158">
        <v>0.2853970718</v>
      </c>
      <c r="BF11" s="162">
        <v>386</v>
      </c>
      <c r="BG11" s="162" t="s">
        <v>594</v>
      </c>
      <c r="BH11" s="162">
        <v>1033</v>
      </c>
      <c r="BI11" s="162">
        <v>298</v>
      </c>
      <c r="BJ11" s="162">
        <v>148</v>
      </c>
      <c r="BK11" s="97"/>
      <c r="BL11" s="97"/>
      <c r="BM11" s="97"/>
      <c r="BN11" s="97"/>
    </row>
    <row r="12" spans="1:66" ht="12.75">
      <c r="A12" s="79" t="s">
        <v>577</v>
      </c>
      <c r="B12" s="79" t="s">
        <v>332</v>
      </c>
      <c r="C12" s="79" t="s">
        <v>128</v>
      </c>
      <c r="D12" s="99">
        <v>3319</v>
      </c>
      <c r="E12" s="99">
        <v>628</v>
      </c>
      <c r="F12" s="99" t="s">
        <v>365</v>
      </c>
      <c r="G12" s="99">
        <v>12</v>
      </c>
      <c r="H12" s="99">
        <v>14</v>
      </c>
      <c r="I12" s="99">
        <v>33</v>
      </c>
      <c r="J12" s="99">
        <v>324</v>
      </c>
      <c r="K12" s="99">
        <v>305</v>
      </c>
      <c r="L12" s="99">
        <v>639</v>
      </c>
      <c r="M12" s="99">
        <v>230</v>
      </c>
      <c r="N12" s="99">
        <v>99</v>
      </c>
      <c r="O12" s="99">
        <v>33</v>
      </c>
      <c r="P12" s="159">
        <v>33</v>
      </c>
      <c r="Q12" s="99">
        <v>7</v>
      </c>
      <c r="R12" s="99">
        <v>21</v>
      </c>
      <c r="S12" s="99">
        <v>11</v>
      </c>
      <c r="T12" s="99" t="s">
        <v>594</v>
      </c>
      <c r="U12" s="99" t="s">
        <v>594</v>
      </c>
      <c r="V12" s="99">
        <v>6</v>
      </c>
      <c r="W12" s="99">
        <v>37</v>
      </c>
      <c r="X12" s="99">
        <v>13</v>
      </c>
      <c r="Y12" s="99">
        <v>41</v>
      </c>
      <c r="Z12" s="99">
        <v>34</v>
      </c>
      <c r="AA12" s="99" t="s">
        <v>594</v>
      </c>
      <c r="AB12" s="99" t="s">
        <v>594</v>
      </c>
      <c r="AC12" s="99" t="s">
        <v>594</v>
      </c>
      <c r="AD12" s="98" t="s">
        <v>343</v>
      </c>
      <c r="AE12" s="100">
        <v>0.18921361855980717</v>
      </c>
      <c r="AF12" s="100">
        <v>0.1</v>
      </c>
      <c r="AG12" s="98">
        <v>361.55468514612835</v>
      </c>
      <c r="AH12" s="98">
        <v>421.81379933714976</v>
      </c>
      <c r="AI12" s="100">
        <v>0.01</v>
      </c>
      <c r="AJ12" s="100">
        <v>0.72809</v>
      </c>
      <c r="AK12" s="100">
        <v>0.699541</v>
      </c>
      <c r="AL12" s="100">
        <v>0.78022</v>
      </c>
      <c r="AM12" s="100">
        <v>0.548926</v>
      </c>
      <c r="AN12" s="100">
        <v>0.518325</v>
      </c>
      <c r="AO12" s="98">
        <v>994.275384151853</v>
      </c>
      <c r="AP12" s="158">
        <v>0.48990047449999996</v>
      </c>
      <c r="AQ12" s="100">
        <v>0.21212121212121213</v>
      </c>
      <c r="AR12" s="100">
        <v>0.3333333333333333</v>
      </c>
      <c r="AS12" s="98">
        <v>331.4251280506177</v>
      </c>
      <c r="AT12" s="98" t="s">
        <v>594</v>
      </c>
      <c r="AU12" s="98" t="s">
        <v>594</v>
      </c>
      <c r="AV12" s="98">
        <v>180.77734257306417</v>
      </c>
      <c r="AW12" s="98">
        <v>1114.7936125338958</v>
      </c>
      <c r="AX12" s="98">
        <v>391.684242241639</v>
      </c>
      <c r="AY12" s="98">
        <v>1235.3118409159385</v>
      </c>
      <c r="AZ12" s="98">
        <v>1024.4049412473637</v>
      </c>
      <c r="BA12" s="100" t="s">
        <v>594</v>
      </c>
      <c r="BB12" s="100" t="s">
        <v>594</v>
      </c>
      <c r="BC12" s="100" t="s">
        <v>594</v>
      </c>
      <c r="BD12" s="158">
        <v>0.3372249222</v>
      </c>
      <c r="BE12" s="158">
        <v>0.6880023956</v>
      </c>
      <c r="BF12" s="162">
        <v>445</v>
      </c>
      <c r="BG12" s="162">
        <v>436</v>
      </c>
      <c r="BH12" s="162">
        <v>819</v>
      </c>
      <c r="BI12" s="162">
        <v>419</v>
      </c>
      <c r="BJ12" s="162">
        <v>191</v>
      </c>
      <c r="BK12" s="97"/>
      <c r="BL12" s="97"/>
      <c r="BM12" s="97"/>
      <c r="BN12" s="97"/>
    </row>
    <row r="13" spans="1:66" ht="12.75">
      <c r="A13" s="79" t="s">
        <v>568</v>
      </c>
      <c r="B13" s="79" t="s">
        <v>322</v>
      </c>
      <c r="C13" s="79" t="s">
        <v>128</v>
      </c>
      <c r="D13" s="99">
        <v>1489</v>
      </c>
      <c r="E13" s="99">
        <v>393</v>
      </c>
      <c r="F13" s="99" t="s">
        <v>365</v>
      </c>
      <c r="G13" s="99">
        <v>8</v>
      </c>
      <c r="H13" s="99" t="s">
        <v>594</v>
      </c>
      <c r="I13" s="99">
        <v>31</v>
      </c>
      <c r="J13" s="99">
        <v>122</v>
      </c>
      <c r="K13" s="99">
        <v>124</v>
      </c>
      <c r="L13" s="99">
        <v>291</v>
      </c>
      <c r="M13" s="99">
        <v>75</v>
      </c>
      <c r="N13" s="99">
        <v>39</v>
      </c>
      <c r="O13" s="99">
        <v>37</v>
      </c>
      <c r="P13" s="159">
        <v>37</v>
      </c>
      <c r="Q13" s="99" t="s">
        <v>594</v>
      </c>
      <c r="R13" s="99">
        <v>6</v>
      </c>
      <c r="S13" s="99">
        <v>9</v>
      </c>
      <c r="T13" s="99">
        <v>6</v>
      </c>
      <c r="U13" s="99" t="s">
        <v>594</v>
      </c>
      <c r="V13" s="99" t="s">
        <v>594</v>
      </c>
      <c r="W13" s="99">
        <v>12</v>
      </c>
      <c r="X13" s="99">
        <v>8</v>
      </c>
      <c r="Y13" s="99">
        <v>21</v>
      </c>
      <c r="Z13" s="99">
        <v>9</v>
      </c>
      <c r="AA13" s="99" t="s">
        <v>594</v>
      </c>
      <c r="AB13" s="99" t="s">
        <v>594</v>
      </c>
      <c r="AC13" s="99" t="s">
        <v>594</v>
      </c>
      <c r="AD13" s="98" t="s">
        <v>343</v>
      </c>
      <c r="AE13" s="100">
        <v>0.2639355271994627</v>
      </c>
      <c r="AF13" s="100">
        <v>0.11</v>
      </c>
      <c r="AG13" s="98">
        <v>537.2733378106111</v>
      </c>
      <c r="AH13" s="98" t="s">
        <v>594</v>
      </c>
      <c r="AI13" s="100">
        <v>0.021</v>
      </c>
      <c r="AJ13" s="100">
        <v>0.642105</v>
      </c>
      <c r="AK13" s="100">
        <v>0.700565</v>
      </c>
      <c r="AL13" s="100">
        <v>0.873874</v>
      </c>
      <c r="AM13" s="100">
        <v>0.357143</v>
      </c>
      <c r="AN13" s="100">
        <v>0.367925</v>
      </c>
      <c r="AO13" s="98">
        <v>2484.8891873740768</v>
      </c>
      <c r="AP13" s="158">
        <v>1.0741625209999999</v>
      </c>
      <c r="AQ13" s="100" t="s">
        <v>594</v>
      </c>
      <c r="AR13" s="100" t="s">
        <v>594</v>
      </c>
      <c r="AS13" s="98">
        <v>604.4325050369375</v>
      </c>
      <c r="AT13" s="98">
        <v>402.9550033579584</v>
      </c>
      <c r="AU13" s="98" t="s">
        <v>594</v>
      </c>
      <c r="AV13" s="98" t="s">
        <v>594</v>
      </c>
      <c r="AW13" s="98">
        <v>805.9100067159168</v>
      </c>
      <c r="AX13" s="98">
        <v>537.2733378106111</v>
      </c>
      <c r="AY13" s="98">
        <v>1410.3425117528543</v>
      </c>
      <c r="AZ13" s="98">
        <v>604.4325050369375</v>
      </c>
      <c r="BA13" s="100" t="s">
        <v>594</v>
      </c>
      <c r="BB13" s="100" t="s">
        <v>594</v>
      </c>
      <c r="BC13" s="100" t="s">
        <v>594</v>
      </c>
      <c r="BD13" s="158">
        <v>0.7563095093</v>
      </c>
      <c r="BE13" s="158">
        <v>1.480591583</v>
      </c>
      <c r="BF13" s="162">
        <v>190</v>
      </c>
      <c r="BG13" s="162">
        <v>177</v>
      </c>
      <c r="BH13" s="162">
        <v>333</v>
      </c>
      <c r="BI13" s="162">
        <v>210</v>
      </c>
      <c r="BJ13" s="162">
        <v>106</v>
      </c>
      <c r="BK13" s="97"/>
      <c r="BL13" s="97"/>
      <c r="BM13" s="97"/>
      <c r="BN13" s="97"/>
    </row>
    <row r="14" spans="1:66" ht="12.75">
      <c r="A14" s="79" t="s">
        <v>597</v>
      </c>
      <c r="B14" s="79" t="s">
        <v>327</v>
      </c>
      <c r="C14" s="79" t="s">
        <v>128</v>
      </c>
      <c r="D14" s="99">
        <v>12952</v>
      </c>
      <c r="E14" s="99">
        <v>1308</v>
      </c>
      <c r="F14" s="99" t="s">
        <v>363</v>
      </c>
      <c r="G14" s="99">
        <v>37</v>
      </c>
      <c r="H14" s="99">
        <v>18</v>
      </c>
      <c r="I14" s="99">
        <v>136</v>
      </c>
      <c r="J14" s="99">
        <v>661</v>
      </c>
      <c r="K14" s="99">
        <v>21</v>
      </c>
      <c r="L14" s="99">
        <v>2465</v>
      </c>
      <c r="M14" s="99">
        <v>304</v>
      </c>
      <c r="N14" s="99">
        <v>148</v>
      </c>
      <c r="O14" s="99">
        <v>195</v>
      </c>
      <c r="P14" s="159">
        <v>195</v>
      </c>
      <c r="Q14" s="99">
        <v>14</v>
      </c>
      <c r="R14" s="99">
        <v>36</v>
      </c>
      <c r="S14" s="99">
        <v>45</v>
      </c>
      <c r="T14" s="99">
        <v>15</v>
      </c>
      <c r="U14" s="99" t="s">
        <v>594</v>
      </c>
      <c r="V14" s="99">
        <v>16</v>
      </c>
      <c r="W14" s="99">
        <v>110</v>
      </c>
      <c r="X14" s="99">
        <v>41</v>
      </c>
      <c r="Y14" s="99">
        <v>150</v>
      </c>
      <c r="Z14" s="99">
        <v>38</v>
      </c>
      <c r="AA14" s="99" t="s">
        <v>594</v>
      </c>
      <c r="AB14" s="99" t="s">
        <v>594</v>
      </c>
      <c r="AC14" s="99" t="s">
        <v>594</v>
      </c>
      <c r="AD14" s="98" t="s">
        <v>343</v>
      </c>
      <c r="AE14" s="100">
        <v>0.10098826436071649</v>
      </c>
      <c r="AF14" s="100">
        <v>0.22</v>
      </c>
      <c r="AG14" s="98">
        <v>285.6701667696109</v>
      </c>
      <c r="AH14" s="98">
        <v>138.97467572575664</v>
      </c>
      <c r="AI14" s="100">
        <v>0.011000000000000001</v>
      </c>
      <c r="AJ14" s="100">
        <v>0.576286</v>
      </c>
      <c r="AK14" s="100">
        <v>0.617647</v>
      </c>
      <c r="AL14" s="100">
        <v>0.712222</v>
      </c>
      <c r="AM14" s="100">
        <v>0.358491</v>
      </c>
      <c r="AN14" s="100">
        <v>0.344988</v>
      </c>
      <c r="AO14" s="98">
        <v>1505.5589870290303</v>
      </c>
      <c r="AP14" s="158">
        <v>0.9850649261</v>
      </c>
      <c r="AQ14" s="100">
        <v>0.07179487179487179</v>
      </c>
      <c r="AR14" s="100">
        <v>0.3888888888888889</v>
      </c>
      <c r="AS14" s="98">
        <v>347.4366893143916</v>
      </c>
      <c r="AT14" s="98">
        <v>115.81222977146386</v>
      </c>
      <c r="AU14" s="98" t="s">
        <v>594</v>
      </c>
      <c r="AV14" s="98">
        <v>123.53304508956145</v>
      </c>
      <c r="AW14" s="98">
        <v>849.289684990735</v>
      </c>
      <c r="AX14" s="98">
        <v>316.55342804200126</v>
      </c>
      <c r="AY14" s="98">
        <v>1158.1222977146388</v>
      </c>
      <c r="AZ14" s="98">
        <v>293.39098208770844</v>
      </c>
      <c r="BA14" s="100" t="s">
        <v>594</v>
      </c>
      <c r="BB14" s="100" t="s">
        <v>594</v>
      </c>
      <c r="BC14" s="100" t="s">
        <v>594</v>
      </c>
      <c r="BD14" s="158">
        <v>0.851650238</v>
      </c>
      <c r="BE14" s="158">
        <v>1.133451233</v>
      </c>
      <c r="BF14" s="162">
        <v>1147</v>
      </c>
      <c r="BG14" s="162">
        <v>34</v>
      </c>
      <c r="BH14" s="162">
        <v>3461</v>
      </c>
      <c r="BI14" s="162">
        <v>848</v>
      </c>
      <c r="BJ14" s="162">
        <v>429</v>
      </c>
      <c r="BK14" s="97"/>
      <c r="BL14" s="97"/>
      <c r="BM14" s="97"/>
      <c r="BN14" s="97"/>
    </row>
    <row r="15" spans="1:66" ht="12.75">
      <c r="A15" s="79" t="s">
        <v>566</v>
      </c>
      <c r="B15" s="79" t="s">
        <v>320</v>
      </c>
      <c r="C15" s="79" t="s">
        <v>128</v>
      </c>
      <c r="D15" s="99">
        <v>12421</v>
      </c>
      <c r="E15" s="99">
        <v>1403</v>
      </c>
      <c r="F15" s="99" t="s">
        <v>365</v>
      </c>
      <c r="G15" s="99">
        <v>43</v>
      </c>
      <c r="H15" s="99">
        <v>20</v>
      </c>
      <c r="I15" s="99">
        <v>125</v>
      </c>
      <c r="J15" s="99">
        <v>665</v>
      </c>
      <c r="K15" s="99">
        <v>13</v>
      </c>
      <c r="L15" s="99">
        <v>2178</v>
      </c>
      <c r="M15" s="99">
        <v>451</v>
      </c>
      <c r="N15" s="99">
        <v>233</v>
      </c>
      <c r="O15" s="99">
        <v>164</v>
      </c>
      <c r="P15" s="159">
        <v>164</v>
      </c>
      <c r="Q15" s="99">
        <v>14</v>
      </c>
      <c r="R15" s="99">
        <v>37</v>
      </c>
      <c r="S15" s="99">
        <v>26</v>
      </c>
      <c r="T15" s="99">
        <v>22</v>
      </c>
      <c r="U15" s="99" t="s">
        <v>594</v>
      </c>
      <c r="V15" s="99">
        <v>29</v>
      </c>
      <c r="W15" s="99">
        <v>137</v>
      </c>
      <c r="X15" s="99">
        <v>29</v>
      </c>
      <c r="Y15" s="99">
        <v>134</v>
      </c>
      <c r="Z15" s="99">
        <v>54</v>
      </c>
      <c r="AA15" s="99" t="s">
        <v>594</v>
      </c>
      <c r="AB15" s="99" t="s">
        <v>594</v>
      </c>
      <c r="AC15" s="99" t="s">
        <v>594</v>
      </c>
      <c r="AD15" s="98" t="s">
        <v>343</v>
      </c>
      <c r="AE15" s="100">
        <v>0.11295386844859512</v>
      </c>
      <c r="AF15" s="100">
        <v>0.11</v>
      </c>
      <c r="AG15" s="98">
        <v>346.18790757587954</v>
      </c>
      <c r="AH15" s="98">
        <v>161.01763143064164</v>
      </c>
      <c r="AI15" s="100">
        <v>0.01</v>
      </c>
      <c r="AJ15" s="100">
        <v>0.655172</v>
      </c>
      <c r="AK15" s="100">
        <v>0.393939</v>
      </c>
      <c r="AL15" s="100">
        <v>0.647636</v>
      </c>
      <c r="AM15" s="100">
        <v>0.474238</v>
      </c>
      <c r="AN15" s="100">
        <v>0.496802</v>
      </c>
      <c r="AO15" s="98">
        <v>1320.3445777312616</v>
      </c>
      <c r="AP15" s="158">
        <v>0.8723329163</v>
      </c>
      <c r="AQ15" s="100">
        <v>0.08536585365853659</v>
      </c>
      <c r="AR15" s="100">
        <v>0.3783783783783784</v>
      </c>
      <c r="AS15" s="98">
        <v>209.32292085983414</v>
      </c>
      <c r="AT15" s="98">
        <v>177.11939457370582</v>
      </c>
      <c r="AU15" s="98" t="s">
        <v>594</v>
      </c>
      <c r="AV15" s="98">
        <v>233.4755655744304</v>
      </c>
      <c r="AW15" s="98">
        <v>1102.9707752998954</v>
      </c>
      <c r="AX15" s="98">
        <v>233.4755655744304</v>
      </c>
      <c r="AY15" s="98">
        <v>1078.818130585299</v>
      </c>
      <c r="AZ15" s="98">
        <v>434.7476048627325</v>
      </c>
      <c r="BA15" s="100" t="s">
        <v>594</v>
      </c>
      <c r="BB15" s="100" t="s">
        <v>594</v>
      </c>
      <c r="BC15" s="100" t="s">
        <v>594</v>
      </c>
      <c r="BD15" s="158">
        <v>0.7439316559</v>
      </c>
      <c r="BE15" s="158">
        <v>1.016531448</v>
      </c>
      <c r="BF15" s="162">
        <v>1015</v>
      </c>
      <c r="BG15" s="162">
        <v>33</v>
      </c>
      <c r="BH15" s="162">
        <v>3363</v>
      </c>
      <c r="BI15" s="162">
        <v>951</v>
      </c>
      <c r="BJ15" s="162">
        <v>469</v>
      </c>
      <c r="BK15" s="97"/>
      <c r="BL15" s="97"/>
      <c r="BM15" s="97"/>
      <c r="BN15" s="97"/>
    </row>
    <row r="16" spans="1:66" ht="12.75">
      <c r="A16" s="79" t="s">
        <v>546</v>
      </c>
      <c r="B16" s="79" t="s">
        <v>300</v>
      </c>
      <c r="C16" s="79" t="s">
        <v>128</v>
      </c>
      <c r="D16" s="99">
        <v>10638</v>
      </c>
      <c r="E16" s="99">
        <v>1039</v>
      </c>
      <c r="F16" s="99" t="s">
        <v>363</v>
      </c>
      <c r="G16" s="99">
        <v>31</v>
      </c>
      <c r="H16" s="99">
        <v>17</v>
      </c>
      <c r="I16" s="99">
        <v>118</v>
      </c>
      <c r="J16" s="99">
        <v>607</v>
      </c>
      <c r="K16" s="99">
        <v>13</v>
      </c>
      <c r="L16" s="99">
        <v>1821</v>
      </c>
      <c r="M16" s="99">
        <v>291</v>
      </c>
      <c r="N16" s="99">
        <v>144</v>
      </c>
      <c r="O16" s="99">
        <v>140</v>
      </c>
      <c r="P16" s="159">
        <v>140</v>
      </c>
      <c r="Q16" s="99">
        <v>6</v>
      </c>
      <c r="R16" s="99">
        <v>20</v>
      </c>
      <c r="S16" s="99">
        <v>27</v>
      </c>
      <c r="T16" s="99">
        <v>13</v>
      </c>
      <c r="U16" s="99" t="s">
        <v>594</v>
      </c>
      <c r="V16" s="99">
        <v>15</v>
      </c>
      <c r="W16" s="99">
        <v>85</v>
      </c>
      <c r="X16" s="99">
        <v>27</v>
      </c>
      <c r="Y16" s="99">
        <v>146</v>
      </c>
      <c r="Z16" s="99">
        <v>41</v>
      </c>
      <c r="AA16" s="99" t="s">
        <v>594</v>
      </c>
      <c r="AB16" s="99" t="s">
        <v>594</v>
      </c>
      <c r="AC16" s="99" t="s">
        <v>594</v>
      </c>
      <c r="AD16" s="98" t="s">
        <v>343</v>
      </c>
      <c r="AE16" s="100">
        <v>0.09766873472457228</v>
      </c>
      <c r="AF16" s="100">
        <v>0.23</v>
      </c>
      <c r="AG16" s="98">
        <v>291.408159428464</v>
      </c>
      <c r="AH16" s="98">
        <v>159.8044745252867</v>
      </c>
      <c r="AI16" s="100">
        <v>0.011000000000000001</v>
      </c>
      <c r="AJ16" s="100">
        <v>0.614372</v>
      </c>
      <c r="AK16" s="100">
        <v>0.448276</v>
      </c>
      <c r="AL16" s="100">
        <v>0.652454</v>
      </c>
      <c r="AM16" s="100">
        <v>0.405292</v>
      </c>
      <c r="AN16" s="100">
        <v>0.413793</v>
      </c>
      <c r="AO16" s="98">
        <v>1316.0368490317728</v>
      </c>
      <c r="AP16" s="158">
        <v>0.9032358551</v>
      </c>
      <c r="AQ16" s="100">
        <v>0.04285714285714286</v>
      </c>
      <c r="AR16" s="100">
        <v>0.3</v>
      </c>
      <c r="AS16" s="98">
        <v>253.80710659898477</v>
      </c>
      <c r="AT16" s="98">
        <v>122.20342169580748</v>
      </c>
      <c r="AU16" s="98" t="s">
        <v>594</v>
      </c>
      <c r="AV16" s="98">
        <v>141.0039481105471</v>
      </c>
      <c r="AW16" s="98">
        <v>799.0223726264336</v>
      </c>
      <c r="AX16" s="98">
        <v>253.80710659898477</v>
      </c>
      <c r="AY16" s="98">
        <v>1372.4384282759918</v>
      </c>
      <c r="AZ16" s="98">
        <v>385.41079150216206</v>
      </c>
      <c r="BA16" s="100" t="s">
        <v>594</v>
      </c>
      <c r="BB16" s="100" t="s">
        <v>594</v>
      </c>
      <c r="BC16" s="100" t="s">
        <v>594</v>
      </c>
      <c r="BD16" s="158">
        <v>0.759818573</v>
      </c>
      <c r="BE16" s="158">
        <v>1.0658537289999999</v>
      </c>
      <c r="BF16" s="162">
        <v>988</v>
      </c>
      <c r="BG16" s="162">
        <v>29</v>
      </c>
      <c r="BH16" s="162">
        <v>2791</v>
      </c>
      <c r="BI16" s="162">
        <v>718</v>
      </c>
      <c r="BJ16" s="162">
        <v>348</v>
      </c>
      <c r="BK16" s="97"/>
      <c r="BL16" s="97"/>
      <c r="BM16" s="97"/>
      <c r="BN16" s="97"/>
    </row>
    <row r="17" spans="1:66" ht="12.75">
      <c r="A17" s="79" t="s">
        <v>580</v>
      </c>
      <c r="B17" s="79" t="s">
        <v>335</v>
      </c>
      <c r="C17" s="79" t="s">
        <v>128</v>
      </c>
      <c r="D17" s="99">
        <v>6347</v>
      </c>
      <c r="E17" s="99">
        <v>555</v>
      </c>
      <c r="F17" s="99" t="s">
        <v>363</v>
      </c>
      <c r="G17" s="99">
        <v>14</v>
      </c>
      <c r="H17" s="99" t="s">
        <v>594</v>
      </c>
      <c r="I17" s="99">
        <v>68</v>
      </c>
      <c r="J17" s="99">
        <v>380</v>
      </c>
      <c r="K17" s="99">
        <v>329</v>
      </c>
      <c r="L17" s="99">
        <v>1247</v>
      </c>
      <c r="M17" s="99">
        <v>179</v>
      </c>
      <c r="N17" s="99">
        <v>88</v>
      </c>
      <c r="O17" s="99">
        <v>73</v>
      </c>
      <c r="P17" s="159">
        <v>73</v>
      </c>
      <c r="Q17" s="99">
        <v>7</v>
      </c>
      <c r="R17" s="99">
        <v>18</v>
      </c>
      <c r="S17" s="99">
        <v>9</v>
      </c>
      <c r="T17" s="99">
        <v>14</v>
      </c>
      <c r="U17" s="99" t="s">
        <v>594</v>
      </c>
      <c r="V17" s="99">
        <v>15</v>
      </c>
      <c r="W17" s="99">
        <v>40</v>
      </c>
      <c r="X17" s="99">
        <v>17</v>
      </c>
      <c r="Y17" s="99">
        <v>59</v>
      </c>
      <c r="Z17" s="99">
        <v>25</v>
      </c>
      <c r="AA17" s="99" t="s">
        <v>594</v>
      </c>
      <c r="AB17" s="99" t="s">
        <v>594</v>
      </c>
      <c r="AC17" s="99" t="s">
        <v>594</v>
      </c>
      <c r="AD17" s="98" t="s">
        <v>343</v>
      </c>
      <c r="AE17" s="100">
        <v>0.08744288640302506</v>
      </c>
      <c r="AF17" s="100">
        <v>0.18</v>
      </c>
      <c r="AG17" s="98">
        <v>220.57665038600913</v>
      </c>
      <c r="AH17" s="98" t="s">
        <v>594</v>
      </c>
      <c r="AI17" s="100">
        <v>0.011000000000000001</v>
      </c>
      <c r="AJ17" s="100">
        <v>0.685921</v>
      </c>
      <c r="AK17" s="100">
        <v>0.660643</v>
      </c>
      <c r="AL17" s="100">
        <v>0.714613</v>
      </c>
      <c r="AM17" s="100">
        <v>0.463731</v>
      </c>
      <c r="AN17" s="100">
        <v>0.480874</v>
      </c>
      <c r="AO17" s="98">
        <v>1150.149677012762</v>
      </c>
      <c r="AP17" s="158">
        <v>0.8085610199</v>
      </c>
      <c r="AQ17" s="100">
        <v>0.0958904109589041</v>
      </c>
      <c r="AR17" s="100">
        <v>0.3888888888888889</v>
      </c>
      <c r="AS17" s="98">
        <v>141.79927524814875</v>
      </c>
      <c r="AT17" s="98">
        <v>220.57665038600913</v>
      </c>
      <c r="AU17" s="98" t="s">
        <v>594</v>
      </c>
      <c r="AV17" s="98">
        <v>236.33212541358122</v>
      </c>
      <c r="AW17" s="98">
        <v>630.2190011028832</v>
      </c>
      <c r="AX17" s="98">
        <v>267.8430754687254</v>
      </c>
      <c r="AY17" s="98">
        <v>929.5730266267528</v>
      </c>
      <c r="AZ17" s="98">
        <v>393.88687568930203</v>
      </c>
      <c r="BA17" s="100" t="s">
        <v>594</v>
      </c>
      <c r="BB17" s="100" t="s">
        <v>594</v>
      </c>
      <c r="BC17" s="100" t="s">
        <v>594</v>
      </c>
      <c r="BD17" s="158">
        <v>0.6337827301</v>
      </c>
      <c r="BE17" s="158">
        <v>1.016644058</v>
      </c>
      <c r="BF17" s="162">
        <v>554</v>
      </c>
      <c r="BG17" s="162">
        <v>498</v>
      </c>
      <c r="BH17" s="162">
        <v>1745</v>
      </c>
      <c r="BI17" s="162">
        <v>386</v>
      </c>
      <c r="BJ17" s="162">
        <v>183</v>
      </c>
      <c r="BK17" s="97"/>
      <c r="BL17" s="97"/>
      <c r="BM17" s="97"/>
      <c r="BN17" s="97"/>
    </row>
    <row r="18" spans="1:66" ht="12.75">
      <c r="A18" s="79" t="s">
        <v>567</v>
      </c>
      <c r="B18" s="79" t="s">
        <v>321</v>
      </c>
      <c r="C18" s="79" t="s">
        <v>128</v>
      </c>
      <c r="D18" s="99">
        <v>4293</v>
      </c>
      <c r="E18" s="99">
        <v>488</v>
      </c>
      <c r="F18" s="99" t="s">
        <v>364</v>
      </c>
      <c r="G18" s="99">
        <v>14</v>
      </c>
      <c r="H18" s="99">
        <v>6</v>
      </c>
      <c r="I18" s="99">
        <v>37</v>
      </c>
      <c r="J18" s="99">
        <v>205</v>
      </c>
      <c r="K18" s="99" t="s">
        <v>594</v>
      </c>
      <c r="L18" s="99">
        <v>702</v>
      </c>
      <c r="M18" s="99">
        <v>104</v>
      </c>
      <c r="N18" s="99">
        <v>54</v>
      </c>
      <c r="O18" s="99">
        <v>43</v>
      </c>
      <c r="P18" s="159">
        <v>43</v>
      </c>
      <c r="Q18" s="99" t="s">
        <v>594</v>
      </c>
      <c r="R18" s="99">
        <v>9</v>
      </c>
      <c r="S18" s="99">
        <v>12</v>
      </c>
      <c r="T18" s="99">
        <v>7</v>
      </c>
      <c r="U18" s="99" t="s">
        <v>594</v>
      </c>
      <c r="V18" s="99">
        <v>7</v>
      </c>
      <c r="W18" s="99">
        <v>42</v>
      </c>
      <c r="X18" s="99">
        <v>9</v>
      </c>
      <c r="Y18" s="99">
        <v>48</v>
      </c>
      <c r="Z18" s="99">
        <v>13</v>
      </c>
      <c r="AA18" s="99" t="s">
        <v>594</v>
      </c>
      <c r="AB18" s="99" t="s">
        <v>594</v>
      </c>
      <c r="AC18" s="99" t="s">
        <v>594</v>
      </c>
      <c r="AD18" s="98" t="s">
        <v>343</v>
      </c>
      <c r="AE18" s="100">
        <v>0.11367342184952248</v>
      </c>
      <c r="AF18" s="100">
        <v>0.32</v>
      </c>
      <c r="AG18" s="98">
        <v>326.1122757978104</v>
      </c>
      <c r="AH18" s="98">
        <v>139.7624039133473</v>
      </c>
      <c r="AI18" s="100">
        <v>0.009000000000000001</v>
      </c>
      <c r="AJ18" s="100">
        <v>0.572626</v>
      </c>
      <c r="AK18" s="100" t="s">
        <v>594</v>
      </c>
      <c r="AL18" s="100">
        <v>0.686888</v>
      </c>
      <c r="AM18" s="100">
        <v>0.375451</v>
      </c>
      <c r="AN18" s="100">
        <v>0.375</v>
      </c>
      <c r="AO18" s="98">
        <v>1001.630561378989</v>
      </c>
      <c r="AP18" s="158">
        <v>0.6874577332</v>
      </c>
      <c r="AQ18" s="100" t="s">
        <v>594</v>
      </c>
      <c r="AR18" s="100" t="s">
        <v>594</v>
      </c>
      <c r="AS18" s="98">
        <v>279.5248078266946</v>
      </c>
      <c r="AT18" s="98">
        <v>163.0561378989052</v>
      </c>
      <c r="AU18" s="98" t="s">
        <v>594</v>
      </c>
      <c r="AV18" s="98">
        <v>163.0561378989052</v>
      </c>
      <c r="AW18" s="98">
        <v>978.3368273934311</v>
      </c>
      <c r="AX18" s="98">
        <v>209.64360587002096</v>
      </c>
      <c r="AY18" s="98">
        <v>1118.0992313067784</v>
      </c>
      <c r="AZ18" s="98">
        <v>302.8185418122525</v>
      </c>
      <c r="BA18" s="100" t="s">
        <v>594</v>
      </c>
      <c r="BB18" s="100" t="s">
        <v>594</v>
      </c>
      <c r="BC18" s="100" t="s">
        <v>594</v>
      </c>
      <c r="BD18" s="158">
        <v>0.4975165939</v>
      </c>
      <c r="BE18" s="158">
        <v>0.9260011292</v>
      </c>
      <c r="BF18" s="162">
        <v>358</v>
      </c>
      <c r="BG18" s="162" t="s">
        <v>594</v>
      </c>
      <c r="BH18" s="162">
        <v>1022</v>
      </c>
      <c r="BI18" s="162">
        <v>277</v>
      </c>
      <c r="BJ18" s="162">
        <v>144</v>
      </c>
      <c r="BK18" s="97"/>
      <c r="BL18" s="97"/>
      <c r="BM18" s="97"/>
      <c r="BN18" s="97"/>
    </row>
    <row r="19" spans="1:66" ht="12.75">
      <c r="A19" s="79" t="s">
        <v>545</v>
      </c>
      <c r="B19" s="79" t="s">
        <v>299</v>
      </c>
      <c r="C19" s="79" t="s">
        <v>128</v>
      </c>
      <c r="D19" s="99">
        <v>8465</v>
      </c>
      <c r="E19" s="99">
        <v>1058</v>
      </c>
      <c r="F19" s="99" t="s">
        <v>366</v>
      </c>
      <c r="G19" s="99">
        <v>20</v>
      </c>
      <c r="H19" s="99">
        <v>22</v>
      </c>
      <c r="I19" s="99">
        <v>108</v>
      </c>
      <c r="J19" s="99">
        <v>454</v>
      </c>
      <c r="K19" s="99">
        <v>394</v>
      </c>
      <c r="L19" s="99">
        <v>1602</v>
      </c>
      <c r="M19" s="99">
        <v>278</v>
      </c>
      <c r="N19" s="99">
        <v>135</v>
      </c>
      <c r="O19" s="99">
        <v>65</v>
      </c>
      <c r="P19" s="159">
        <v>65</v>
      </c>
      <c r="Q19" s="99">
        <v>9</v>
      </c>
      <c r="R19" s="99">
        <v>27</v>
      </c>
      <c r="S19" s="99">
        <v>15</v>
      </c>
      <c r="T19" s="99">
        <v>9</v>
      </c>
      <c r="U19" s="99" t="s">
        <v>594</v>
      </c>
      <c r="V19" s="99">
        <v>13</v>
      </c>
      <c r="W19" s="99">
        <v>75</v>
      </c>
      <c r="X19" s="99">
        <v>25</v>
      </c>
      <c r="Y19" s="99">
        <v>101</v>
      </c>
      <c r="Z19" s="99">
        <v>32</v>
      </c>
      <c r="AA19" s="99" t="s">
        <v>594</v>
      </c>
      <c r="AB19" s="99" t="s">
        <v>594</v>
      </c>
      <c r="AC19" s="99" t="s">
        <v>594</v>
      </c>
      <c r="AD19" s="98" t="s">
        <v>343</v>
      </c>
      <c r="AE19" s="100">
        <v>0.12498523331364442</v>
      </c>
      <c r="AF19" s="100">
        <v>0.16</v>
      </c>
      <c r="AG19" s="98">
        <v>236.26698168930892</v>
      </c>
      <c r="AH19" s="98">
        <v>259.8936798582398</v>
      </c>
      <c r="AI19" s="100">
        <v>0.013000000000000001</v>
      </c>
      <c r="AJ19" s="100">
        <v>0.646724</v>
      </c>
      <c r="AK19" s="100">
        <v>0.774067</v>
      </c>
      <c r="AL19" s="100">
        <v>0.742354</v>
      </c>
      <c r="AM19" s="100">
        <v>0.445513</v>
      </c>
      <c r="AN19" s="100">
        <v>0.451505</v>
      </c>
      <c r="AO19" s="98">
        <v>767.867690490254</v>
      </c>
      <c r="AP19" s="158">
        <v>0.478564415</v>
      </c>
      <c r="AQ19" s="100">
        <v>0.13846153846153847</v>
      </c>
      <c r="AR19" s="100">
        <v>0.3333333333333333</v>
      </c>
      <c r="AS19" s="98">
        <v>177.20023626698168</v>
      </c>
      <c r="AT19" s="98">
        <v>106.32014176018902</v>
      </c>
      <c r="AU19" s="98" t="s">
        <v>594</v>
      </c>
      <c r="AV19" s="98">
        <v>153.5735380980508</v>
      </c>
      <c r="AW19" s="98">
        <v>886.0011813349084</v>
      </c>
      <c r="AX19" s="98">
        <v>295.33372711163616</v>
      </c>
      <c r="AY19" s="98">
        <v>1193.1482575310101</v>
      </c>
      <c r="AZ19" s="98">
        <v>378.0271707028943</v>
      </c>
      <c r="BA19" s="100" t="s">
        <v>594</v>
      </c>
      <c r="BB19" s="100" t="s">
        <v>594</v>
      </c>
      <c r="BC19" s="100" t="s">
        <v>594</v>
      </c>
      <c r="BD19" s="158">
        <v>0.3693458939</v>
      </c>
      <c r="BE19" s="158">
        <v>0.609969635</v>
      </c>
      <c r="BF19" s="162">
        <v>702</v>
      </c>
      <c r="BG19" s="162">
        <v>509</v>
      </c>
      <c r="BH19" s="162">
        <v>2158</v>
      </c>
      <c r="BI19" s="162">
        <v>624</v>
      </c>
      <c r="BJ19" s="162">
        <v>299</v>
      </c>
      <c r="BK19" s="97"/>
      <c r="BL19" s="97"/>
      <c r="BM19" s="97"/>
      <c r="BN19" s="97"/>
    </row>
    <row r="20" spans="1:66" ht="12.75">
      <c r="A20" s="79" t="s">
        <v>584</v>
      </c>
      <c r="B20" s="79" t="s">
        <v>339</v>
      </c>
      <c r="C20" s="79" t="s">
        <v>128</v>
      </c>
      <c r="D20" s="99">
        <v>7210</v>
      </c>
      <c r="E20" s="99">
        <v>482</v>
      </c>
      <c r="F20" s="99" t="s">
        <v>364</v>
      </c>
      <c r="G20" s="99">
        <v>8</v>
      </c>
      <c r="H20" s="99">
        <v>8</v>
      </c>
      <c r="I20" s="99">
        <v>61</v>
      </c>
      <c r="J20" s="99">
        <v>239</v>
      </c>
      <c r="K20" s="99">
        <v>50</v>
      </c>
      <c r="L20" s="99">
        <v>1256</v>
      </c>
      <c r="M20" s="99">
        <v>123</v>
      </c>
      <c r="N20" s="99">
        <v>68</v>
      </c>
      <c r="O20" s="99">
        <v>114</v>
      </c>
      <c r="P20" s="159">
        <v>114</v>
      </c>
      <c r="Q20" s="99">
        <v>6</v>
      </c>
      <c r="R20" s="99">
        <v>17</v>
      </c>
      <c r="S20" s="99">
        <v>17</v>
      </c>
      <c r="T20" s="99">
        <v>12</v>
      </c>
      <c r="U20" s="99" t="s">
        <v>594</v>
      </c>
      <c r="V20" s="99">
        <v>15</v>
      </c>
      <c r="W20" s="99">
        <v>40</v>
      </c>
      <c r="X20" s="99">
        <v>14</v>
      </c>
      <c r="Y20" s="99">
        <v>44</v>
      </c>
      <c r="Z20" s="99">
        <v>17</v>
      </c>
      <c r="AA20" s="99" t="s">
        <v>594</v>
      </c>
      <c r="AB20" s="99" t="s">
        <v>594</v>
      </c>
      <c r="AC20" s="99" t="s">
        <v>594</v>
      </c>
      <c r="AD20" s="98" t="s">
        <v>343</v>
      </c>
      <c r="AE20" s="100">
        <v>0.06685159500693481</v>
      </c>
      <c r="AF20" s="100">
        <v>0.24</v>
      </c>
      <c r="AG20" s="98">
        <v>110.95700416088765</v>
      </c>
      <c r="AH20" s="98">
        <v>110.95700416088765</v>
      </c>
      <c r="AI20" s="100">
        <v>0.008</v>
      </c>
      <c r="AJ20" s="100">
        <v>0.587224</v>
      </c>
      <c r="AK20" s="100">
        <v>0.520833</v>
      </c>
      <c r="AL20" s="100">
        <v>0.699332</v>
      </c>
      <c r="AM20" s="100">
        <v>0.366071</v>
      </c>
      <c r="AN20" s="100">
        <v>0.447368</v>
      </c>
      <c r="AO20" s="98">
        <v>1581.1373092926492</v>
      </c>
      <c r="AP20" s="158">
        <v>1.3136857599999998</v>
      </c>
      <c r="AQ20" s="100">
        <v>0.05263157894736842</v>
      </c>
      <c r="AR20" s="100">
        <v>0.35294117647058826</v>
      </c>
      <c r="AS20" s="98">
        <v>235.78363384188626</v>
      </c>
      <c r="AT20" s="98">
        <v>166.4355062413315</v>
      </c>
      <c r="AU20" s="98" t="s">
        <v>594</v>
      </c>
      <c r="AV20" s="98">
        <v>208.04438280166437</v>
      </c>
      <c r="AW20" s="98">
        <v>554.7850208044383</v>
      </c>
      <c r="AX20" s="98">
        <v>194.1747572815534</v>
      </c>
      <c r="AY20" s="98">
        <v>610.2635228848821</v>
      </c>
      <c r="AZ20" s="98">
        <v>235.78363384188626</v>
      </c>
      <c r="BA20" s="100" t="s">
        <v>594</v>
      </c>
      <c r="BB20" s="100" t="s">
        <v>594</v>
      </c>
      <c r="BC20" s="100" t="s">
        <v>594</v>
      </c>
      <c r="BD20" s="158">
        <v>1.083628769</v>
      </c>
      <c r="BE20" s="158">
        <v>1.578137817</v>
      </c>
      <c r="BF20" s="162">
        <v>407</v>
      </c>
      <c r="BG20" s="162">
        <v>96</v>
      </c>
      <c r="BH20" s="162">
        <v>1796</v>
      </c>
      <c r="BI20" s="162">
        <v>336</v>
      </c>
      <c r="BJ20" s="162">
        <v>152</v>
      </c>
      <c r="BK20" s="97"/>
      <c r="BL20" s="97"/>
      <c r="BM20" s="97"/>
      <c r="BN20" s="97"/>
    </row>
    <row r="21" spans="1:66" ht="12.75">
      <c r="A21" s="79" t="s">
        <v>554</v>
      </c>
      <c r="B21" s="79" t="s">
        <v>308</v>
      </c>
      <c r="C21" s="79" t="s">
        <v>128</v>
      </c>
      <c r="D21" s="99">
        <v>3876</v>
      </c>
      <c r="E21" s="99">
        <v>915</v>
      </c>
      <c r="F21" s="99" t="s">
        <v>367</v>
      </c>
      <c r="G21" s="99">
        <v>18</v>
      </c>
      <c r="H21" s="99">
        <v>7</v>
      </c>
      <c r="I21" s="99">
        <v>73</v>
      </c>
      <c r="J21" s="99">
        <v>409</v>
      </c>
      <c r="K21" s="99">
        <v>8</v>
      </c>
      <c r="L21" s="99">
        <v>773</v>
      </c>
      <c r="M21" s="99">
        <v>294</v>
      </c>
      <c r="N21" s="99">
        <v>142</v>
      </c>
      <c r="O21" s="99">
        <v>73</v>
      </c>
      <c r="P21" s="159">
        <v>73</v>
      </c>
      <c r="Q21" s="99">
        <v>10</v>
      </c>
      <c r="R21" s="99">
        <v>28</v>
      </c>
      <c r="S21" s="99">
        <v>22</v>
      </c>
      <c r="T21" s="99">
        <v>7</v>
      </c>
      <c r="U21" s="99" t="s">
        <v>594</v>
      </c>
      <c r="V21" s="99">
        <v>10</v>
      </c>
      <c r="W21" s="99">
        <v>44</v>
      </c>
      <c r="X21" s="99">
        <v>11</v>
      </c>
      <c r="Y21" s="99">
        <v>43</v>
      </c>
      <c r="Z21" s="99">
        <v>27</v>
      </c>
      <c r="AA21" s="99" t="s">
        <v>594</v>
      </c>
      <c r="AB21" s="99" t="s">
        <v>594</v>
      </c>
      <c r="AC21" s="99" t="s">
        <v>594</v>
      </c>
      <c r="AD21" s="98" t="s">
        <v>343</v>
      </c>
      <c r="AE21" s="100">
        <v>0.23606811145510836</v>
      </c>
      <c r="AF21" s="100">
        <v>0.07</v>
      </c>
      <c r="AG21" s="98">
        <v>464.39628482972137</v>
      </c>
      <c r="AH21" s="98">
        <v>180.5985552115583</v>
      </c>
      <c r="AI21" s="100">
        <v>0.019</v>
      </c>
      <c r="AJ21" s="100">
        <v>0.703959</v>
      </c>
      <c r="AK21" s="100">
        <v>0.888889</v>
      </c>
      <c r="AL21" s="100">
        <v>0.795267</v>
      </c>
      <c r="AM21" s="100">
        <v>0.573099</v>
      </c>
      <c r="AN21" s="100">
        <v>0.577236</v>
      </c>
      <c r="AO21" s="98">
        <v>1883.3849329205366</v>
      </c>
      <c r="AP21" s="158">
        <v>0.8267955016999999</v>
      </c>
      <c r="AQ21" s="100">
        <v>0.136986301369863</v>
      </c>
      <c r="AR21" s="100">
        <v>0.35714285714285715</v>
      </c>
      <c r="AS21" s="98">
        <v>567.5954592363261</v>
      </c>
      <c r="AT21" s="98">
        <v>180.5985552115583</v>
      </c>
      <c r="AU21" s="98" t="s">
        <v>594</v>
      </c>
      <c r="AV21" s="98">
        <v>257.99793601651186</v>
      </c>
      <c r="AW21" s="98">
        <v>1135.1909184726521</v>
      </c>
      <c r="AX21" s="98">
        <v>283.79772961816303</v>
      </c>
      <c r="AY21" s="98">
        <v>1109.391124871001</v>
      </c>
      <c r="AZ21" s="98">
        <v>696.594427244582</v>
      </c>
      <c r="BA21" s="100" t="s">
        <v>594</v>
      </c>
      <c r="BB21" s="100" t="s">
        <v>594</v>
      </c>
      <c r="BC21" s="100" t="s">
        <v>594</v>
      </c>
      <c r="BD21" s="158">
        <v>0.6480757141</v>
      </c>
      <c r="BE21" s="158">
        <v>1.039571228</v>
      </c>
      <c r="BF21" s="162">
        <v>581</v>
      </c>
      <c r="BG21" s="162">
        <v>9</v>
      </c>
      <c r="BH21" s="162">
        <v>972</v>
      </c>
      <c r="BI21" s="162">
        <v>513</v>
      </c>
      <c r="BJ21" s="162">
        <v>246</v>
      </c>
      <c r="BK21" s="97"/>
      <c r="BL21" s="97"/>
      <c r="BM21" s="97"/>
      <c r="BN21" s="97"/>
    </row>
    <row r="22" spans="1:66" ht="12.75">
      <c r="A22" s="79" t="s">
        <v>569</v>
      </c>
      <c r="B22" s="79" t="s">
        <v>323</v>
      </c>
      <c r="C22" s="79" t="s">
        <v>128</v>
      </c>
      <c r="D22" s="99">
        <v>2547</v>
      </c>
      <c r="E22" s="99">
        <v>232</v>
      </c>
      <c r="F22" s="99" t="s">
        <v>364</v>
      </c>
      <c r="G22" s="99">
        <v>6</v>
      </c>
      <c r="H22" s="99" t="s">
        <v>594</v>
      </c>
      <c r="I22" s="99">
        <v>27</v>
      </c>
      <c r="J22" s="99">
        <v>108</v>
      </c>
      <c r="K22" s="99" t="s">
        <v>594</v>
      </c>
      <c r="L22" s="99">
        <v>464</v>
      </c>
      <c r="M22" s="99">
        <v>42</v>
      </c>
      <c r="N22" s="99">
        <v>27</v>
      </c>
      <c r="O22" s="99">
        <v>29</v>
      </c>
      <c r="P22" s="159">
        <v>29</v>
      </c>
      <c r="Q22" s="99" t="s">
        <v>594</v>
      </c>
      <c r="R22" s="99">
        <v>8</v>
      </c>
      <c r="S22" s="99">
        <v>6</v>
      </c>
      <c r="T22" s="99" t="s">
        <v>594</v>
      </c>
      <c r="U22" s="99" t="s">
        <v>594</v>
      </c>
      <c r="V22" s="99" t="s">
        <v>594</v>
      </c>
      <c r="W22" s="99">
        <v>25</v>
      </c>
      <c r="X22" s="99" t="s">
        <v>594</v>
      </c>
      <c r="Y22" s="99">
        <v>29</v>
      </c>
      <c r="Z22" s="99">
        <v>19</v>
      </c>
      <c r="AA22" s="99" t="s">
        <v>594</v>
      </c>
      <c r="AB22" s="99" t="s">
        <v>594</v>
      </c>
      <c r="AC22" s="99" t="s">
        <v>594</v>
      </c>
      <c r="AD22" s="98" t="s">
        <v>343</v>
      </c>
      <c r="AE22" s="100">
        <v>0.09108755398508049</v>
      </c>
      <c r="AF22" s="100">
        <v>0.33</v>
      </c>
      <c r="AG22" s="98">
        <v>235.57126030624264</v>
      </c>
      <c r="AH22" s="98" t="s">
        <v>594</v>
      </c>
      <c r="AI22" s="100">
        <v>0.011000000000000001</v>
      </c>
      <c r="AJ22" s="100">
        <v>0.511848</v>
      </c>
      <c r="AK22" s="100" t="s">
        <v>594</v>
      </c>
      <c r="AL22" s="100">
        <v>0.789116</v>
      </c>
      <c r="AM22" s="100">
        <v>0.295775</v>
      </c>
      <c r="AN22" s="100">
        <v>0.375</v>
      </c>
      <c r="AO22" s="98">
        <v>1138.594424813506</v>
      </c>
      <c r="AP22" s="158">
        <v>0.824874115</v>
      </c>
      <c r="AQ22" s="100" t="s">
        <v>594</v>
      </c>
      <c r="AR22" s="100" t="s">
        <v>594</v>
      </c>
      <c r="AS22" s="98">
        <v>235.57126030624264</v>
      </c>
      <c r="AT22" s="98" t="s">
        <v>594</v>
      </c>
      <c r="AU22" s="98" t="s">
        <v>594</v>
      </c>
      <c r="AV22" s="98" t="s">
        <v>594</v>
      </c>
      <c r="AW22" s="98">
        <v>981.5469179426776</v>
      </c>
      <c r="AX22" s="98" t="s">
        <v>594</v>
      </c>
      <c r="AY22" s="98">
        <v>1138.594424813506</v>
      </c>
      <c r="AZ22" s="98">
        <v>745.975657636435</v>
      </c>
      <c r="BA22" s="100" t="s">
        <v>594</v>
      </c>
      <c r="BB22" s="100" t="s">
        <v>594</v>
      </c>
      <c r="BC22" s="100" t="s">
        <v>594</v>
      </c>
      <c r="BD22" s="158">
        <v>0.5524311447</v>
      </c>
      <c r="BE22" s="158">
        <v>1.18465683</v>
      </c>
      <c r="BF22" s="162">
        <v>211</v>
      </c>
      <c r="BG22" s="162" t="s">
        <v>594</v>
      </c>
      <c r="BH22" s="162">
        <v>588</v>
      </c>
      <c r="BI22" s="162">
        <v>142</v>
      </c>
      <c r="BJ22" s="162">
        <v>72</v>
      </c>
      <c r="BK22" s="97"/>
      <c r="BL22" s="97"/>
      <c r="BM22" s="97"/>
      <c r="BN22" s="97"/>
    </row>
    <row r="23" spans="1:66" ht="12.75">
      <c r="A23" s="79" t="s">
        <v>529</v>
      </c>
      <c r="B23" s="79" t="s">
        <v>283</v>
      </c>
      <c r="C23" s="79" t="s">
        <v>128</v>
      </c>
      <c r="D23" s="99">
        <v>3359</v>
      </c>
      <c r="E23" s="99">
        <v>319</v>
      </c>
      <c r="F23" s="99" t="s">
        <v>363</v>
      </c>
      <c r="G23" s="99">
        <v>10</v>
      </c>
      <c r="H23" s="99" t="s">
        <v>594</v>
      </c>
      <c r="I23" s="99">
        <v>55</v>
      </c>
      <c r="J23" s="99">
        <v>145</v>
      </c>
      <c r="K23" s="99" t="s">
        <v>594</v>
      </c>
      <c r="L23" s="99">
        <v>554</v>
      </c>
      <c r="M23" s="99">
        <v>94</v>
      </c>
      <c r="N23" s="99">
        <v>50</v>
      </c>
      <c r="O23" s="99">
        <v>27</v>
      </c>
      <c r="P23" s="159">
        <v>27</v>
      </c>
      <c r="Q23" s="99" t="s">
        <v>594</v>
      </c>
      <c r="R23" s="99" t="s">
        <v>594</v>
      </c>
      <c r="S23" s="99" t="s">
        <v>594</v>
      </c>
      <c r="T23" s="99" t="s">
        <v>594</v>
      </c>
      <c r="U23" s="99" t="s">
        <v>594</v>
      </c>
      <c r="V23" s="99">
        <v>8</v>
      </c>
      <c r="W23" s="99">
        <v>18</v>
      </c>
      <c r="X23" s="99" t="s">
        <v>594</v>
      </c>
      <c r="Y23" s="99">
        <v>32</v>
      </c>
      <c r="Z23" s="99">
        <v>10</v>
      </c>
      <c r="AA23" s="99" t="s">
        <v>594</v>
      </c>
      <c r="AB23" s="99" t="s">
        <v>594</v>
      </c>
      <c r="AC23" s="99" t="s">
        <v>594</v>
      </c>
      <c r="AD23" s="98" t="s">
        <v>343</v>
      </c>
      <c r="AE23" s="100">
        <v>0.0949687406966359</v>
      </c>
      <c r="AF23" s="100">
        <v>0.18</v>
      </c>
      <c r="AG23" s="98">
        <v>297.70765108663295</v>
      </c>
      <c r="AH23" s="98" t="s">
        <v>594</v>
      </c>
      <c r="AI23" s="100">
        <v>0.016</v>
      </c>
      <c r="AJ23" s="100">
        <v>0.519713</v>
      </c>
      <c r="AK23" s="100" t="s">
        <v>594</v>
      </c>
      <c r="AL23" s="100">
        <v>0.629545</v>
      </c>
      <c r="AM23" s="100">
        <v>0.38843</v>
      </c>
      <c r="AN23" s="100">
        <v>0.381679</v>
      </c>
      <c r="AO23" s="98">
        <v>803.8106579339089</v>
      </c>
      <c r="AP23" s="158">
        <v>0.5545426559</v>
      </c>
      <c r="AQ23" s="100" t="s">
        <v>594</v>
      </c>
      <c r="AR23" s="100" t="s">
        <v>594</v>
      </c>
      <c r="AS23" s="98" t="s">
        <v>594</v>
      </c>
      <c r="AT23" s="98" t="s">
        <v>594</v>
      </c>
      <c r="AU23" s="98" t="s">
        <v>594</v>
      </c>
      <c r="AV23" s="98">
        <v>238.16612086930635</v>
      </c>
      <c r="AW23" s="98">
        <v>535.8737719559392</v>
      </c>
      <c r="AX23" s="98" t="s">
        <v>594</v>
      </c>
      <c r="AY23" s="98">
        <v>952.6644834772254</v>
      </c>
      <c r="AZ23" s="98">
        <v>297.70765108663295</v>
      </c>
      <c r="BA23" s="100" t="s">
        <v>594</v>
      </c>
      <c r="BB23" s="100" t="s">
        <v>594</v>
      </c>
      <c r="BC23" s="100" t="s">
        <v>594</v>
      </c>
      <c r="BD23" s="158">
        <v>0.3654471207</v>
      </c>
      <c r="BE23" s="158">
        <v>0.8068304443</v>
      </c>
      <c r="BF23" s="162">
        <v>279</v>
      </c>
      <c r="BG23" s="162" t="s">
        <v>594</v>
      </c>
      <c r="BH23" s="162">
        <v>880</v>
      </c>
      <c r="BI23" s="162">
        <v>242</v>
      </c>
      <c r="BJ23" s="162">
        <v>131</v>
      </c>
      <c r="BK23" s="97"/>
      <c r="BL23" s="97"/>
      <c r="BM23" s="97"/>
      <c r="BN23" s="97"/>
    </row>
    <row r="24" spans="1:66" ht="12.75">
      <c r="A24" s="79" t="s">
        <v>542</v>
      </c>
      <c r="B24" s="79" t="s">
        <v>296</v>
      </c>
      <c r="C24" s="79" t="s">
        <v>128</v>
      </c>
      <c r="D24" s="99">
        <v>9349</v>
      </c>
      <c r="E24" s="99">
        <v>1497</v>
      </c>
      <c r="F24" s="99" t="s">
        <v>365</v>
      </c>
      <c r="G24" s="99">
        <v>39</v>
      </c>
      <c r="H24" s="99">
        <v>24</v>
      </c>
      <c r="I24" s="99">
        <v>161</v>
      </c>
      <c r="J24" s="99">
        <v>743</v>
      </c>
      <c r="K24" s="99">
        <v>20</v>
      </c>
      <c r="L24" s="99">
        <v>1843</v>
      </c>
      <c r="M24" s="99">
        <v>527</v>
      </c>
      <c r="N24" s="99">
        <v>267</v>
      </c>
      <c r="O24" s="99">
        <v>180</v>
      </c>
      <c r="P24" s="159">
        <v>180</v>
      </c>
      <c r="Q24" s="99">
        <v>15</v>
      </c>
      <c r="R24" s="99">
        <v>31</v>
      </c>
      <c r="S24" s="99">
        <v>23</v>
      </c>
      <c r="T24" s="99">
        <v>24</v>
      </c>
      <c r="U24" s="99" t="s">
        <v>594</v>
      </c>
      <c r="V24" s="99">
        <v>31</v>
      </c>
      <c r="W24" s="99">
        <v>97</v>
      </c>
      <c r="X24" s="99">
        <v>29</v>
      </c>
      <c r="Y24" s="99">
        <v>135</v>
      </c>
      <c r="Z24" s="99">
        <v>57</v>
      </c>
      <c r="AA24" s="99" t="s">
        <v>594</v>
      </c>
      <c r="AB24" s="99" t="s">
        <v>594</v>
      </c>
      <c r="AC24" s="99" t="s">
        <v>594</v>
      </c>
      <c r="AD24" s="98" t="s">
        <v>343</v>
      </c>
      <c r="AE24" s="100">
        <v>0.16012407744143758</v>
      </c>
      <c r="AF24" s="100">
        <v>0.1</v>
      </c>
      <c r="AG24" s="98">
        <v>417.1569151780939</v>
      </c>
      <c r="AH24" s="98">
        <v>256.71194780190393</v>
      </c>
      <c r="AI24" s="100">
        <v>0.017</v>
      </c>
      <c r="AJ24" s="100">
        <v>0.642734</v>
      </c>
      <c r="AK24" s="100">
        <v>0.465116</v>
      </c>
      <c r="AL24" s="100">
        <v>0.7544</v>
      </c>
      <c r="AM24" s="100">
        <v>0.550104</v>
      </c>
      <c r="AN24" s="100">
        <v>0.572961</v>
      </c>
      <c r="AO24" s="98">
        <v>1925.3396085142797</v>
      </c>
      <c r="AP24" s="158">
        <v>1.047098541</v>
      </c>
      <c r="AQ24" s="100">
        <v>0.08333333333333333</v>
      </c>
      <c r="AR24" s="100">
        <v>0.4838709677419355</v>
      </c>
      <c r="AS24" s="98">
        <v>246.01561664349128</v>
      </c>
      <c r="AT24" s="98">
        <v>256.71194780190393</v>
      </c>
      <c r="AU24" s="98" t="s">
        <v>594</v>
      </c>
      <c r="AV24" s="98">
        <v>331.5862659107926</v>
      </c>
      <c r="AW24" s="98">
        <v>1037.5441223660284</v>
      </c>
      <c r="AX24" s="98">
        <v>310.1936035939673</v>
      </c>
      <c r="AY24" s="98">
        <v>1444.0047063857096</v>
      </c>
      <c r="AZ24" s="98">
        <v>609.6908760295219</v>
      </c>
      <c r="BA24" s="100" t="s">
        <v>594</v>
      </c>
      <c r="BB24" s="100" t="s">
        <v>594</v>
      </c>
      <c r="BC24" s="100" t="s">
        <v>594</v>
      </c>
      <c r="BD24" s="158">
        <v>0.8997129822</v>
      </c>
      <c r="BE24" s="158">
        <v>1.211740952</v>
      </c>
      <c r="BF24" s="162">
        <v>1156</v>
      </c>
      <c r="BG24" s="162">
        <v>43</v>
      </c>
      <c r="BH24" s="162">
        <v>2443</v>
      </c>
      <c r="BI24" s="162">
        <v>958</v>
      </c>
      <c r="BJ24" s="162">
        <v>466</v>
      </c>
      <c r="BK24" s="97"/>
      <c r="BL24" s="97"/>
      <c r="BM24" s="97"/>
      <c r="BN24" s="97"/>
    </row>
    <row r="25" spans="1:66" ht="12.75">
      <c r="A25" s="79" t="s">
        <v>564</v>
      </c>
      <c r="B25" s="79" t="s">
        <v>318</v>
      </c>
      <c r="C25" s="79" t="s">
        <v>128</v>
      </c>
      <c r="D25" s="99">
        <v>6553</v>
      </c>
      <c r="E25" s="99">
        <v>805</v>
      </c>
      <c r="F25" s="99" t="s">
        <v>366</v>
      </c>
      <c r="G25" s="99">
        <v>12</v>
      </c>
      <c r="H25" s="99">
        <v>6</v>
      </c>
      <c r="I25" s="99">
        <v>96</v>
      </c>
      <c r="J25" s="99">
        <v>416</v>
      </c>
      <c r="K25" s="99">
        <v>416</v>
      </c>
      <c r="L25" s="99">
        <v>1185</v>
      </c>
      <c r="M25" s="99">
        <v>198</v>
      </c>
      <c r="N25" s="99">
        <v>108</v>
      </c>
      <c r="O25" s="99">
        <v>52</v>
      </c>
      <c r="P25" s="159">
        <v>52</v>
      </c>
      <c r="Q25" s="99">
        <v>8</v>
      </c>
      <c r="R25" s="99">
        <v>19</v>
      </c>
      <c r="S25" s="99">
        <v>15</v>
      </c>
      <c r="T25" s="99">
        <v>7</v>
      </c>
      <c r="U25" s="99" t="s">
        <v>594</v>
      </c>
      <c r="V25" s="99" t="s">
        <v>594</v>
      </c>
      <c r="W25" s="99">
        <v>34</v>
      </c>
      <c r="X25" s="99">
        <v>18</v>
      </c>
      <c r="Y25" s="99">
        <v>66</v>
      </c>
      <c r="Z25" s="99">
        <v>21</v>
      </c>
      <c r="AA25" s="99" t="s">
        <v>594</v>
      </c>
      <c r="AB25" s="99" t="s">
        <v>594</v>
      </c>
      <c r="AC25" s="99" t="s">
        <v>594</v>
      </c>
      <c r="AD25" s="98" t="s">
        <v>343</v>
      </c>
      <c r="AE25" s="100">
        <v>0.12284449870288418</v>
      </c>
      <c r="AF25" s="100">
        <v>0.17</v>
      </c>
      <c r="AG25" s="98">
        <v>183.1222340912559</v>
      </c>
      <c r="AH25" s="98">
        <v>91.56111704562795</v>
      </c>
      <c r="AI25" s="100">
        <v>0.015</v>
      </c>
      <c r="AJ25" s="100">
        <v>0.585091</v>
      </c>
      <c r="AK25" s="100">
        <v>0.606414</v>
      </c>
      <c r="AL25" s="100">
        <v>0.70243</v>
      </c>
      <c r="AM25" s="100">
        <v>0.375712</v>
      </c>
      <c r="AN25" s="100">
        <v>0.407547</v>
      </c>
      <c r="AO25" s="98">
        <v>793.5296810621089</v>
      </c>
      <c r="AP25" s="158">
        <v>0.4914126968</v>
      </c>
      <c r="AQ25" s="100">
        <v>0.15384615384615385</v>
      </c>
      <c r="AR25" s="100">
        <v>0.42105263157894735</v>
      </c>
      <c r="AS25" s="98">
        <v>228.90279261406988</v>
      </c>
      <c r="AT25" s="98">
        <v>106.82130321989928</v>
      </c>
      <c r="AU25" s="98" t="s">
        <v>594</v>
      </c>
      <c r="AV25" s="98" t="s">
        <v>594</v>
      </c>
      <c r="AW25" s="98">
        <v>518.8463299252251</v>
      </c>
      <c r="AX25" s="98">
        <v>274.68335113688386</v>
      </c>
      <c r="AY25" s="98">
        <v>1007.1722875019075</v>
      </c>
      <c r="AZ25" s="98">
        <v>320.46390965969783</v>
      </c>
      <c r="BA25" s="100" t="s">
        <v>594</v>
      </c>
      <c r="BB25" s="100" t="s">
        <v>594</v>
      </c>
      <c r="BC25" s="100" t="s">
        <v>594</v>
      </c>
      <c r="BD25" s="158">
        <v>0.367010498</v>
      </c>
      <c r="BE25" s="158">
        <v>0.6444223785</v>
      </c>
      <c r="BF25" s="162">
        <v>711</v>
      </c>
      <c r="BG25" s="162">
        <v>686</v>
      </c>
      <c r="BH25" s="162">
        <v>1687</v>
      </c>
      <c r="BI25" s="162">
        <v>527</v>
      </c>
      <c r="BJ25" s="162">
        <v>265</v>
      </c>
      <c r="BK25" s="97"/>
      <c r="BL25" s="97"/>
      <c r="BM25" s="97"/>
      <c r="BN25" s="97"/>
    </row>
    <row r="26" spans="1:66" ht="12.75">
      <c r="A26" s="79" t="s">
        <v>547</v>
      </c>
      <c r="B26" s="79" t="s">
        <v>301</v>
      </c>
      <c r="C26" s="79" t="s">
        <v>128</v>
      </c>
      <c r="D26" s="99">
        <v>6753</v>
      </c>
      <c r="E26" s="99">
        <v>732</v>
      </c>
      <c r="F26" s="99" t="s">
        <v>363</v>
      </c>
      <c r="G26" s="99">
        <v>17</v>
      </c>
      <c r="H26" s="99">
        <v>8</v>
      </c>
      <c r="I26" s="99">
        <v>72</v>
      </c>
      <c r="J26" s="99">
        <v>427</v>
      </c>
      <c r="K26" s="99" t="s">
        <v>594</v>
      </c>
      <c r="L26" s="99">
        <v>1114</v>
      </c>
      <c r="M26" s="99">
        <v>181</v>
      </c>
      <c r="N26" s="99">
        <v>82</v>
      </c>
      <c r="O26" s="99">
        <v>28</v>
      </c>
      <c r="P26" s="159">
        <v>28</v>
      </c>
      <c r="Q26" s="99" t="s">
        <v>594</v>
      </c>
      <c r="R26" s="99">
        <v>9</v>
      </c>
      <c r="S26" s="99">
        <v>7</v>
      </c>
      <c r="T26" s="99" t="s">
        <v>594</v>
      </c>
      <c r="U26" s="99" t="s">
        <v>594</v>
      </c>
      <c r="V26" s="99" t="s">
        <v>594</v>
      </c>
      <c r="W26" s="99">
        <v>61</v>
      </c>
      <c r="X26" s="99">
        <v>18</v>
      </c>
      <c r="Y26" s="99">
        <v>73</v>
      </c>
      <c r="Z26" s="99">
        <v>21</v>
      </c>
      <c r="AA26" s="99" t="s">
        <v>594</v>
      </c>
      <c r="AB26" s="99" t="s">
        <v>594</v>
      </c>
      <c r="AC26" s="99" t="s">
        <v>594</v>
      </c>
      <c r="AD26" s="98" t="s">
        <v>343</v>
      </c>
      <c r="AE26" s="100">
        <v>0.10839626832518881</v>
      </c>
      <c r="AF26" s="100">
        <v>0.21</v>
      </c>
      <c r="AG26" s="98">
        <v>251.73996742188658</v>
      </c>
      <c r="AH26" s="98">
        <v>118.46586702206427</v>
      </c>
      <c r="AI26" s="100">
        <v>0.011000000000000001</v>
      </c>
      <c r="AJ26" s="100">
        <v>0.612626</v>
      </c>
      <c r="AK26" s="100" t="s">
        <v>594</v>
      </c>
      <c r="AL26" s="100">
        <v>0.626547</v>
      </c>
      <c r="AM26" s="100">
        <v>0.375519</v>
      </c>
      <c r="AN26" s="100">
        <v>0.366071</v>
      </c>
      <c r="AO26" s="98">
        <v>414.6305345772249</v>
      </c>
      <c r="AP26" s="158">
        <v>0.2679820061</v>
      </c>
      <c r="AQ26" s="100" t="s">
        <v>594</v>
      </c>
      <c r="AR26" s="100" t="s">
        <v>594</v>
      </c>
      <c r="AS26" s="98">
        <v>103.65763364430623</v>
      </c>
      <c r="AT26" s="98" t="s">
        <v>594</v>
      </c>
      <c r="AU26" s="98" t="s">
        <v>594</v>
      </c>
      <c r="AV26" s="98" t="s">
        <v>594</v>
      </c>
      <c r="AW26" s="98">
        <v>903.30223604324</v>
      </c>
      <c r="AX26" s="98">
        <v>266.5482007996446</v>
      </c>
      <c r="AY26" s="98">
        <v>1081.0010365763364</v>
      </c>
      <c r="AZ26" s="98">
        <v>310.9729009329187</v>
      </c>
      <c r="BA26" s="100" t="s">
        <v>594</v>
      </c>
      <c r="BB26" s="100" t="s">
        <v>594</v>
      </c>
      <c r="BC26" s="100" t="s">
        <v>594</v>
      </c>
      <c r="BD26" s="158">
        <v>0.17807209010000002</v>
      </c>
      <c r="BE26" s="158">
        <v>0.38730861660000004</v>
      </c>
      <c r="BF26" s="162">
        <v>697</v>
      </c>
      <c r="BG26" s="162" t="s">
        <v>594</v>
      </c>
      <c r="BH26" s="162">
        <v>1778</v>
      </c>
      <c r="BI26" s="162">
        <v>482</v>
      </c>
      <c r="BJ26" s="162">
        <v>224</v>
      </c>
      <c r="BK26" s="97"/>
      <c r="BL26" s="97"/>
      <c r="BM26" s="97"/>
      <c r="BN26" s="97"/>
    </row>
    <row r="27" spans="1:66" ht="12.75">
      <c r="A27" s="79" t="s">
        <v>574</v>
      </c>
      <c r="B27" s="79" t="s">
        <v>329</v>
      </c>
      <c r="C27" s="79" t="s">
        <v>128</v>
      </c>
      <c r="D27" s="99">
        <v>3292</v>
      </c>
      <c r="E27" s="99">
        <v>410</v>
      </c>
      <c r="F27" s="99" t="s">
        <v>363</v>
      </c>
      <c r="G27" s="99">
        <v>10</v>
      </c>
      <c r="H27" s="99" t="s">
        <v>594</v>
      </c>
      <c r="I27" s="99">
        <v>37</v>
      </c>
      <c r="J27" s="99">
        <v>243</v>
      </c>
      <c r="K27" s="99" t="s">
        <v>594</v>
      </c>
      <c r="L27" s="99">
        <v>611</v>
      </c>
      <c r="M27" s="99">
        <v>89</v>
      </c>
      <c r="N27" s="99">
        <v>54</v>
      </c>
      <c r="O27" s="99">
        <v>36</v>
      </c>
      <c r="P27" s="159">
        <v>36</v>
      </c>
      <c r="Q27" s="99" t="s">
        <v>594</v>
      </c>
      <c r="R27" s="99">
        <v>9</v>
      </c>
      <c r="S27" s="99">
        <v>9</v>
      </c>
      <c r="T27" s="99" t="s">
        <v>594</v>
      </c>
      <c r="U27" s="99" t="s">
        <v>594</v>
      </c>
      <c r="V27" s="99">
        <v>9</v>
      </c>
      <c r="W27" s="99">
        <v>17</v>
      </c>
      <c r="X27" s="99" t="s">
        <v>594</v>
      </c>
      <c r="Y27" s="99">
        <v>25</v>
      </c>
      <c r="Z27" s="99" t="s">
        <v>594</v>
      </c>
      <c r="AA27" s="99" t="s">
        <v>594</v>
      </c>
      <c r="AB27" s="99" t="s">
        <v>594</v>
      </c>
      <c r="AC27" s="99" t="s">
        <v>594</v>
      </c>
      <c r="AD27" s="98" t="s">
        <v>343</v>
      </c>
      <c r="AE27" s="100">
        <v>0.12454434993924667</v>
      </c>
      <c r="AF27" s="100">
        <v>0.2</v>
      </c>
      <c r="AG27" s="98">
        <v>303.7667071688943</v>
      </c>
      <c r="AH27" s="98" t="s">
        <v>594</v>
      </c>
      <c r="AI27" s="100">
        <v>0.011000000000000001</v>
      </c>
      <c r="AJ27" s="100">
        <v>0.669421</v>
      </c>
      <c r="AK27" s="100" t="s">
        <v>594</v>
      </c>
      <c r="AL27" s="100">
        <v>0.733493</v>
      </c>
      <c r="AM27" s="100">
        <v>0.28254</v>
      </c>
      <c r="AN27" s="100">
        <v>0.3375</v>
      </c>
      <c r="AO27" s="98">
        <v>1093.5601458080193</v>
      </c>
      <c r="AP27" s="158">
        <v>0.6749917603</v>
      </c>
      <c r="AQ27" s="100" t="s">
        <v>594</v>
      </c>
      <c r="AR27" s="100" t="s">
        <v>594</v>
      </c>
      <c r="AS27" s="98">
        <v>273.39003645200484</v>
      </c>
      <c r="AT27" s="98" t="s">
        <v>594</v>
      </c>
      <c r="AU27" s="98" t="s">
        <v>594</v>
      </c>
      <c r="AV27" s="98">
        <v>273.39003645200484</v>
      </c>
      <c r="AW27" s="98">
        <v>516.4034021871203</v>
      </c>
      <c r="AX27" s="98" t="s">
        <v>594</v>
      </c>
      <c r="AY27" s="98">
        <v>759.4167679222357</v>
      </c>
      <c r="AZ27" s="98" t="s">
        <v>594</v>
      </c>
      <c r="BA27" s="100" t="s">
        <v>594</v>
      </c>
      <c r="BB27" s="100" t="s">
        <v>594</v>
      </c>
      <c r="BC27" s="100" t="s">
        <v>594</v>
      </c>
      <c r="BD27" s="158">
        <v>0.472755928</v>
      </c>
      <c r="BE27" s="158">
        <v>0.934473114</v>
      </c>
      <c r="BF27" s="162">
        <v>363</v>
      </c>
      <c r="BG27" s="162" t="s">
        <v>594</v>
      </c>
      <c r="BH27" s="162">
        <v>833</v>
      </c>
      <c r="BI27" s="162">
        <v>315</v>
      </c>
      <c r="BJ27" s="162">
        <v>160</v>
      </c>
      <c r="BK27" s="97"/>
      <c r="BL27" s="97"/>
      <c r="BM27" s="97"/>
      <c r="BN27" s="97"/>
    </row>
    <row r="28" spans="1:66" ht="12.75">
      <c r="A28" s="79" t="s">
        <v>562</v>
      </c>
      <c r="B28" s="79" t="s">
        <v>316</v>
      </c>
      <c r="C28" s="79" t="s">
        <v>128</v>
      </c>
      <c r="D28" s="99">
        <v>3345</v>
      </c>
      <c r="E28" s="99">
        <v>689</v>
      </c>
      <c r="F28" s="99" t="s">
        <v>367</v>
      </c>
      <c r="G28" s="99">
        <v>22</v>
      </c>
      <c r="H28" s="99">
        <v>14</v>
      </c>
      <c r="I28" s="99">
        <v>79</v>
      </c>
      <c r="J28" s="99">
        <v>332</v>
      </c>
      <c r="K28" s="99">
        <v>306</v>
      </c>
      <c r="L28" s="99">
        <v>665</v>
      </c>
      <c r="M28" s="99">
        <v>252</v>
      </c>
      <c r="N28" s="99">
        <v>141</v>
      </c>
      <c r="O28" s="99">
        <v>35</v>
      </c>
      <c r="P28" s="159">
        <v>35</v>
      </c>
      <c r="Q28" s="99">
        <v>7</v>
      </c>
      <c r="R28" s="99">
        <v>20</v>
      </c>
      <c r="S28" s="99">
        <v>9</v>
      </c>
      <c r="T28" s="99" t="s">
        <v>594</v>
      </c>
      <c r="U28" s="99" t="s">
        <v>594</v>
      </c>
      <c r="V28" s="99" t="s">
        <v>594</v>
      </c>
      <c r="W28" s="99">
        <v>42</v>
      </c>
      <c r="X28" s="99">
        <v>10</v>
      </c>
      <c r="Y28" s="99">
        <v>36</v>
      </c>
      <c r="Z28" s="99">
        <v>25</v>
      </c>
      <c r="AA28" s="99" t="s">
        <v>594</v>
      </c>
      <c r="AB28" s="99" t="s">
        <v>594</v>
      </c>
      <c r="AC28" s="99" t="s">
        <v>594</v>
      </c>
      <c r="AD28" s="98" t="s">
        <v>343</v>
      </c>
      <c r="AE28" s="100">
        <v>0.20597907324364723</v>
      </c>
      <c r="AF28" s="100">
        <v>0.06</v>
      </c>
      <c r="AG28" s="98">
        <v>657.6980568011958</v>
      </c>
      <c r="AH28" s="98">
        <v>418.5351270553064</v>
      </c>
      <c r="AI28" s="100">
        <v>0.024</v>
      </c>
      <c r="AJ28" s="100">
        <v>0.763218</v>
      </c>
      <c r="AK28" s="100">
        <v>0.75</v>
      </c>
      <c r="AL28" s="100">
        <v>0.801205</v>
      </c>
      <c r="AM28" s="100">
        <v>0.614634</v>
      </c>
      <c r="AN28" s="100">
        <v>0.658879</v>
      </c>
      <c r="AO28" s="98">
        <v>1046.337817638266</v>
      </c>
      <c r="AP28" s="158">
        <v>0.48436111449999997</v>
      </c>
      <c r="AQ28" s="100">
        <v>0.2</v>
      </c>
      <c r="AR28" s="100">
        <v>0.35</v>
      </c>
      <c r="AS28" s="98">
        <v>269.05829596412553</v>
      </c>
      <c r="AT28" s="98" t="s">
        <v>594</v>
      </c>
      <c r="AU28" s="98" t="s">
        <v>594</v>
      </c>
      <c r="AV28" s="98" t="s">
        <v>594</v>
      </c>
      <c r="AW28" s="98">
        <v>1255.6053811659192</v>
      </c>
      <c r="AX28" s="98">
        <v>298.9536621823617</v>
      </c>
      <c r="AY28" s="98">
        <v>1076.2331838565021</v>
      </c>
      <c r="AZ28" s="98">
        <v>747.3841554559043</v>
      </c>
      <c r="BA28" s="100" t="s">
        <v>594</v>
      </c>
      <c r="BB28" s="100" t="s">
        <v>594</v>
      </c>
      <c r="BC28" s="100" t="s">
        <v>594</v>
      </c>
      <c r="BD28" s="158">
        <v>0.33737525939999996</v>
      </c>
      <c r="BE28" s="158">
        <v>0.6736290741000001</v>
      </c>
      <c r="BF28" s="162">
        <v>435</v>
      </c>
      <c r="BG28" s="162">
        <v>408</v>
      </c>
      <c r="BH28" s="162">
        <v>830</v>
      </c>
      <c r="BI28" s="162">
        <v>410</v>
      </c>
      <c r="BJ28" s="162">
        <v>214</v>
      </c>
      <c r="BK28" s="97"/>
      <c r="BL28" s="97"/>
      <c r="BM28" s="97"/>
      <c r="BN28" s="97"/>
    </row>
    <row r="29" spans="1:66" ht="12.75">
      <c r="A29" s="79" t="s">
        <v>549</v>
      </c>
      <c r="B29" s="79" t="s">
        <v>303</v>
      </c>
      <c r="C29" s="79" t="s">
        <v>128</v>
      </c>
      <c r="D29" s="99">
        <v>7397</v>
      </c>
      <c r="E29" s="99">
        <v>759</v>
      </c>
      <c r="F29" s="99" t="s">
        <v>366</v>
      </c>
      <c r="G29" s="99">
        <v>12</v>
      </c>
      <c r="H29" s="99">
        <v>11</v>
      </c>
      <c r="I29" s="99">
        <v>103</v>
      </c>
      <c r="J29" s="99">
        <v>387</v>
      </c>
      <c r="K29" s="99" t="s">
        <v>594</v>
      </c>
      <c r="L29" s="99">
        <v>1371</v>
      </c>
      <c r="M29" s="99">
        <v>243</v>
      </c>
      <c r="N29" s="99">
        <v>133</v>
      </c>
      <c r="O29" s="99">
        <v>36</v>
      </c>
      <c r="P29" s="159">
        <v>36</v>
      </c>
      <c r="Q29" s="99">
        <v>7</v>
      </c>
      <c r="R29" s="99">
        <v>19</v>
      </c>
      <c r="S29" s="99">
        <v>10</v>
      </c>
      <c r="T29" s="99" t="s">
        <v>594</v>
      </c>
      <c r="U29" s="99" t="s">
        <v>594</v>
      </c>
      <c r="V29" s="99" t="s">
        <v>594</v>
      </c>
      <c r="W29" s="99">
        <v>62</v>
      </c>
      <c r="X29" s="99">
        <v>16</v>
      </c>
      <c r="Y29" s="99">
        <v>94</v>
      </c>
      <c r="Z29" s="99">
        <v>32</v>
      </c>
      <c r="AA29" s="99" t="s">
        <v>594</v>
      </c>
      <c r="AB29" s="99" t="s">
        <v>594</v>
      </c>
      <c r="AC29" s="99" t="s">
        <v>594</v>
      </c>
      <c r="AD29" s="98" t="s">
        <v>343</v>
      </c>
      <c r="AE29" s="100">
        <v>0.10260916587805867</v>
      </c>
      <c r="AF29" s="100">
        <v>0.17</v>
      </c>
      <c r="AG29" s="98">
        <v>162.22793024199</v>
      </c>
      <c r="AH29" s="98">
        <v>148.7089360551575</v>
      </c>
      <c r="AI29" s="100">
        <v>0.013999999999999999</v>
      </c>
      <c r="AJ29" s="100">
        <v>0.6192</v>
      </c>
      <c r="AK29" s="100" t="s">
        <v>594</v>
      </c>
      <c r="AL29" s="100">
        <v>0.703077</v>
      </c>
      <c r="AM29" s="100">
        <v>0.457627</v>
      </c>
      <c r="AN29" s="100">
        <v>0.5</v>
      </c>
      <c r="AO29" s="98">
        <v>486.68379072596997</v>
      </c>
      <c r="AP29" s="158">
        <v>0.3290685654</v>
      </c>
      <c r="AQ29" s="100">
        <v>0.19444444444444445</v>
      </c>
      <c r="AR29" s="100">
        <v>0.3684210526315789</v>
      </c>
      <c r="AS29" s="98">
        <v>135.189941868325</v>
      </c>
      <c r="AT29" s="98" t="s">
        <v>594</v>
      </c>
      <c r="AU29" s="98" t="s">
        <v>594</v>
      </c>
      <c r="AV29" s="98" t="s">
        <v>594</v>
      </c>
      <c r="AW29" s="98">
        <v>838.177639583615</v>
      </c>
      <c r="AX29" s="98">
        <v>216.30390698931998</v>
      </c>
      <c r="AY29" s="98">
        <v>1270.785453562255</v>
      </c>
      <c r="AZ29" s="98">
        <v>432.60781397863997</v>
      </c>
      <c r="BA29" s="100" t="s">
        <v>594</v>
      </c>
      <c r="BB29" s="100" t="s">
        <v>594</v>
      </c>
      <c r="BC29" s="100" t="s">
        <v>594</v>
      </c>
      <c r="BD29" s="158">
        <v>0.2304755974</v>
      </c>
      <c r="BE29" s="158">
        <v>0.4555696106</v>
      </c>
      <c r="BF29" s="162">
        <v>625</v>
      </c>
      <c r="BG29" s="162" t="s">
        <v>594</v>
      </c>
      <c r="BH29" s="162">
        <v>1950</v>
      </c>
      <c r="BI29" s="162">
        <v>531</v>
      </c>
      <c r="BJ29" s="162">
        <v>266</v>
      </c>
      <c r="BK29" s="97"/>
      <c r="BL29" s="97"/>
      <c r="BM29" s="97"/>
      <c r="BN29" s="97"/>
    </row>
    <row r="30" spans="1:66" ht="12.75">
      <c r="A30" s="79" t="s">
        <v>535</v>
      </c>
      <c r="B30" s="79" t="s">
        <v>289</v>
      </c>
      <c r="C30" s="79" t="s">
        <v>128</v>
      </c>
      <c r="D30" s="99">
        <v>11104</v>
      </c>
      <c r="E30" s="99">
        <v>1296</v>
      </c>
      <c r="F30" s="99" t="s">
        <v>363</v>
      </c>
      <c r="G30" s="99">
        <v>25</v>
      </c>
      <c r="H30" s="99">
        <v>16</v>
      </c>
      <c r="I30" s="99">
        <v>144</v>
      </c>
      <c r="J30" s="99">
        <v>600</v>
      </c>
      <c r="K30" s="99">
        <v>13</v>
      </c>
      <c r="L30" s="99">
        <v>2122</v>
      </c>
      <c r="M30" s="99">
        <v>317</v>
      </c>
      <c r="N30" s="99">
        <v>158</v>
      </c>
      <c r="O30" s="99">
        <v>157</v>
      </c>
      <c r="P30" s="159">
        <v>157</v>
      </c>
      <c r="Q30" s="99">
        <v>12</v>
      </c>
      <c r="R30" s="99">
        <v>24</v>
      </c>
      <c r="S30" s="99">
        <v>16</v>
      </c>
      <c r="T30" s="99">
        <v>25</v>
      </c>
      <c r="U30" s="99" t="s">
        <v>594</v>
      </c>
      <c r="V30" s="99">
        <v>16</v>
      </c>
      <c r="W30" s="99">
        <v>102</v>
      </c>
      <c r="X30" s="99">
        <v>22</v>
      </c>
      <c r="Y30" s="99">
        <v>149</v>
      </c>
      <c r="Z30" s="99">
        <v>56</v>
      </c>
      <c r="AA30" s="99" t="s">
        <v>594</v>
      </c>
      <c r="AB30" s="99" t="s">
        <v>594</v>
      </c>
      <c r="AC30" s="99" t="s">
        <v>594</v>
      </c>
      <c r="AD30" s="98" t="s">
        <v>343</v>
      </c>
      <c r="AE30" s="100">
        <v>0.11671469740634005</v>
      </c>
      <c r="AF30" s="100">
        <v>0.18</v>
      </c>
      <c r="AG30" s="98">
        <v>225.14409221902017</v>
      </c>
      <c r="AH30" s="98">
        <v>144.0922190201729</v>
      </c>
      <c r="AI30" s="100">
        <v>0.013000000000000001</v>
      </c>
      <c r="AJ30" s="100">
        <v>0.598205</v>
      </c>
      <c r="AK30" s="100">
        <v>0.325</v>
      </c>
      <c r="AL30" s="100">
        <v>0.7443</v>
      </c>
      <c r="AM30" s="100">
        <v>0.420983</v>
      </c>
      <c r="AN30" s="100">
        <v>0.420213</v>
      </c>
      <c r="AO30" s="98">
        <v>1413.9048991354466</v>
      </c>
      <c r="AP30" s="158">
        <v>0.9253088379000001</v>
      </c>
      <c r="AQ30" s="100">
        <v>0.07643312101910828</v>
      </c>
      <c r="AR30" s="100">
        <v>0.5</v>
      </c>
      <c r="AS30" s="98">
        <v>144.0922190201729</v>
      </c>
      <c r="AT30" s="98">
        <v>225.14409221902017</v>
      </c>
      <c r="AU30" s="98" t="s">
        <v>594</v>
      </c>
      <c r="AV30" s="98">
        <v>144.0922190201729</v>
      </c>
      <c r="AW30" s="98">
        <v>918.5878962536023</v>
      </c>
      <c r="AX30" s="98">
        <v>198.12680115273776</v>
      </c>
      <c r="AY30" s="98">
        <v>1341.8587896253603</v>
      </c>
      <c r="AZ30" s="98">
        <v>504.3227665706052</v>
      </c>
      <c r="BA30" s="100" t="s">
        <v>594</v>
      </c>
      <c r="BB30" s="100" t="s">
        <v>594</v>
      </c>
      <c r="BC30" s="100" t="s">
        <v>594</v>
      </c>
      <c r="BD30" s="158">
        <v>0.7862304688</v>
      </c>
      <c r="BE30" s="158">
        <v>1.081900711</v>
      </c>
      <c r="BF30" s="162">
        <v>1003</v>
      </c>
      <c r="BG30" s="162">
        <v>40</v>
      </c>
      <c r="BH30" s="162">
        <v>2851</v>
      </c>
      <c r="BI30" s="162">
        <v>753</v>
      </c>
      <c r="BJ30" s="162">
        <v>376</v>
      </c>
      <c r="BK30" s="97"/>
      <c r="BL30" s="97"/>
      <c r="BM30" s="97"/>
      <c r="BN30" s="97"/>
    </row>
    <row r="31" spans="1:66" ht="12.75">
      <c r="A31" s="79" t="s">
        <v>537</v>
      </c>
      <c r="B31" s="79" t="s">
        <v>291</v>
      </c>
      <c r="C31" s="79" t="s">
        <v>128</v>
      </c>
      <c r="D31" s="99">
        <v>4717</v>
      </c>
      <c r="E31" s="99">
        <v>402</v>
      </c>
      <c r="F31" s="99" t="s">
        <v>363</v>
      </c>
      <c r="G31" s="99">
        <v>16</v>
      </c>
      <c r="H31" s="99" t="s">
        <v>594</v>
      </c>
      <c r="I31" s="99">
        <v>48</v>
      </c>
      <c r="J31" s="99">
        <v>158</v>
      </c>
      <c r="K31" s="99" t="s">
        <v>594</v>
      </c>
      <c r="L31" s="99">
        <v>619</v>
      </c>
      <c r="M31" s="99">
        <v>96</v>
      </c>
      <c r="N31" s="99">
        <v>50</v>
      </c>
      <c r="O31" s="99">
        <v>30</v>
      </c>
      <c r="P31" s="159">
        <v>30</v>
      </c>
      <c r="Q31" s="99" t="s">
        <v>594</v>
      </c>
      <c r="R31" s="99" t="s">
        <v>594</v>
      </c>
      <c r="S31" s="99">
        <v>6</v>
      </c>
      <c r="T31" s="99" t="s">
        <v>594</v>
      </c>
      <c r="U31" s="99" t="s">
        <v>594</v>
      </c>
      <c r="V31" s="99" t="s">
        <v>594</v>
      </c>
      <c r="W31" s="99">
        <v>23</v>
      </c>
      <c r="X31" s="99" t="s">
        <v>594</v>
      </c>
      <c r="Y31" s="99">
        <v>25</v>
      </c>
      <c r="Z31" s="99">
        <v>15</v>
      </c>
      <c r="AA31" s="99" t="s">
        <v>594</v>
      </c>
      <c r="AB31" s="99" t="s">
        <v>594</v>
      </c>
      <c r="AC31" s="99" t="s">
        <v>594</v>
      </c>
      <c r="AD31" s="98" t="s">
        <v>343</v>
      </c>
      <c r="AE31" s="100">
        <v>0.08522365910536357</v>
      </c>
      <c r="AF31" s="100">
        <v>0.23</v>
      </c>
      <c r="AG31" s="98">
        <v>339.1986432054272</v>
      </c>
      <c r="AH31" s="98" t="s">
        <v>594</v>
      </c>
      <c r="AI31" s="100">
        <v>0.01</v>
      </c>
      <c r="AJ31" s="100">
        <v>0.503185</v>
      </c>
      <c r="AK31" s="100" t="s">
        <v>594</v>
      </c>
      <c r="AL31" s="100">
        <v>0.586174</v>
      </c>
      <c r="AM31" s="100">
        <v>0.384</v>
      </c>
      <c r="AN31" s="100">
        <v>0.423729</v>
      </c>
      <c r="AO31" s="98">
        <v>635.9974560101759</v>
      </c>
      <c r="AP31" s="158">
        <v>0.4851213837</v>
      </c>
      <c r="AQ31" s="100" t="s">
        <v>594</v>
      </c>
      <c r="AR31" s="100" t="s">
        <v>594</v>
      </c>
      <c r="AS31" s="98">
        <v>127.19949120203519</v>
      </c>
      <c r="AT31" s="98" t="s">
        <v>594</v>
      </c>
      <c r="AU31" s="98" t="s">
        <v>594</v>
      </c>
      <c r="AV31" s="98" t="s">
        <v>594</v>
      </c>
      <c r="AW31" s="98">
        <v>487.59804960780156</v>
      </c>
      <c r="AX31" s="98" t="s">
        <v>594</v>
      </c>
      <c r="AY31" s="98">
        <v>529.9978800084799</v>
      </c>
      <c r="AZ31" s="98">
        <v>317.99872800508797</v>
      </c>
      <c r="BA31" s="100" t="s">
        <v>594</v>
      </c>
      <c r="BB31" s="100" t="s">
        <v>594</v>
      </c>
      <c r="BC31" s="100" t="s">
        <v>594</v>
      </c>
      <c r="BD31" s="158">
        <v>0.3273093414</v>
      </c>
      <c r="BE31" s="158">
        <v>0.6925409698</v>
      </c>
      <c r="BF31" s="162">
        <v>314</v>
      </c>
      <c r="BG31" s="162" t="s">
        <v>594</v>
      </c>
      <c r="BH31" s="162">
        <v>1056</v>
      </c>
      <c r="BI31" s="162">
        <v>250</v>
      </c>
      <c r="BJ31" s="162">
        <v>118</v>
      </c>
      <c r="BK31" s="97"/>
      <c r="BL31" s="97"/>
      <c r="BM31" s="97"/>
      <c r="BN31" s="97"/>
    </row>
    <row r="32" spans="1:66" ht="12.75">
      <c r="A32" s="79" t="s">
        <v>539</v>
      </c>
      <c r="B32" s="79" t="s">
        <v>293</v>
      </c>
      <c r="C32" s="79" t="s">
        <v>128</v>
      </c>
      <c r="D32" s="99">
        <v>11770</v>
      </c>
      <c r="E32" s="99">
        <v>2149</v>
      </c>
      <c r="F32" s="99" t="s">
        <v>365</v>
      </c>
      <c r="G32" s="99">
        <v>44</v>
      </c>
      <c r="H32" s="99">
        <v>11</v>
      </c>
      <c r="I32" s="99">
        <v>261</v>
      </c>
      <c r="J32" s="99">
        <v>1157</v>
      </c>
      <c r="K32" s="99">
        <v>82</v>
      </c>
      <c r="L32" s="99">
        <v>2529</v>
      </c>
      <c r="M32" s="99">
        <v>827</v>
      </c>
      <c r="N32" s="99">
        <v>435</v>
      </c>
      <c r="O32" s="99">
        <v>267</v>
      </c>
      <c r="P32" s="159">
        <v>267</v>
      </c>
      <c r="Q32" s="99">
        <v>31</v>
      </c>
      <c r="R32" s="99">
        <v>51</v>
      </c>
      <c r="S32" s="99">
        <v>38</v>
      </c>
      <c r="T32" s="99">
        <v>44</v>
      </c>
      <c r="U32" s="99">
        <v>8</v>
      </c>
      <c r="V32" s="99">
        <v>52</v>
      </c>
      <c r="W32" s="99">
        <v>142</v>
      </c>
      <c r="X32" s="99">
        <v>32</v>
      </c>
      <c r="Y32" s="99">
        <v>113</v>
      </c>
      <c r="Z32" s="99">
        <v>78</v>
      </c>
      <c r="AA32" s="99" t="s">
        <v>594</v>
      </c>
      <c r="AB32" s="99" t="s">
        <v>594</v>
      </c>
      <c r="AC32" s="99" t="s">
        <v>594</v>
      </c>
      <c r="AD32" s="98" t="s">
        <v>343</v>
      </c>
      <c r="AE32" s="100">
        <v>0.18258283772302464</v>
      </c>
      <c r="AF32" s="100">
        <v>0.09</v>
      </c>
      <c r="AG32" s="98">
        <v>373.8317757009346</v>
      </c>
      <c r="AH32" s="98">
        <v>93.45794392523365</v>
      </c>
      <c r="AI32" s="100">
        <v>0.022000000000000002</v>
      </c>
      <c r="AJ32" s="100">
        <v>0.734137</v>
      </c>
      <c r="AK32" s="100">
        <v>0.535948</v>
      </c>
      <c r="AL32" s="100">
        <v>0.81686</v>
      </c>
      <c r="AM32" s="100">
        <v>0.576709</v>
      </c>
      <c r="AN32" s="100">
        <v>0.6</v>
      </c>
      <c r="AO32" s="98">
        <v>2268.479184367035</v>
      </c>
      <c r="AP32" s="158">
        <v>1.138421326</v>
      </c>
      <c r="AQ32" s="100">
        <v>0.11610486891385768</v>
      </c>
      <c r="AR32" s="100">
        <v>0.6078431372549019</v>
      </c>
      <c r="AS32" s="98">
        <v>322.85471537807985</v>
      </c>
      <c r="AT32" s="98">
        <v>373.8317757009346</v>
      </c>
      <c r="AU32" s="98">
        <v>67.96941376380629</v>
      </c>
      <c r="AV32" s="98">
        <v>441.80118946474084</v>
      </c>
      <c r="AW32" s="98">
        <v>1206.4570943075616</v>
      </c>
      <c r="AX32" s="98">
        <v>271.87765505522515</v>
      </c>
      <c r="AY32" s="98">
        <v>960.0679694137638</v>
      </c>
      <c r="AZ32" s="98">
        <v>662.7017841971114</v>
      </c>
      <c r="BA32" s="100" t="s">
        <v>594</v>
      </c>
      <c r="BB32" s="100" t="s">
        <v>594</v>
      </c>
      <c r="BC32" s="100" t="s">
        <v>594</v>
      </c>
      <c r="BD32" s="158">
        <v>1.005952301</v>
      </c>
      <c r="BE32" s="158">
        <v>1.283484344</v>
      </c>
      <c r="BF32" s="162">
        <v>1576</v>
      </c>
      <c r="BG32" s="162">
        <v>153</v>
      </c>
      <c r="BH32" s="162">
        <v>3096</v>
      </c>
      <c r="BI32" s="162">
        <v>1434</v>
      </c>
      <c r="BJ32" s="162">
        <v>725</v>
      </c>
      <c r="BK32" s="97"/>
      <c r="BL32" s="97"/>
      <c r="BM32" s="97"/>
      <c r="BN32" s="97"/>
    </row>
    <row r="33" spans="1:66" ht="12.75">
      <c r="A33" s="79" t="s">
        <v>541</v>
      </c>
      <c r="B33" s="79" t="s">
        <v>295</v>
      </c>
      <c r="C33" s="79" t="s">
        <v>128</v>
      </c>
      <c r="D33" s="99">
        <v>12392</v>
      </c>
      <c r="E33" s="99">
        <v>1678</v>
      </c>
      <c r="F33" s="99" t="s">
        <v>365</v>
      </c>
      <c r="G33" s="99">
        <v>58</v>
      </c>
      <c r="H33" s="99">
        <v>17</v>
      </c>
      <c r="I33" s="99">
        <v>220</v>
      </c>
      <c r="J33" s="99">
        <v>1016</v>
      </c>
      <c r="K33" s="99">
        <v>932</v>
      </c>
      <c r="L33" s="99">
        <v>2648</v>
      </c>
      <c r="M33" s="99">
        <v>626</v>
      </c>
      <c r="N33" s="99">
        <v>337</v>
      </c>
      <c r="O33" s="99">
        <v>272</v>
      </c>
      <c r="P33" s="159">
        <v>272</v>
      </c>
      <c r="Q33" s="99">
        <v>19</v>
      </c>
      <c r="R33" s="99">
        <v>35</v>
      </c>
      <c r="S33" s="99">
        <v>33</v>
      </c>
      <c r="T33" s="99">
        <v>36</v>
      </c>
      <c r="U33" s="99" t="s">
        <v>594</v>
      </c>
      <c r="V33" s="99">
        <v>53</v>
      </c>
      <c r="W33" s="99">
        <v>166</v>
      </c>
      <c r="X33" s="99">
        <v>35</v>
      </c>
      <c r="Y33" s="99">
        <v>187</v>
      </c>
      <c r="Z33" s="99">
        <v>52</v>
      </c>
      <c r="AA33" s="99" t="s">
        <v>594</v>
      </c>
      <c r="AB33" s="99" t="s">
        <v>594</v>
      </c>
      <c r="AC33" s="99" t="s">
        <v>594</v>
      </c>
      <c r="AD33" s="98" t="s">
        <v>343</v>
      </c>
      <c r="AE33" s="100">
        <v>0.1354099418979987</v>
      </c>
      <c r="AF33" s="100">
        <v>0.1</v>
      </c>
      <c r="AG33" s="98">
        <v>468.04389928986444</v>
      </c>
      <c r="AH33" s="98">
        <v>137.18528082633958</v>
      </c>
      <c r="AI33" s="100">
        <v>0.018000000000000002</v>
      </c>
      <c r="AJ33" s="100">
        <v>0.752036</v>
      </c>
      <c r="AK33" s="100">
        <v>0.758958</v>
      </c>
      <c r="AL33" s="100">
        <v>0.784128</v>
      </c>
      <c r="AM33" s="100">
        <v>0.548642</v>
      </c>
      <c r="AN33" s="100">
        <v>0.587108</v>
      </c>
      <c r="AO33" s="98">
        <v>2194.9644932214333</v>
      </c>
      <c r="AP33" s="158">
        <v>1.27962883</v>
      </c>
      <c r="AQ33" s="100">
        <v>0.06985294117647059</v>
      </c>
      <c r="AR33" s="100">
        <v>0.5428571428571428</v>
      </c>
      <c r="AS33" s="98">
        <v>266.3008392511298</v>
      </c>
      <c r="AT33" s="98">
        <v>290.5100064557779</v>
      </c>
      <c r="AU33" s="98" t="s">
        <v>594</v>
      </c>
      <c r="AV33" s="98">
        <v>427.6952872821175</v>
      </c>
      <c r="AW33" s="98">
        <v>1339.5739186571982</v>
      </c>
      <c r="AX33" s="98">
        <v>282.4402840542285</v>
      </c>
      <c r="AY33" s="98">
        <v>1509.0380890897354</v>
      </c>
      <c r="AZ33" s="98">
        <v>419.6255648805681</v>
      </c>
      <c r="BA33" s="100" t="s">
        <v>594</v>
      </c>
      <c r="BB33" s="100" t="s">
        <v>594</v>
      </c>
      <c r="BC33" s="100" t="s">
        <v>594</v>
      </c>
      <c r="BD33" s="158">
        <v>1.1320611569999999</v>
      </c>
      <c r="BE33" s="158">
        <v>1.441089935</v>
      </c>
      <c r="BF33" s="162">
        <v>1351</v>
      </c>
      <c r="BG33" s="162">
        <v>1228</v>
      </c>
      <c r="BH33" s="162">
        <v>3377</v>
      </c>
      <c r="BI33" s="162">
        <v>1141</v>
      </c>
      <c r="BJ33" s="162">
        <v>574</v>
      </c>
      <c r="BK33" s="97"/>
      <c r="BL33" s="97"/>
      <c r="BM33" s="97"/>
      <c r="BN33" s="97"/>
    </row>
    <row r="34" spans="1:66" ht="12.75">
      <c r="A34" s="79" t="s">
        <v>552</v>
      </c>
      <c r="B34" s="79" t="s">
        <v>306</v>
      </c>
      <c r="C34" s="79" t="s">
        <v>128</v>
      </c>
      <c r="D34" s="99">
        <v>6769</v>
      </c>
      <c r="E34" s="99">
        <v>831</v>
      </c>
      <c r="F34" s="99" t="s">
        <v>364</v>
      </c>
      <c r="G34" s="99">
        <v>32</v>
      </c>
      <c r="H34" s="99">
        <v>13</v>
      </c>
      <c r="I34" s="99">
        <v>49</v>
      </c>
      <c r="J34" s="99">
        <v>447</v>
      </c>
      <c r="K34" s="99">
        <v>8</v>
      </c>
      <c r="L34" s="99">
        <v>1183</v>
      </c>
      <c r="M34" s="99">
        <v>199</v>
      </c>
      <c r="N34" s="99">
        <v>105</v>
      </c>
      <c r="O34" s="99">
        <v>46</v>
      </c>
      <c r="P34" s="159">
        <v>46</v>
      </c>
      <c r="Q34" s="99">
        <v>10</v>
      </c>
      <c r="R34" s="99">
        <v>30</v>
      </c>
      <c r="S34" s="99">
        <v>17</v>
      </c>
      <c r="T34" s="99" t="s">
        <v>594</v>
      </c>
      <c r="U34" s="99" t="s">
        <v>594</v>
      </c>
      <c r="V34" s="99">
        <v>6</v>
      </c>
      <c r="W34" s="99">
        <v>66</v>
      </c>
      <c r="X34" s="99">
        <v>29</v>
      </c>
      <c r="Y34" s="99">
        <v>89</v>
      </c>
      <c r="Z34" s="99">
        <v>43</v>
      </c>
      <c r="AA34" s="99" t="s">
        <v>594</v>
      </c>
      <c r="AB34" s="99" t="s">
        <v>594</v>
      </c>
      <c r="AC34" s="99" t="s">
        <v>594</v>
      </c>
      <c r="AD34" s="98" t="s">
        <v>343</v>
      </c>
      <c r="AE34" s="100">
        <v>0.12276554882552815</v>
      </c>
      <c r="AF34" s="100">
        <v>0.28</v>
      </c>
      <c r="AG34" s="98">
        <v>472.74338897916977</v>
      </c>
      <c r="AH34" s="98">
        <v>192.05200177278772</v>
      </c>
      <c r="AI34" s="100">
        <v>0.006999999999999999</v>
      </c>
      <c r="AJ34" s="100">
        <v>0.653509</v>
      </c>
      <c r="AK34" s="100">
        <v>0.571429</v>
      </c>
      <c r="AL34" s="100">
        <v>0.720902</v>
      </c>
      <c r="AM34" s="100">
        <v>0.361162</v>
      </c>
      <c r="AN34" s="100">
        <v>0.371025</v>
      </c>
      <c r="AO34" s="98">
        <v>679.5686216575565</v>
      </c>
      <c r="AP34" s="158">
        <v>0.4251251984</v>
      </c>
      <c r="AQ34" s="100">
        <v>0.21739130434782608</v>
      </c>
      <c r="AR34" s="100">
        <v>0.3333333333333333</v>
      </c>
      <c r="AS34" s="98">
        <v>251.14492539518392</v>
      </c>
      <c r="AT34" s="98" t="s">
        <v>594</v>
      </c>
      <c r="AU34" s="98" t="s">
        <v>594</v>
      </c>
      <c r="AV34" s="98">
        <v>88.63938543359433</v>
      </c>
      <c r="AW34" s="98">
        <v>975.0332397695375</v>
      </c>
      <c r="AX34" s="98">
        <v>428.4236962623726</v>
      </c>
      <c r="AY34" s="98">
        <v>1314.8175505983158</v>
      </c>
      <c r="AZ34" s="98">
        <v>635.2489289407594</v>
      </c>
      <c r="BA34" s="100" t="s">
        <v>594</v>
      </c>
      <c r="BB34" s="100" t="s">
        <v>594</v>
      </c>
      <c r="BC34" s="100" t="s">
        <v>594</v>
      </c>
      <c r="BD34" s="158">
        <v>0.31124507900000004</v>
      </c>
      <c r="BE34" s="158">
        <v>0.5670574187999999</v>
      </c>
      <c r="BF34" s="162">
        <v>684</v>
      </c>
      <c r="BG34" s="162">
        <v>14</v>
      </c>
      <c r="BH34" s="162">
        <v>1641</v>
      </c>
      <c r="BI34" s="162">
        <v>551</v>
      </c>
      <c r="BJ34" s="162">
        <v>283</v>
      </c>
      <c r="BK34" s="97"/>
      <c r="BL34" s="97"/>
      <c r="BM34" s="97"/>
      <c r="BN34" s="97"/>
    </row>
    <row r="35" spans="1:66" ht="12.75">
      <c r="A35" s="79" t="s">
        <v>532</v>
      </c>
      <c r="B35" s="79" t="s">
        <v>286</v>
      </c>
      <c r="C35" s="79" t="s">
        <v>128</v>
      </c>
      <c r="D35" s="99">
        <v>4570</v>
      </c>
      <c r="E35" s="99">
        <v>502</v>
      </c>
      <c r="F35" s="99" t="s">
        <v>364</v>
      </c>
      <c r="G35" s="99" t="s">
        <v>594</v>
      </c>
      <c r="H35" s="99">
        <v>7</v>
      </c>
      <c r="I35" s="99">
        <v>58</v>
      </c>
      <c r="J35" s="99">
        <v>232</v>
      </c>
      <c r="K35" s="99" t="s">
        <v>594</v>
      </c>
      <c r="L35" s="99">
        <v>793</v>
      </c>
      <c r="M35" s="99">
        <v>114</v>
      </c>
      <c r="N35" s="99">
        <v>77</v>
      </c>
      <c r="O35" s="99">
        <v>111</v>
      </c>
      <c r="P35" s="159">
        <v>111</v>
      </c>
      <c r="Q35" s="99">
        <v>10</v>
      </c>
      <c r="R35" s="99">
        <v>18</v>
      </c>
      <c r="S35" s="99">
        <v>15</v>
      </c>
      <c r="T35" s="99">
        <v>28</v>
      </c>
      <c r="U35" s="99" t="s">
        <v>594</v>
      </c>
      <c r="V35" s="99">
        <v>11</v>
      </c>
      <c r="W35" s="99">
        <v>63</v>
      </c>
      <c r="X35" s="99">
        <v>10</v>
      </c>
      <c r="Y35" s="99">
        <v>66</v>
      </c>
      <c r="Z35" s="99">
        <v>19</v>
      </c>
      <c r="AA35" s="99" t="s">
        <v>594</v>
      </c>
      <c r="AB35" s="99" t="s">
        <v>594</v>
      </c>
      <c r="AC35" s="99" t="s">
        <v>594</v>
      </c>
      <c r="AD35" s="98" t="s">
        <v>343</v>
      </c>
      <c r="AE35" s="100">
        <v>0.10984682713347921</v>
      </c>
      <c r="AF35" s="100">
        <v>0.3</v>
      </c>
      <c r="AG35" s="98" t="s">
        <v>594</v>
      </c>
      <c r="AH35" s="98">
        <v>153.17286652078775</v>
      </c>
      <c r="AI35" s="100">
        <v>0.013000000000000001</v>
      </c>
      <c r="AJ35" s="100">
        <v>0.594872</v>
      </c>
      <c r="AK35" s="100" t="s">
        <v>594</v>
      </c>
      <c r="AL35" s="100">
        <v>0.765444</v>
      </c>
      <c r="AM35" s="100">
        <v>0.38255</v>
      </c>
      <c r="AN35" s="100">
        <v>0.455621</v>
      </c>
      <c r="AO35" s="98">
        <v>2428.8840262582057</v>
      </c>
      <c r="AP35" s="158">
        <v>1.6473214720000002</v>
      </c>
      <c r="AQ35" s="100">
        <v>0.09009009009009009</v>
      </c>
      <c r="AR35" s="100">
        <v>0.5555555555555556</v>
      </c>
      <c r="AS35" s="98">
        <v>328.2275711159737</v>
      </c>
      <c r="AT35" s="98">
        <v>612.691466083151</v>
      </c>
      <c r="AU35" s="98" t="s">
        <v>594</v>
      </c>
      <c r="AV35" s="98">
        <v>240.70021881838073</v>
      </c>
      <c r="AW35" s="98">
        <v>1378.5557986870897</v>
      </c>
      <c r="AX35" s="98">
        <v>218.8183807439825</v>
      </c>
      <c r="AY35" s="98">
        <v>1444.2013129102845</v>
      </c>
      <c r="AZ35" s="98">
        <v>415.75492341356676</v>
      </c>
      <c r="BA35" s="100" t="s">
        <v>594</v>
      </c>
      <c r="BB35" s="100" t="s">
        <v>594</v>
      </c>
      <c r="BC35" s="100" t="s">
        <v>594</v>
      </c>
      <c r="BD35" s="158">
        <v>1.35515686</v>
      </c>
      <c r="BE35" s="158">
        <v>1.9837998959999998</v>
      </c>
      <c r="BF35" s="162">
        <v>390</v>
      </c>
      <c r="BG35" s="162" t="s">
        <v>594</v>
      </c>
      <c r="BH35" s="162">
        <v>1036</v>
      </c>
      <c r="BI35" s="162">
        <v>298</v>
      </c>
      <c r="BJ35" s="162">
        <v>169</v>
      </c>
      <c r="BK35" s="97"/>
      <c r="BL35" s="97"/>
      <c r="BM35" s="97"/>
      <c r="BN35" s="97"/>
    </row>
    <row r="36" spans="1:66" ht="12.75">
      <c r="A36" s="79" t="s">
        <v>553</v>
      </c>
      <c r="B36" s="79" t="s">
        <v>307</v>
      </c>
      <c r="C36" s="79" t="s">
        <v>128</v>
      </c>
      <c r="D36" s="99">
        <v>3215</v>
      </c>
      <c r="E36" s="99">
        <v>506</v>
      </c>
      <c r="F36" s="99" t="s">
        <v>363</v>
      </c>
      <c r="G36" s="99">
        <v>12</v>
      </c>
      <c r="H36" s="99" t="s">
        <v>594</v>
      </c>
      <c r="I36" s="99">
        <v>55</v>
      </c>
      <c r="J36" s="99">
        <v>224</v>
      </c>
      <c r="K36" s="99" t="s">
        <v>594</v>
      </c>
      <c r="L36" s="99">
        <v>574</v>
      </c>
      <c r="M36" s="99">
        <v>138</v>
      </c>
      <c r="N36" s="99">
        <v>60</v>
      </c>
      <c r="O36" s="99">
        <v>136</v>
      </c>
      <c r="P36" s="159">
        <v>136</v>
      </c>
      <c r="Q36" s="99" t="s">
        <v>594</v>
      </c>
      <c r="R36" s="99">
        <v>9</v>
      </c>
      <c r="S36" s="99">
        <v>17</v>
      </c>
      <c r="T36" s="99">
        <v>64</v>
      </c>
      <c r="U36" s="99" t="s">
        <v>594</v>
      </c>
      <c r="V36" s="99">
        <v>10</v>
      </c>
      <c r="W36" s="99">
        <v>81</v>
      </c>
      <c r="X36" s="99">
        <v>13</v>
      </c>
      <c r="Y36" s="99">
        <v>36</v>
      </c>
      <c r="Z36" s="99">
        <v>20</v>
      </c>
      <c r="AA36" s="99" t="s">
        <v>594</v>
      </c>
      <c r="AB36" s="99" t="s">
        <v>594</v>
      </c>
      <c r="AC36" s="99" t="s">
        <v>594</v>
      </c>
      <c r="AD36" s="98" t="s">
        <v>343</v>
      </c>
      <c r="AE36" s="100">
        <v>0.15738724727838257</v>
      </c>
      <c r="AF36" s="100">
        <v>0.24</v>
      </c>
      <c r="AG36" s="98">
        <v>373.2503888024883</v>
      </c>
      <c r="AH36" s="98" t="s">
        <v>594</v>
      </c>
      <c r="AI36" s="100">
        <v>0.017</v>
      </c>
      <c r="AJ36" s="100">
        <v>0.691358</v>
      </c>
      <c r="AK36" s="100" t="s">
        <v>594</v>
      </c>
      <c r="AL36" s="100">
        <v>0.735897</v>
      </c>
      <c r="AM36" s="100">
        <v>0.449511</v>
      </c>
      <c r="AN36" s="100">
        <v>0.422535</v>
      </c>
      <c r="AO36" s="98">
        <v>4230.171073094868</v>
      </c>
      <c r="AP36" s="158">
        <v>2.453197937</v>
      </c>
      <c r="AQ36" s="100" t="s">
        <v>594</v>
      </c>
      <c r="AR36" s="100" t="s">
        <v>594</v>
      </c>
      <c r="AS36" s="98">
        <v>528.7713841368585</v>
      </c>
      <c r="AT36" s="98">
        <v>1990.6687402799378</v>
      </c>
      <c r="AU36" s="98" t="s">
        <v>594</v>
      </c>
      <c r="AV36" s="98">
        <v>311.04199066874025</v>
      </c>
      <c r="AW36" s="98">
        <v>2519.440124416796</v>
      </c>
      <c r="AX36" s="98">
        <v>404.3545878693624</v>
      </c>
      <c r="AY36" s="98">
        <v>1119.751166407465</v>
      </c>
      <c r="AZ36" s="98">
        <v>622.0839813374805</v>
      </c>
      <c r="BA36" s="100" t="s">
        <v>594</v>
      </c>
      <c r="BB36" s="100" t="s">
        <v>594</v>
      </c>
      <c r="BC36" s="100" t="s">
        <v>594</v>
      </c>
      <c r="BD36" s="158">
        <v>2.058241425</v>
      </c>
      <c r="BE36" s="158">
        <v>2.901858521</v>
      </c>
      <c r="BF36" s="162">
        <v>324</v>
      </c>
      <c r="BG36" s="162" t="s">
        <v>594</v>
      </c>
      <c r="BH36" s="162">
        <v>780</v>
      </c>
      <c r="BI36" s="162">
        <v>307</v>
      </c>
      <c r="BJ36" s="162">
        <v>142</v>
      </c>
      <c r="BK36" s="97"/>
      <c r="BL36" s="97"/>
      <c r="BM36" s="97"/>
      <c r="BN36" s="97"/>
    </row>
    <row r="37" spans="1:66" ht="12.75">
      <c r="A37" s="79" t="s">
        <v>528</v>
      </c>
      <c r="B37" s="79" t="s">
        <v>282</v>
      </c>
      <c r="C37" s="79" t="s">
        <v>128</v>
      </c>
      <c r="D37" s="99">
        <v>12486</v>
      </c>
      <c r="E37" s="99">
        <v>1238</v>
      </c>
      <c r="F37" s="99" t="s">
        <v>363</v>
      </c>
      <c r="G37" s="99">
        <v>28</v>
      </c>
      <c r="H37" s="99">
        <v>18</v>
      </c>
      <c r="I37" s="99">
        <v>157</v>
      </c>
      <c r="J37" s="99">
        <v>815</v>
      </c>
      <c r="K37" s="99">
        <v>732</v>
      </c>
      <c r="L37" s="99">
        <v>2701</v>
      </c>
      <c r="M37" s="99">
        <v>384</v>
      </c>
      <c r="N37" s="99">
        <v>195</v>
      </c>
      <c r="O37" s="99">
        <v>158</v>
      </c>
      <c r="P37" s="159">
        <v>158</v>
      </c>
      <c r="Q37" s="99">
        <v>24</v>
      </c>
      <c r="R37" s="99">
        <v>50</v>
      </c>
      <c r="S37" s="99">
        <v>36</v>
      </c>
      <c r="T37" s="99">
        <v>30</v>
      </c>
      <c r="U37" s="99" t="s">
        <v>594</v>
      </c>
      <c r="V37" s="99">
        <v>18</v>
      </c>
      <c r="W37" s="99">
        <v>132</v>
      </c>
      <c r="X37" s="99">
        <v>23</v>
      </c>
      <c r="Y37" s="99">
        <v>168</v>
      </c>
      <c r="Z37" s="99">
        <v>60</v>
      </c>
      <c r="AA37" s="99" t="s">
        <v>594</v>
      </c>
      <c r="AB37" s="99" t="s">
        <v>594</v>
      </c>
      <c r="AC37" s="99" t="s">
        <v>594</v>
      </c>
      <c r="AD37" s="98" t="s">
        <v>343</v>
      </c>
      <c r="AE37" s="100">
        <v>0.09915104917507608</v>
      </c>
      <c r="AF37" s="100">
        <v>0.21</v>
      </c>
      <c r="AG37" s="98">
        <v>224.25116130065675</v>
      </c>
      <c r="AH37" s="98">
        <v>144.16146083613648</v>
      </c>
      <c r="AI37" s="100">
        <v>0.013000000000000001</v>
      </c>
      <c r="AJ37" s="100">
        <v>0.697774</v>
      </c>
      <c r="AK37" s="100">
        <v>0.666667</v>
      </c>
      <c r="AL37" s="100">
        <v>0.762779</v>
      </c>
      <c r="AM37" s="100">
        <v>0.448075</v>
      </c>
      <c r="AN37" s="100">
        <v>0.463183</v>
      </c>
      <c r="AO37" s="98">
        <v>1265.41726733942</v>
      </c>
      <c r="AP37" s="158">
        <v>0.8080351256999999</v>
      </c>
      <c r="AQ37" s="100">
        <v>0.1518987341772152</v>
      </c>
      <c r="AR37" s="100">
        <v>0.48</v>
      </c>
      <c r="AS37" s="98">
        <v>288.32292167227297</v>
      </c>
      <c r="AT37" s="98">
        <v>240.2691013935608</v>
      </c>
      <c r="AU37" s="98" t="s">
        <v>594</v>
      </c>
      <c r="AV37" s="98">
        <v>144.16146083613648</v>
      </c>
      <c r="AW37" s="98">
        <v>1057.1840461316674</v>
      </c>
      <c r="AX37" s="98">
        <v>184.20631106839662</v>
      </c>
      <c r="AY37" s="98">
        <v>1345.5069678039404</v>
      </c>
      <c r="AZ37" s="98">
        <v>480.5382027871216</v>
      </c>
      <c r="BA37" s="100" t="s">
        <v>594</v>
      </c>
      <c r="BB37" s="100" t="s">
        <v>594</v>
      </c>
      <c r="BC37" s="100" t="s">
        <v>594</v>
      </c>
      <c r="BD37" s="158">
        <v>0.6869526672</v>
      </c>
      <c r="BE37" s="158">
        <v>0.9443133545000001</v>
      </c>
      <c r="BF37" s="162">
        <v>1168</v>
      </c>
      <c r="BG37" s="162">
        <v>1098</v>
      </c>
      <c r="BH37" s="162">
        <v>3541</v>
      </c>
      <c r="BI37" s="162">
        <v>857</v>
      </c>
      <c r="BJ37" s="162">
        <v>421</v>
      </c>
      <c r="BK37" s="97"/>
      <c r="BL37" s="97"/>
      <c r="BM37" s="97"/>
      <c r="BN37" s="97"/>
    </row>
    <row r="38" spans="1:66" ht="12.75">
      <c r="A38" s="79" t="s">
        <v>576</v>
      </c>
      <c r="B38" s="79" t="s">
        <v>331</v>
      </c>
      <c r="C38" s="79" t="s">
        <v>128</v>
      </c>
      <c r="D38" s="99">
        <v>4233</v>
      </c>
      <c r="E38" s="99">
        <v>573</v>
      </c>
      <c r="F38" s="99" t="s">
        <v>365</v>
      </c>
      <c r="G38" s="99">
        <v>9</v>
      </c>
      <c r="H38" s="99">
        <v>8</v>
      </c>
      <c r="I38" s="99">
        <v>52</v>
      </c>
      <c r="J38" s="99">
        <v>291</v>
      </c>
      <c r="K38" s="99">
        <v>290</v>
      </c>
      <c r="L38" s="99">
        <v>830</v>
      </c>
      <c r="M38" s="99">
        <v>197</v>
      </c>
      <c r="N38" s="99">
        <v>113</v>
      </c>
      <c r="O38" s="99">
        <v>68</v>
      </c>
      <c r="P38" s="159">
        <v>68</v>
      </c>
      <c r="Q38" s="99" t="s">
        <v>594</v>
      </c>
      <c r="R38" s="99">
        <v>13</v>
      </c>
      <c r="S38" s="99">
        <v>11</v>
      </c>
      <c r="T38" s="99" t="s">
        <v>594</v>
      </c>
      <c r="U38" s="99" t="s">
        <v>594</v>
      </c>
      <c r="V38" s="99">
        <v>14</v>
      </c>
      <c r="W38" s="99">
        <v>41</v>
      </c>
      <c r="X38" s="99">
        <v>8</v>
      </c>
      <c r="Y38" s="99">
        <v>39</v>
      </c>
      <c r="Z38" s="99">
        <v>12</v>
      </c>
      <c r="AA38" s="99" t="s">
        <v>594</v>
      </c>
      <c r="AB38" s="99" t="s">
        <v>594</v>
      </c>
      <c r="AC38" s="99" t="s">
        <v>594</v>
      </c>
      <c r="AD38" s="98" t="s">
        <v>343</v>
      </c>
      <c r="AE38" s="100">
        <v>0.13536498936924168</v>
      </c>
      <c r="AF38" s="100">
        <v>0.1</v>
      </c>
      <c r="AG38" s="98">
        <v>212.61516654854714</v>
      </c>
      <c r="AH38" s="98">
        <v>188.99125915426413</v>
      </c>
      <c r="AI38" s="100">
        <v>0.012</v>
      </c>
      <c r="AJ38" s="100">
        <v>0.642384</v>
      </c>
      <c r="AK38" s="100">
        <v>0.654628</v>
      </c>
      <c r="AL38" s="100">
        <v>0.747748</v>
      </c>
      <c r="AM38" s="100">
        <v>0.49005</v>
      </c>
      <c r="AN38" s="100">
        <v>0.520737</v>
      </c>
      <c r="AO38" s="98">
        <v>1606.425702811245</v>
      </c>
      <c r="AP38" s="158">
        <v>0.9606398772999999</v>
      </c>
      <c r="AQ38" s="100" t="s">
        <v>594</v>
      </c>
      <c r="AR38" s="100" t="s">
        <v>594</v>
      </c>
      <c r="AS38" s="98">
        <v>259.8629813371132</v>
      </c>
      <c r="AT38" s="98" t="s">
        <v>594</v>
      </c>
      <c r="AU38" s="98" t="s">
        <v>594</v>
      </c>
      <c r="AV38" s="98">
        <v>330.7347035199622</v>
      </c>
      <c r="AW38" s="98">
        <v>968.5802031656036</v>
      </c>
      <c r="AX38" s="98">
        <v>188.99125915426413</v>
      </c>
      <c r="AY38" s="98">
        <v>921.3323883770375</v>
      </c>
      <c r="AZ38" s="98">
        <v>283.48688873139616</v>
      </c>
      <c r="BA38" s="100" t="s">
        <v>594</v>
      </c>
      <c r="BB38" s="100" t="s">
        <v>594</v>
      </c>
      <c r="BC38" s="100" t="s">
        <v>594</v>
      </c>
      <c r="BD38" s="158">
        <v>0.7459744263</v>
      </c>
      <c r="BE38" s="158">
        <v>1.21783989</v>
      </c>
      <c r="BF38" s="162">
        <v>453</v>
      </c>
      <c r="BG38" s="162">
        <v>443</v>
      </c>
      <c r="BH38" s="162">
        <v>1110</v>
      </c>
      <c r="BI38" s="162">
        <v>402</v>
      </c>
      <c r="BJ38" s="162">
        <v>217</v>
      </c>
      <c r="BK38" s="97"/>
      <c r="BL38" s="97"/>
      <c r="BM38" s="97"/>
      <c r="BN38" s="97"/>
    </row>
    <row r="39" spans="1:66" ht="12.75">
      <c r="A39" s="79" t="s">
        <v>540</v>
      </c>
      <c r="B39" s="79" t="s">
        <v>294</v>
      </c>
      <c r="C39" s="79" t="s">
        <v>128</v>
      </c>
      <c r="D39" s="99">
        <v>7377</v>
      </c>
      <c r="E39" s="99">
        <v>1416</v>
      </c>
      <c r="F39" s="99" t="s">
        <v>367</v>
      </c>
      <c r="G39" s="99">
        <v>33</v>
      </c>
      <c r="H39" s="99">
        <v>9</v>
      </c>
      <c r="I39" s="99">
        <v>119</v>
      </c>
      <c r="J39" s="99">
        <v>886</v>
      </c>
      <c r="K39" s="99">
        <v>850</v>
      </c>
      <c r="L39" s="99">
        <v>1533</v>
      </c>
      <c r="M39" s="99">
        <v>592</v>
      </c>
      <c r="N39" s="99">
        <v>298</v>
      </c>
      <c r="O39" s="99">
        <v>185</v>
      </c>
      <c r="P39" s="159">
        <v>185</v>
      </c>
      <c r="Q39" s="99">
        <v>22</v>
      </c>
      <c r="R39" s="99">
        <v>38</v>
      </c>
      <c r="S39" s="99">
        <v>22</v>
      </c>
      <c r="T39" s="99">
        <v>28</v>
      </c>
      <c r="U39" s="99">
        <v>7</v>
      </c>
      <c r="V39" s="99">
        <v>30</v>
      </c>
      <c r="W39" s="99">
        <v>83</v>
      </c>
      <c r="X39" s="99">
        <v>19</v>
      </c>
      <c r="Y39" s="99">
        <v>86</v>
      </c>
      <c r="Z39" s="99">
        <v>24</v>
      </c>
      <c r="AA39" s="99" t="s">
        <v>594</v>
      </c>
      <c r="AB39" s="99" t="s">
        <v>594</v>
      </c>
      <c r="AC39" s="99" t="s">
        <v>594</v>
      </c>
      <c r="AD39" s="98" t="s">
        <v>343</v>
      </c>
      <c r="AE39" s="100">
        <v>0.19194794631964213</v>
      </c>
      <c r="AF39" s="100">
        <v>0.07</v>
      </c>
      <c r="AG39" s="98">
        <v>447.3363155754372</v>
      </c>
      <c r="AH39" s="98">
        <v>122.00081333875559</v>
      </c>
      <c r="AI39" s="100">
        <v>0.016</v>
      </c>
      <c r="AJ39" s="100">
        <v>0.780617</v>
      </c>
      <c r="AK39" s="100">
        <v>0.764388</v>
      </c>
      <c r="AL39" s="100">
        <v>0.803038</v>
      </c>
      <c r="AM39" s="100">
        <v>0.580962</v>
      </c>
      <c r="AN39" s="100">
        <v>0.606925</v>
      </c>
      <c r="AO39" s="98">
        <v>2507.7944964077537</v>
      </c>
      <c r="AP39" s="158">
        <v>1.2119125370000001</v>
      </c>
      <c r="AQ39" s="100">
        <v>0.11891891891891893</v>
      </c>
      <c r="AR39" s="100">
        <v>0.5789473684210527</v>
      </c>
      <c r="AS39" s="98">
        <v>298.2242103836248</v>
      </c>
      <c r="AT39" s="98">
        <v>379.5580859427952</v>
      </c>
      <c r="AU39" s="98">
        <v>94.8895214856988</v>
      </c>
      <c r="AV39" s="98">
        <v>406.669377795852</v>
      </c>
      <c r="AW39" s="98">
        <v>1125.118611901857</v>
      </c>
      <c r="AX39" s="98">
        <v>257.5572726040396</v>
      </c>
      <c r="AY39" s="98">
        <v>1165.7855496814423</v>
      </c>
      <c r="AZ39" s="98">
        <v>325.3355022366816</v>
      </c>
      <c r="BA39" s="100" t="s">
        <v>594</v>
      </c>
      <c r="BB39" s="100" t="s">
        <v>594</v>
      </c>
      <c r="BC39" s="100" t="s">
        <v>594</v>
      </c>
      <c r="BD39" s="158">
        <v>1.04356163</v>
      </c>
      <c r="BE39" s="158">
        <v>1.399690399</v>
      </c>
      <c r="BF39" s="162">
        <v>1135</v>
      </c>
      <c r="BG39" s="162">
        <v>1112</v>
      </c>
      <c r="BH39" s="162">
        <v>1909</v>
      </c>
      <c r="BI39" s="162">
        <v>1019</v>
      </c>
      <c r="BJ39" s="162">
        <v>491</v>
      </c>
      <c r="BK39" s="97"/>
      <c r="BL39" s="97"/>
      <c r="BM39" s="97"/>
      <c r="BN39" s="97"/>
    </row>
    <row r="40" spans="1:66" ht="12.75">
      <c r="A40" s="79" t="s">
        <v>575</v>
      </c>
      <c r="B40" s="79" t="s">
        <v>330</v>
      </c>
      <c r="C40" s="79" t="s">
        <v>128</v>
      </c>
      <c r="D40" s="99">
        <v>2299</v>
      </c>
      <c r="E40" s="99">
        <v>208</v>
      </c>
      <c r="F40" s="99" t="s">
        <v>364</v>
      </c>
      <c r="G40" s="99" t="s">
        <v>594</v>
      </c>
      <c r="H40" s="99" t="s">
        <v>594</v>
      </c>
      <c r="I40" s="99">
        <v>29</v>
      </c>
      <c r="J40" s="99">
        <v>116</v>
      </c>
      <c r="K40" s="99" t="s">
        <v>594</v>
      </c>
      <c r="L40" s="99">
        <v>471</v>
      </c>
      <c r="M40" s="99">
        <v>49</v>
      </c>
      <c r="N40" s="99" t="s">
        <v>594</v>
      </c>
      <c r="O40" s="99">
        <v>22</v>
      </c>
      <c r="P40" s="159">
        <v>22</v>
      </c>
      <c r="Q40" s="99" t="s">
        <v>594</v>
      </c>
      <c r="R40" s="99">
        <v>8</v>
      </c>
      <c r="S40" s="99" t="s">
        <v>594</v>
      </c>
      <c r="T40" s="99" t="s">
        <v>594</v>
      </c>
      <c r="U40" s="99" t="s">
        <v>594</v>
      </c>
      <c r="V40" s="99" t="s">
        <v>594</v>
      </c>
      <c r="W40" s="99">
        <v>12</v>
      </c>
      <c r="X40" s="99">
        <v>7</v>
      </c>
      <c r="Y40" s="99">
        <v>23</v>
      </c>
      <c r="Z40" s="99">
        <v>9</v>
      </c>
      <c r="AA40" s="99" t="s">
        <v>594</v>
      </c>
      <c r="AB40" s="99" t="s">
        <v>594</v>
      </c>
      <c r="AC40" s="99" t="s">
        <v>594</v>
      </c>
      <c r="AD40" s="98" t="s">
        <v>343</v>
      </c>
      <c r="AE40" s="100">
        <v>0.09047411918225315</v>
      </c>
      <c r="AF40" s="100">
        <v>0.24</v>
      </c>
      <c r="AG40" s="98" t="s">
        <v>594</v>
      </c>
      <c r="AH40" s="98" t="s">
        <v>594</v>
      </c>
      <c r="AI40" s="100">
        <v>0.013000000000000001</v>
      </c>
      <c r="AJ40" s="100">
        <v>0.655367</v>
      </c>
      <c r="AK40" s="100" t="s">
        <v>594</v>
      </c>
      <c r="AL40" s="100">
        <v>0.757235</v>
      </c>
      <c r="AM40" s="100">
        <v>0.368421</v>
      </c>
      <c r="AN40" s="100" t="s">
        <v>594</v>
      </c>
      <c r="AO40" s="98">
        <v>956.9377990430622</v>
      </c>
      <c r="AP40" s="158">
        <v>0.6806938171</v>
      </c>
      <c r="AQ40" s="100" t="s">
        <v>594</v>
      </c>
      <c r="AR40" s="100" t="s">
        <v>594</v>
      </c>
      <c r="AS40" s="98" t="s">
        <v>594</v>
      </c>
      <c r="AT40" s="98" t="s">
        <v>594</v>
      </c>
      <c r="AU40" s="98" t="s">
        <v>594</v>
      </c>
      <c r="AV40" s="98" t="s">
        <v>594</v>
      </c>
      <c r="AW40" s="98">
        <v>521.9660722053067</v>
      </c>
      <c r="AX40" s="98">
        <v>304.4802087864289</v>
      </c>
      <c r="AY40" s="98">
        <v>1000.4349717268377</v>
      </c>
      <c r="AZ40" s="98">
        <v>391.47455415397997</v>
      </c>
      <c r="BA40" s="100" t="s">
        <v>594</v>
      </c>
      <c r="BB40" s="100" t="s">
        <v>594</v>
      </c>
      <c r="BC40" s="100" t="s">
        <v>594</v>
      </c>
      <c r="BD40" s="158">
        <v>0.42658718110000005</v>
      </c>
      <c r="BE40" s="158">
        <v>1.030578613</v>
      </c>
      <c r="BF40" s="162">
        <v>177</v>
      </c>
      <c r="BG40" s="162" t="s">
        <v>594</v>
      </c>
      <c r="BH40" s="162">
        <v>622</v>
      </c>
      <c r="BI40" s="162">
        <v>133</v>
      </c>
      <c r="BJ40" s="162" t="s">
        <v>594</v>
      </c>
      <c r="BK40" s="97"/>
      <c r="BL40" s="97"/>
      <c r="BM40" s="97"/>
      <c r="BN40" s="97"/>
    </row>
    <row r="41" spans="1:66" ht="12.75">
      <c r="A41" s="79" t="s">
        <v>544</v>
      </c>
      <c r="B41" s="79" t="s">
        <v>298</v>
      </c>
      <c r="C41" s="79" t="s">
        <v>128</v>
      </c>
      <c r="D41" s="99">
        <v>10405</v>
      </c>
      <c r="E41" s="99">
        <v>1553</v>
      </c>
      <c r="F41" s="99" t="s">
        <v>365</v>
      </c>
      <c r="G41" s="99">
        <v>48</v>
      </c>
      <c r="H41" s="99">
        <v>13</v>
      </c>
      <c r="I41" s="99">
        <v>196</v>
      </c>
      <c r="J41" s="99">
        <v>864</v>
      </c>
      <c r="K41" s="99">
        <v>23</v>
      </c>
      <c r="L41" s="99">
        <v>2139</v>
      </c>
      <c r="M41" s="99">
        <v>578</v>
      </c>
      <c r="N41" s="99">
        <v>292</v>
      </c>
      <c r="O41" s="99">
        <v>264</v>
      </c>
      <c r="P41" s="159">
        <v>264</v>
      </c>
      <c r="Q41" s="99">
        <v>20</v>
      </c>
      <c r="R41" s="99">
        <v>36</v>
      </c>
      <c r="S41" s="99">
        <v>30</v>
      </c>
      <c r="T41" s="99">
        <v>45</v>
      </c>
      <c r="U41" s="99" t="s">
        <v>594</v>
      </c>
      <c r="V41" s="99">
        <v>74</v>
      </c>
      <c r="W41" s="99">
        <v>128</v>
      </c>
      <c r="X41" s="99">
        <v>31</v>
      </c>
      <c r="Y41" s="99">
        <v>158</v>
      </c>
      <c r="Z41" s="99">
        <v>47</v>
      </c>
      <c r="AA41" s="99" t="s">
        <v>594</v>
      </c>
      <c r="AB41" s="99" t="s">
        <v>594</v>
      </c>
      <c r="AC41" s="99" t="s">
        <v>594</v>
      </c>
      <c r="AD41" s="98" t="s">
        <v>343</v>
      </c>
      <c r="AE41" s="100">
        <v>0.14925516578567996</v>
      </c>
      <c r="AF41" s="100">
        <v>0.09</v>
      </c>
      <c r="AG41" s="98">
        <v>461.3166746756367</v>
      </c>
      <c r="AH41" s="98">
        <v>124.93993272465161</v>
      </c>
      <c r="AI41" s="100">
        <v>0.019</v>
      </c>
      <c r="AJ41" s="100">
        <v>0.688446</v>
      </c>
      <c r="AK41" s="100">
        <v>0.605263</v>
      </c>
      <c r="AL41" s="100">
        <v>0.782943</v>
      </c>
      <c r="AM41" s="100">
        <v>0.525455</v>
      </c>
      <c r="AN41" s="100">
        <v>0.55303</v>
      </c>
      <c r="AO41" s="98">
        <v>2537.2417107160018</v>
      </c>
      <c r="AP41" s="158">
        <v>1.4053883360000001</v>
      </c>
      <c r="AQ41" s="100">
        <v>0.07575757575757576</v>
      </c>
      <c r="AR41" s="100">
        <v>0.5555555555555556</v>
      </c>
      <c r="AS41" s="98">
        <v>288.32292167227297</v>
      </c>
      <c r="AT41" s="98">
        <v>432.4843825084094</v>
      </c>
      <c r="AU41" s="98" t="s">
        <v>594</v>
      </c>
      <c r="AV41" s="98">
        <v>711.1965401249399</v>
      </c>
      <c r="AW41" s="98">
        <v>1230.1777991350311</v>
      </c>
      <c r="AX41" s="98">
        <v>297.9336857280154</v>
      </c>
      <c r="AY41" s="98">
        <v>1518.500720807304</v>
      </c>
      <c r="AZ41" s="98">
        <v>451.70591061989427</v>
      </c>
      <c r="BA41" s="100" t="s">
        <v>594</v>
      </c>
      <c r="BB41" s="100" t="s">
        <v>594</v>
      </c>
      <c r="BC41" s="100" t="s">
        <v>594</v>
      </c>
      <c r="BD41" s="158">
        <v>1.2409569550000001</v>
      </c>
      <c r="BE41" s="158">
        <v>1.585545502</v>
      </c>
      <c r="BF41" s="162">
        <v>1255</v>
      </c>
      <c r="BG41" s="162">
        <v>38</v>
      </c>
      <c r="BH41" s="162">
        <v>2732</v>
      </c>
      <c r="BI41" s="162">
        <v>1100</v>
      </c>
      <c r="BJ41" s="162">
        <v>528</v>
      </c>
      <c r="BK41" s="97"/>
      <c r="BL41" s="97"/>
      <c r="BM41" s="97"/>
      <c r="BN41" s="97"/>
    </row>
    <row r="42" spans="1:66" ht="12.75">
      <c r="A42" s="79" t="s">
        <v>565</v>
      </c>
      <c r="B42" s="79" t="s">
        <v>319</v>
      </c>
      <c r="C42" s="79" t="s">
        <v>128</v>
      </c>
      <c r="D42" s="99">
        <v>4532</v>
      </c>
      <c r="E42" s="99">
        <v>570</v>
      </c>
      <c r="F42" s="99" t="s">
        <v>366</v>
      </c>
      <c r="G42" s="99">
        <v>14</v>
      </c>
      <c r="H42" s="99">
        <v>9</v>
      </c>
      <c r="I42" s="99">
        <v>52</v>
      </c>
      <c r="J42" s="99">
        <v>313</v>
      </c>
      <c r="K42" s="99">
        <v>15</v>
      </c>
      <c r="L42" s="99">
        <v>859</v>
      </c>
      <c r="M42" s="99">
        <v>198</v>
      </c>
      <c r="N42" s="99">
        <v>105</v>
      </c>
      <c r="O42" s="99">
        <v>43</v>
      </c>
      <c r="P42" s="159">
        <v>43</v>
      </c>
      <c r="Q42" s="99">
        <v>9</v>
      </c>
      <c r="R42" s="99">
        <v>18</v>
      </c>
      <c r="S42" s="99">
        <v>8</v>
      </c>
      <c r="T42" s="99" t="s">
        <v>594</v>
      </c>
      <c r="U42" s="99" t="s">
        <v>594</v>
      </c>
      <c r="V42" s="99">
        <v>8</v>
      </c>
      <c r="W42" s="99">
        <v>53</v>
      </c>
      <c r="X42" s="99">
        <v>10</v>
      </c>
      <c r="Y42" s="99">
        <v>32</v>
      </c>
      <c r="Z42" s="99">
        <v>17</v>
      </c>
      <c r="AA42" s="99" t="s">
        <v>594</v>
      </c>
      <c r="AB42" s="99" t="s">
        <v>594</v>
      </c>
      <c r="AC42" s="99" t="s">
        <v>594</v>
      </c>
      <c r="AD42" s="98" t="s">
        <v>343</v>
      </c>
      <c r="AE42" s="100">
        <v>0.12577228596646073</v>
      </c>
      <c r="AF42" s="100">
        <v>0.14</v>
      </c>
      <c r="AG42" s="98">
        <v>308.9143865842895</v>
      </c>
      <c r="AH42" s="98">
        <v>198.58781994704324</v>
      </c>
      <c r="AI42" s="100">
        <v>0.011000000000000001</v>
      </c>
      <c r="AJ42" s="100">
        <v>0.62475</v>
      </c>
      <c r="AK42" s="100">
        <v>0.789474</v>
      </c>
      <c r="AL42" s="100">
        <v>0.735445</v>
      </c>
      <c r="AM42" s="100">
        <v>0.470309</v>
      </c>
      <c r="AN42" s="100">
        <v>0.483871</v>
      </c>
      <c r="AO42" s="98">
        <v>948.8084730803178</v>
      </c>
      <c r="AP42" s="158">
        <v>0.5574085617</v>
      </c>
      <c r="AQ42" s="100">
        <v>0.20930232558139536</v>
      </c>
      <c r="AR42" s="100">
        <v>0.5</v>
      </c>
      <c r="AS42" s="98">
        <v>176.522506619594</v>
      </c>
      <c r="AT42" s="98" t="s">
        <v>594</v>
      </c>
      <c r="AU42" s="98" t="s">
        <v>594</v>
      </c>
      <c r="AV42" s="98">
        <v>176.522506619594</v>
      </c>
      <c r="AW42" s="98">
        <v>1169.4616063548103</v>
      </c>
      <c r="AX42" s="98">
        <v>220.6531332744925</v>
      </c>
      <c r="AY42" s="98">
        <v>706.090026478376</v>
      </c>
      <c r="AZ42" s="98">
        <v>375.11032656663724</v>
      </c>
      <c r="BA42" s="100" t="s">
        <v>594</v>
      </c>
      <c r="BB42" s="100" t="s">
        <v>594</v>
      </c>
      <c r="BC42" s="100" t="s">
        <v>594</v>
      </c>
      <c r="BD42" s="158">
        <v>0.403399353</v>
      </c>
      <c r="BE42" s="158">
        <v>0.7508256531</v>
      </c>
      <c r="BF42" s="162">
        <v>501</v>
      </c>
      <c r="BG42" s="162">
        <v>19</v>
      </c>
      <c r="BH42" s="162">
        <v>1168</v>
      </c>
      <c r="BI42" s="162">
        <v>421</v>
      </c>
      <c r="BJ42" s="162">
        <v>217</v>
      </c>
      <c r="BK42" s="97"/>
      <c r="BL42" s="97"/>
      <c r="BM42" s="97"/>
      <c r="BN42" s="97"/>
    </row>
    <row r="43" spans="1:66" ht="12.75">
      <c r="A43" s="79" t="s">
        <v>579</v>
      </c>
      <c r="B43" s="79" t="s">
        <v>334</v>
      </c>
      <c r="C43" s="79" t="s">
        <v>128</v>
      </c>
      <c r="D43" s="99">
        <v>2460</v>
      </c>
      <c r="E43" s="99">
        <v>209</v>
      </c>
      <c r="F43" s="99" t="s">
        <v>366</v>
      </c>
      <c r="G43" s="99" t="s">
        <v>594</v>
      </c>
      <c r="H43" s="99" t="s">
        <v>594</v>
      </c>
      <c r="I43" s="99">
        <v>16</v>
      </c>
      <c r="J43" s="99">
        <v>115</v>
      </c>
      <c r="K43" s="99">
        <v>105</v>
      </c>
      <c r="L43" s="99">
        <v>449</v>
      </c>
      <c r="M43" s="99">
        <v>55</v>
      </c>
      <c r="N43" s="99">
        <v>32</v>
      </c>
      <c r="O43" s="99">
        <v>13</v>
      </c>
      <c r="P43" s="159">
        <v>13</v>
      </c>
      <c r="Q43" s="99" t="s">
        <v>594</v>
      </c>
      <c r="R43" s="99" t="s">
        <v>594</v>
      </c>
      <c r="S43" s="99" t="s">
        <v>594</v>
      </c>
      <c r="T43" s="99" t="s">
        <v>594</v>
      </c>
      <c r="U43" s="99" t="s">
        <v>594</v>
      </c>
      <c r="V43" s="99" t="s">
        <v>594</v>
      </c>
      <c r="W43" s="99">
        <v>20</v>
      </c>
      <c r="X43" s="99" t="s">
        <v>594</v>
      </c>
      <c r="Y43" s="99">
        <v>31</v>
      </c>
      <c r="Z43" s="99">
        <v>9</v>
      </c>
      <c r="AA43" s="99" t="s">
        <v>594</v>
      </c>
      <c r="AB43" s="99" t="s">
        <v>594</v>
      </c>
      <c r="AC43" s="99" t="s">
        <v>594</v>
      </c>
      <c r="AD43" s="98" t="s">
        <v>343</v>
      </c>
      <c r="AE43" s="100">
        <v>0.08495934959349594</v>
      </c>
      <c r="AF43" s="100">
        <v>0.14</v>
      </c>
      <c r="AG43" s="98" t="s">
        <v>594</v>
      </c>
      <c r="AH43" s="98" t="s">
        <v>594</v>
      </c>
      <c r="AI43" s="100">
        <v>0.006999999999999999</v>
      </c>
      <c r="AJ43" s="100">
        <v>0.646067</v>
      </c>
      <c r="AK43" s="100">
        <v>0.610465</v>
      </c>
      <c r="AL43" s="100">
        <v>0.683409</v>
      </c>
      <c r="AM43" s="100">
        <v>0.390071</v>
      </c>
      <c r="AN43" s="100">
        <v>0.438356</v>
      </c>
      <c r="AO43" s="98">
        <v>528.4552845528456</v>
      </c>
      <c r="AP43" s="158">
        <v>0.38877487180000003</v>
      </c>
      <c r="AQ43" s="100" t="s">
        <v>594</v>
      </c>
      <c r="AR43" s="100" t="s">
        <v>594</v>
      </c>
      <c r="AS43" s="98" t="s">
        <v>594</v>
      </c>
      <c r="AT43" s="98" t="s">
        <v>594</v>
      </c>
      <c r="AU43" s="98" t="s">
        <v>594</v>
      </c>
      <c r="AV43" s="98" t="s">
        <v>594</v>
      </c>
      <c r="AW43" s="98">
        <v>813.0081300813008</v>
      </c>
      <c r="AX43" s="98" t="s">
        <v>594</v>
      </c>
      <c r="AY43" s="98">
        <v>1260.1626016260163</v>
      </c>
      <c r="AZ43" s="98">
        <v>365.8536585365854</v>
      </c>
      <c r="BA43" s="100" t="s">
        <v>594</v>
      </c>
      <c r="BB43" s="100" t="s">
        <v>594</v>
      </c>
      <c r="BC43" s="100" t="s">
        <v>594</v>
      </c>
      <c r="BD43" s="158">
        <v>0.2070062447</v>
      </c>
      <c r="BE43" s="158">
        <v>0.6648168945</v>
      </c>
      <c r="BF43" s="162">
        <v>178</v>
      </c>
      <c r="BG43" s="162">
        <v>172</v>
      </c>
      <c r="BH43" s="162">
        <v>657</v>
      </c>
      <c r="BI43" s="162">
        <v>141</v>
      </c>
      <c r="BJ43" s="162">
        <v>73</v>
      </c>
      <c r="BK43" s="97"/>
      <c r="BL43" s="97"/>
      <c r="BM43" s="97"/>
      <c r="BN43" s="97"/>
    </row>
    <row r="44" spans="1:66" ht="12.75">
      <c r="A44" s="79" t="s">
        <v>536</v>
      </c>
      <c r="B44" s="79" t="s">
        <v>290</v>
      </c>
      <c r="C44" s="79" t="s">
        <v>128</v>
      </c>
      <c r="D44" s="99">
        <v>6345</v>
      </c>
      <c r="E44" s="99">
        <v>742</v>
      </c>
      <c r="F44" s="99" t="s">
        <v>363</v>
      </c>
      <c r="G44" s="99">
        <v>11</v>
      </c>
      <c r="H44" s="99">
        <v>8</v>
      </c>
      <c r="I44" s="99">
        <v>103</v>
      </c>
      <c r="J44" s="99">
        <v>452</v>
      </c>
      <c r="K44" s="99">
        <v>419</v>
      </c>
      <c r="L44" s="99">
        <v>1285</v>
      </c>
      <c r="M44" s="99">
        <v>246</v>
      </c>
      <c r="N44" s="99">
        <v>122</v>
      </c>
      <c r="O44" s="99">
        <v>52</v>
      </c>
      <c r="P44" s="159">
        <v>52</v>
      </c>
      <c r="Q44" s="99" t="s">
        <v>594</v>
      </c>
      <c r="R44" s="99">
        <v>17</v>
      </c>
      <c r="S44" s="99">
        <v>12</v>
      </c>
      <c r="T44" s="99" t="s">
        <v>594</v>
      </c>
      <c r="U44" s="99" t="s">
        <v>594</v>
      </c>
      <c r="V44" s="99">
        <v>7</v>
      </c>
      <c r="W44" s="99">
        <v>47</v>
      </c>
      <c r="X44" s="99">
        <v>11</v>
      </c>
      <c r="Y44" s="99">
        <v>53</v>
      </c>
      <c r="Z44" s="99">
        <v>13</v>
      </c>
      <c r="AA44" s="99" t="s">
        <v>594</v>
      </c>
      <c r="AB44" s="99" t="s">
        <v>594</v>
      </c>
      <c r="AC44" s="99" t="s">
        <v>594</v>
      </c>
      <c r="AD44" s="98" t="s">
        <v>343</v>
      </c>
      <c r="AE44" s="100">
        <v>0.1169424743892829</v>
      </c>
      <c r="AF44" s="100">
        <v>0.19</v>
      </c>
      <c r="AG44" s="98">
        <v>173.36485421591806</v>
      </c>
      <c r="AH44" s="98">
        <v>126.08353033884949</v>
      </c>
      <c r="AI44" s="100">
        <v>0.016</v>
      </c>
      <c r="AJ44" s="100">
        <v>0.63662</v>
      </c>
      <c r="AK44" s="100">
        <v>0.618907</v>
      </c>
      <c r="AL44" s="100">
        <v>0.719082</v>
      </c>
      <c r="AM44" s="100">
        <v>0.445652</v>
      </c>
      <c r="AN44" s="100">
        <v>0.460377</v>
      </c>
      <c r="AO44" s="98">
        <v>819.5429472025216</v>
      </c>
      <c r="AP44" s="158">
        <v>0.4894271469</v>
      </c>
      <c r="AQ44" s="100" t="s">
        <v>594</v>
      </c>
      <c r="AR44" s="100" t="s">
        <v>594</v>
      </c>
      <c r="AS44" s="98">
        <v>189.12529550827423</v>
      </c>
      <c r="AT44" s="98" t="s">
        <v>594</v>
      </c>
      <c r="AU44" s="98" t="s">
        <v>594</v>
      </c>
      <c r="AV44" s="98">
        <v>110.32308904649331</v>
      </c>
      <c r="AW44" s="98">
        <v>740.7407407407408</v>
      </c>
      <c r="AX44" s="98">
        <v>173.36485421591806</v>
      </c>
      <c r="AY44" s="98">
        <v>835.3033884948778</v>
      </c>
      <c r="AZ44" s="98">
        <v>204.8857368006304</v>
      </c>
      <c r="BA44" s="100" t="s">
        <v>594</v>
      </c>
      <c r="BB44" s="100" t="s">
        <v>594</v>
      </c>
      <c r="BC44" s="100" t="s">
        <v>594</v>
      </c>
      <c r="BD44" s="158">
        <v>0.3655276108</v>
      </c>
      <c r="BE44" s="158">
        <v>0.6418186188</v>
      </c>
      <c r="BF44" s="162">
        <v>710</v>
      </c>
      <c r="BG44" s="162">
        <v>677</v>
      </c>
      <c r="BH44" s="162">
        <v>1787</v>
      </c>
      <c r="BI44" s="162">
        <v>552</v>
      </c>
      <c r="BJ44" s="162">
        <v>265</v>
      </c>
      <c r="BK44" s="97"/>
      <c r="BL44" s="97"/>
      <c r="BM44" s="97"/>
      <c r="BN44" s="97"/>
    </row>
    <row r="45" spans="1:66" ht="12.75">
      <c r="A45" s="79" t="s">
        <v>563</v>
      </c>
      <c r="B45" s="79" t="s">
        <v>317</v>
      </c>
      <c r="C45" s="79" t="s">
        <v>128</v>
      </c>
      <c r="D45" s="99">
        <v>4109</v>
      </c>
      <c r="E45" s="99">
        <v>276</v>
      </c>
      <c r="F45" s="99" t="s">
        <v>363</v>
      </c>
      <c r="G45" s="99">
        <v>8</v>
      </c>
      <c r="H45" s="99" t="s">
        <v>594</v>
      </c>
      <c r="I45" s="99">
        <v>36</v>
      </c>
      <c r="J45" s="99">
        <v>183</v>
      </c>
      <c r="K45" s="99">
        <v>191</v>
      </c>
      <c r="L45" s="99">
        <v>873</v>
      </c>
      <c r="M45" s="99">
        <v>79</v>
      </c>
      <c r="N45" s="99">
        <v>34</v>
      </c>
      <c r="O45" s="99">
        <v>28</v>
      </c>
      <c r="P45" s="159">
        <v>28</v>
      </c>
      <c r="Q45" s="99" t="s">
        <v>594</v>
      </c>
      <c r="R45" s="99">
        <v>7</v>
      </c>
      <c r="S45" s="99" t="s">
        <v>594</v>
      </c>
      <c r="T45" s="99" t="s">
        <v>594</v>
      </c>
      <c r="U45" s="99" t="s">
        <v>594</v>
      </c>
      <c r="V45" s="99" t="s">
        <v>594</v>
      </c>
      <c r="W45" s="99">
        <v>30</v>
      </c>
      <c r="X45" s="99">
        <v>7</v>
      </c>
      <c r="Y45" s="99">
        <v>39</v>
      </c>
      <c r="Z45" s="99">
        <v>12</v>
      </c>
      <c r="AA45" s="99" t="s">
        <v>594</v>
      </c>
      <c r="AB45" s="99" t="s">
        <v>594</v>
      </c>
      <c r="AC45" s="99" t="s">
        <v>594</v>
      </c>
      <c r="AD45" s="98" t="s">
        <v>343</v>
      </c>
      <c r="AE45" s="100">
        <v>0.06716962764662936</v>
      </c>
      <c r="AF45" s="100">
        <v>0.22</v>
      </c>
      <c r="AG45" s="98">
        <v>194.69457288878073</v>
      </c>
      <c r="AH45" s="98" t="s">
        <v>594</v>
      </c>
      <c r="AI45" s="100">
        <v>0.009000000000000001</v>
      </c>
      <c r="AJ45" s="100">
        <v>0.551205</v>
      </c>
      <c r="AK45" s="100">
        <v>0.600629</v>
      </c>
      <c r="AL45" s="100">
        <v>0.774623</v>
      </c>
      <c r="AM45" s="100">
        <v>0.360731</v>
      </c>
      <c r="AN45" s="100">
        <v>0.311927</v>
      </c>
      <c r="AO45" s="98">
        <v>681.4310051107325</v>
      </c>
      <c r="AP45" s="158">
        <v>0.5064743423</v>
      </c>
      <c r="AQ45" s="100" t="s">
        <v>594</v>
      </c>
      <c r="AR45" s="100" t="s">
        <v>594</v>
      </c>
      <c r="AS45" s="98" t="s">
        <v>594</v>
      </c>
      <c r="AT45" s="98" t="s">
        <v>594</v>
      </c>
      <c r="AU45" s="98" t="s">
        <v>594</v>
      </c>
      <c r="AV45" s="98" t="s">
        <v>594</v>
      </c>
      <c r="AW45" s="98">
        <v>730.1046483329277</v>
      </c>
      <c r="AX45" s="98">
        <v>170.35775127768312</v>
      </c>
      <c r="AY45" s="98">
        <v>949.1360428328061</v>
      </c>
      <c r="AZ45" s="98">
        <v>292.0418593331711</v>
      </c>
      <c r="BA45" s="100" t="s">
        <v>594</v>
      </c>
      <c r="BB45" s="100" t="s">
        <v>594</v>
      </c>
      <c r="BC45" s="100" t="s">
        <v>594</v>
      </c>
      <c r="BD45" s="158">
        <v>0.33654853819999997</v>
      </c>
      <c r="BE45" s="158">
        <v>0.73199646</v>
      </c>
      <c r="BF45" s="162">
        <v>332</v>
      </c>
      <c r="BG45" s="162">
        <v>318</v>
      </c>
      <c r="BH45" s="162">
        <v>1127</v>
      </c>
      <c r="BI45" s="162">
        <v>219</v>
      </c>
      <c r="BJ45" s="162">
        <v>109</v>
      </c>
      <c r="BK45" s="97"/>
      <c r="BL45" s="97"/>
      <c r="BM45" s="97"/>
      <c r="BN45" s="97"/>
    </row>
    <row r="46" spans="1:66" ht="12.75">
      <c r="A46" s="79" t="s">
        <v>578</v>
      </c>
      <c r="B46" s="79" t="s">
        <v>333</v>
      </c>
      <c r="C46" s="79" t="s">
        <v>128</v>
      </c>
      <c r="D46" s="99">
        <v>2238</v>
      </c>
      <c r="E46" s="99">
        <v>239</v>
      </c>
      <c r="F46" s="99" t="s">
        <v>363</v>
      </c>
      <c r="G46" s="99" t="s">
        <v>594</v>
      </c>
      <c r="H46" s="99" t="s">
        <v>594</v>
      </c>
      <c r="I46" s="99">
        <v>24</v>
      </c>
      <c r="J46" s="99">
        <v>144</v>
      </c>
      <c r="K46" s="99">
        <v>131</v>
      </c>
      <c r="L46" s="99">
        <v>435</v>
      </c>
      <c r="M46" s="99">
        <v>65</v>
      </c>
      <c r="N46" s="99">
        <v>33</v>
      </c>
      <c r="O46" s="99">
        <v>9</v>
      </c>
      <c r="P46" s="159">
        <v>9</v>
      </c>
      <c r="Q46" s="99" t="s">
        <v>594</v>
      </c>
      <c r="R46" s="99">
        <v>10</v>
      </c>
      <c r="S46" s="99" t="s">
        <v>594</v>
      </c>
      <c r="T46" s="99" t="s">
        <v>594</v>
      </c>
      <c r="U46" s="99" t="s">
        <v>594</v>
      </c>
      <c r="V46" s="99" t="s">
        <v>594</v>
      </c>
      <c r="W46" s="99" t="s">
        <v>594</v>
      </c>
      <c r="X46" s="99" t="s">
        <v>594</v>
      </c>
      <c r="Y46" s="99">
        <v>12</v>
      </c>
      <c r="Z46" s="99">
        <v>14</v>
      </c>
      <c r="AA46" s="99" t="s">
        <v>594</v>
      </c>
      <c r="AB46" s="99" t="s">
        <v>594</v>
      </c>
      <c r="AC46" s="99" t="s">
        <v>594</v>
      </c>
      <c r="AD46" s="98" t="s">
        <v>343</v>
      </c>
      <c r="AE46" s="100">
        <v>0.10679177837354781</v>
      </c>
      <c r="AF46" s="100">
        <v>0.23</v>
      </c>
      <c r="AG46" s="98" t="s">
        <v>594</v>
      </c>
      <c r="AH46" s="98" t="s">
        <v>594</v>
      </c>
      <c r="AI46" s="100">
        <v>0.011000000000000001</v>
      </c>
      <c r="AJ46" s="100">
        <v>0.634361</v>
      </c>
      <c r="AK46" s="100">
        <v>0.620853</v>
      </c>
      <c r="AL46" s="100">
        <v>0.748709</v>
      </c>
      <c r="AM46" s="100">
        <v>0.403727</v>
      </c>
      <c r="AN46" s="100">
        <v>0.434211</v>
      </c>
      <c r="AO46" s="98">
        <v>402.1447721179625</v>
      </c>
      <c r="AP46" s="158">
        <v>0.2535304451</v>
      </c>
      <c r="AQ46" s="100" t="s">
        <v>594</v>
      </c>
      <c r="AR46" s="100" t="s">
        <v>594</v>
      </c>
      <c r="AS46" s="98" t="s">
        <v>594</v>
      </c>
      <c r="AT46" s="98" t="s">
        <v>594</v>
      </c>
      <c r="AU46" s="98" t="s">
        <v>594</v>
      </c>
      <c r="AV46" s="98" t="s">
        <v>594</v>
      </c>
      <c r="AW46" s="98" t="s">
        <v>594</v>
      </c>
      <c r="AX46" s="98" t="s">
        <v>594</v>
      </c>
      <c r="AY46" s="98">
        <v>536.1930294906166</v>
      </c>
      <c r="AZ46" s="98">
        <v>625.5585344057193</v>
      </c>
      <c r="BA46" s="100" t="s">
        <v>594</v>
      </c>
      <c r="BB46" s="100" t="s">
        <v>594</v>
      </c>
      <c r="BC46" s="100" t="s">
        <v>594</v>
      </c>
      <c r="BD46" s="158">
        <v>0.11593026160000001</v>
      </c>
      <c r="BE46" s="158">
        <v>0.4812797546</v>
      </c>
      <c r="BF46" s="162">
        <v>227</v>
      </c>
      <c r="BG46" s="162">
        <v>211</v>
      </c>
      <c r="BH46" s="162">
        <v>581</v>
      </c>
      <c r="BI46" s="162">
        <v>161</v>
      </c>
      <c r="BJ46" s="162">
        <v>76</v>
      </c>
      <c r="BK46" s="97"/>
      <c r="BL46" s="97"/>
      <c r="BM46" s="97"/>
      <c r="BN46" s="97"/>
    </row>
    <row r="47" spans="1:66" ht="12.75">
      <c r="A47" s="79" t="s">
        <v>559</v>
      </c>
      <c r="B47" s="79" t="s">
        <v>313</v>
      </c>
      <c r="C47" s="79" t="s">
        <v>128</v>
      </c>
      <c r="D47" s="99">
        <v>3811</v>
      </c>
      <c r="E47" s="99">
        <v>880</v>
      </c>
      <c r="F47" s="99" t="s">
        <v>367</v>
      </c>
      <c r="G47" s="99">
        <v>14</v>
      </c>
      <c r="H47" s="99">
        <v>7</v>
      </c>
      <c r="I47" s="99">
        <v>72</v>
      </c>
      <c r="J47" s="99">
        <v>456</v>
      </c>
      <c r="K47" s="99">
        <v>15</v>
      </c>
      <c r="L47" s="99">
        <v>787</v>
      </c>
      <c r="M47" s="99">
        <v>370</v>
      </c>
      <c r="N47" s="99">
        <v>185</v>
      </c>
      <c r="O47" s="99">
        <v>140</v>
      </c>
      <c r="P47" s="159">
        <v>140</v>
      </c>
      <c r="Q47" s="99">
        <v>12</v>
      </c>
      <c r="R47" s="99">
        <v>22</v>
      </c>
      <c r="S47" s="99">
        <v>35</v>
      </c>
      <c r="T47" s="99">
        <v>25</v>
      </c>
      <c r="U47" s="99" t="s">
        <v>594</v>
      </c>
      <c r="V47" s="99">
        <v>34</v>
      </c>
      <c r="W47" s="99">
        <v>66</v>
      </c>
      <c r="X47" s="99">
        <v>13</v>
      </c>
      <c r="Y47" s="99">
        <v>63</v>
      </c>
      <c r="Z47" s="99">
        <v>29</v>
      </c>
      <c r="AA47" s="99" t="s">
        <v>594</v>
      </c>
      <c r="AB47" s="99" t="s">
        <v>594</v>
      </c>
      <c r="AC47" s="99" t="s">
        <v>594</v>
      </c>
      <c r="AD47" s="98" t="s">
        <v>343</v>
      </c>
      <c r="AE47" s="100">
        <v>0.2309105221726581</v>
      </c>
      <c r="AF47" s="100">
        <v>0.07</v>
      </c>
      <c r="AG47" s="98">
        <v>367.35764891104697</v>
      </c>
      <c r="AH47" s="98">
        <v>183.67882445552348</v>
      </c>
      <c r="AI47" s="100">
        <v>0.019</v>
      </c>
      <c r="AJ47" s="100">
        <v>0.727273</v>
      </c>
      <c r="AK47" s="100">
        <v>0.714286</v>
      </c>
      <c r="AL47" s="100">
        <v>0.845328</v>
      </c>
      <c r="AM47" s="100">
        <v>0.630324</v>
      </c>
      <c r="AN47" s="100">
        <v>0.629252</v>
      </c>
      <c r="AO47" s="98">
        <v>3673.5764891104695</v>
      </c>
      <c r="AP47" s="158">
        <v>1.6410220340000001</v>
      </c>
      <c r="AQ47" s="100">
        <v>0.08571428571428572</v>
      </c>
      <c r="AR47" s="100">
        <v>0.5454545454545454</v>
      </c>
      <c r="AS47" s="98">
        <v>918.3941222776174</v>
      </c>
      <c r="AT47" s="98">
        <v>655.9958016268696</v>
      </c>
      <c r="AU47" s="98" t="s">
        <v>594</v>
      </c>
      <c r="AV47" s="98">
        <v>892.1542902125426</v>
      </c>
      <c r="AW47" s="98">
        <v>1731.8289162949357</v>
      </c>
      <c r="AX47" s="98">
        <v>341.1178168459722</v>
      </c>
      <c r="AY47" s="98">
        <v>1653.1094200997113</v>
      </c>
      <c r="AZ47" s="98">
        <v>760.9551298871687</v>
      </c>
      <c r="BA47" s="100" t="s">
        <v>594</v>
      </c>
      <c r="BB47" s="100" t="s">
        <v>594</v>
      </c>
      <c r="BC47" s="100" t="s">
        <v>594</v>
      </c>
      <c r="BD47" s="158">
        <v>1.3804579160000001</v>
      </c>
      <c r="BE47" s="158">
        <v>1.936470337</v>
      </c>
      <c r="BF47" s="162">
        <v>627</v>
      </c>
      <c r="BG47" s="162">
        <v>21</v>
      </c>
      <c r="BH47" s="162">
        <v>931</v>
      </c>
      <c r="BI47" s="162">
        <v>587</v>
      </c>
      <c r="BJ47" s="162">
        <v>294</v>
      </c>
      <c r="BK47" s="97"/>
      <c r="BL47" s="97"/>
      <c r="BM47" s="97"/>
      <c r="BN47" s="97"/>
    </row>
    <row r="48" spans="1:66" ht="12.75">
      <c r="A48" s="79" t="s">
        <v>538</v>
      </c>
      <c r="B48" s="79" t="s">
        <v>292</v>
      </c>
      <c r="C48" s="79" t="s">
        <v>128</v>
      </c>
      <c r="D48" s="99">
        <v>9308</v>
      </c>
      <c r="E48" s="99">
        <v>802</v>
      </c>
      <c r="F48" s="99" t="s">
        <v>364</v>
      </c>
      <c r="G48" s="99">
        <v>18</v>
      </c>
      <c r="H48" s="99">
        <v>11</v>
      </c>
      <c r="I48" s="99">
        <v>80</v>
      </c>
      <c r="J48" s="99">
        <v>403</v>
      </c>
      <c r="K48" s="99">
        <v>9</v>
      </c>
      <c r="L48" s="99">
        <v>1640</v>
      </c>
      <c r="M48" s="99">
        <v>200</v>
      </c>
      <c r="N48" s="99">
        <v>97</v>
      </c>
      <c r="O48" s="99">
        <v>68</v>
      </c>
      <c r="P48" s="159">
        <v>68</v>
      </c>
      <c r="Q48" s="99" t="s">
        <v>594</v>
      </c>
      <c r="R48" s="99">
        <v>14</v>
      </c>
      <c r="S48" s="99">
        <v>22</v>
      </c>
      <c r="T48" s="99">
        <v>7</v>
      </c>
      <c r="U48" s="99" t="s">
        <v>594</v>
      </c>
      <c r="V48" s="99">
        <v>6</v>
      </c>
      <c r="W48" s="99">
        <v>73</v>
      </c>
      <c r="X48" s="99">
        <v>9</v>
      </c>
      <c r="Y48" s="99">
        <v>70</v>
      </c>
      <c r="Z48" s="99">
        <v>36</v>
      </c>
      <c r="AA48" s="99" t="s">
        <v>594</v>
      </c>
      <c r="AB48" s="99" t="s">
        <v>594</v>
      </c>
      <c r="AC48" s="99" t="s">
        <v>594</v>
      </c>
      <c r="AD48" s="98" t="s">
        <v>343</v>
      </c>
      <c r="AE48" s="100">
        <v>0.08616244091104426</v>
      </c>
      <c r="AF48" s="100">
        <v>0.26</v>
      </c>
      <c r="AG48" s="98">
        <v>193.38203695745594</v>
      </c>
      <c r="AH48" s="98">
        <v>118.17791147400087</v>
      </c>
      <c r="AI48" s="100">
        <v>0.009000000000000001</v>
      </c>
      <c r="AJ48" s="100">
        <v>0.601493</v>
      </c>
      <c r="AK48" s="100">
        <v>0.333333</v>
      </c>
      <c r="AL48" s="100">
        <v>0.689655</v>
      </c>
      <c r="AM48" s="100">
        <v>0.371058</v>
      </c>
      <c r="AN48" s="100">
        <v>0.394309</v>
      </c>
      <c r="AO48" s="98">
        <v>730.554361839278</v>
      </c>
      <c r="AP48" s="158">
        <v>0.5500801086</v>
      </c>
      <c r="AQ48" s="100" t="s">
        <v>594</v>
      </c>
      <c r="AR48" s="100" t="s">
        <v>594</v>
      </c>
      <c r="AS48" s="98">
        <v>236.35582294800173</v>
      </c>
      <c r="AT48" s="98">
        <v>75.20412548345509</v>
      </c>
      <c r="AU48" s="98" t="s">
        <v>594</v>
      </c>
      <c r="AV48" s="98">
        <v>64.46067898581865</v>
      </c>
      <c r="AW48" s="98">
        <v>784.2715943274602</v>
      </c>
      <c r="AX48" s="98">
        <v>96.69101847872797</v>
      </c>
      <c r="AY48" s="98">
        <v>752.041254834551</v>
      </c>
      <c r="AZ48" s="98">
        <v>386.7640739149119</v>
      </c>
      <c r="BA48" s="100" t="s">
        <v>594</v>
      </c>
      <c r="BB48" s="100" t="s">
        <v>594</v>
      </c>
      <c r="BC48" s="100" t="s">
        <v>594</v>
      </c>
      <c r="BD48" s="158">
        <v>0.42715873719999997</v>
      </c>
      <c r="BE48" s="158">
        <v>0.6973576355</v>
      </c>
      <c r="BF48" s="162">
        <v>670</v>
      </c>
      <c r="BG48" s="162">
        <v>27</v>
      </c>
      <c r="BH48" s="162">
        <v>2378</v>
      </c>
      <c r="BI48" s="162">
        <v>539</v>
      </c>
      <c r="BJ48" s="162">
        <v>246</v>
      </c>
      <c r="BK48" s="97"/>
      <c r="BL48" s="97"/>
      <c r="BM48" s="97"/>
      <c r="BN48" s="97"/>
    </row>
    <row r="49" spans="1:66" ht="12.75">
      <c r="A49" s="79" t="s">
        <v>561</v>
      </c>
      <c r="B49" s="79" t="s">
        <v>315</v>
      </c>
      <c r="C49" s="79" t="s">
        <v>128</v>
      </c>
      <c r="D49" s="99">
        <v>7223</v>
      </c>
      <c r="E49" s="99">
        <v>936</v>
      </c>
      <c r="F49" s="99" t="s">
        <v>366</v>
      </c>
      <c r="G49" s="99">
        <v>25</v>
      </c>
      <c r="H49" s="99">
        <v>12</v>
      </c>
      <c r="I49" s="99">
        <v>79</v>
      </c>
      <c r="J49" s="99">
        <v>471</v>
      </c>
      <c r="K49" s="99">
        <v>14</v>
      </c>
      <c r="L49" s="99">
        <v>1470</v>
      </c>
      <c r="M49" s="99">
        <v>285</v>
      </c>
      <c r="N49" s="99">
        <v>168</v>
      </c>
      <c r="O49" s="99">
        <v>62</v>
      </c>
      <c r="P49" s="159">
        <v>62</v>
      </c>
      <c r="Q49" s="99">
        <v>9</v>
      </c>
      <c r="R49" s="99">
        <v>21</v>
      </c>
      <c r="S49" s="99">
        <v>11</v>
      </c>
      <c r="T49" s="99">
        <v>13</v>
      </c>
      <c r="U49" s="99" t="s">
        <v>594</v>
      </c>
      <c r="V49" s="99">
        <v>7</v>
      </c>
      <c r="W49" s="99">
        <v>72</v>
      </c>
      <c r="X49" s="99">
        <v>24</v>
      </c>
      <c r="Y49" s="99">
        <v>74</v>
      </c>
      <c r="Z49" s="99">
        <v>31</v>
      </c>
      <c r="AA49" s="99" t="s">
        <v>594</v>
      </c>
      <c r="AB49" s="99" t="s">
        <v>594</v>
      </c>
      <c r="AC49" s="99" t="s">
        <v>594</v>
      </c>
      <c r="AD49" s="98" t="s">
        <v>343</v>
      </c>
      <c r="AE49" s="100">
        <v>0.12958604457981449</v>
      </c>
      <c r="AF49" s="100">
        <v>0.13</v>
      </c>
      <c r="AG49" s="98">
        <v>346.1165720614703</v>
      </c>
      <c r="AH49" s="98">
        <v>166.13595458950576</v>
      </c>
      <c r="AI49" s="100">
        <v>0.011000000000000001</v>
      </c>
      <c r="AJ49" s="100">
        <v>0.601533</v>
      </c>
      <c r="AK49" s="100">
        <v>0.7</v>
      </c>
      <c r="AL49" s="100">
        <v>0.756952</v>
      </c>
      <c r="AM49" s="100">
        <v>0.453822</v>
      </c>
      <c r="AN49" s="100">
        <v>0.510638</v>
      </c>
      <c r="AO49" s="98">
        <v>858.3690987124463</v>
      </c>
      <c r="AP49" s="158">
        <v>0.5033340453999999</v>
      </c>
      <c r="AQ49" s="100">
        <v>0.14516129032258066</v>
      </c>
      <c r="AR49" s="100">
        <v>0.42857142857142855</v>
      </c>
      <c r="AS49" s="98">
        <v>152.29129170704692</v>
      </c>
      <c r="AT49" s="98">
        <v>179.98061747196456</v>
      </c>
      <c r="AU49" s="98" t="s">
        <v>594</v>
      </c>
      <c r="AV49" s="98">
        <v>96.91264017721168</v>
      </c>
      <c r="AW49" s="98">
        <v>996.8157275370345</v>
      </c>
      <c r="AX49" s="98">
        <v>332.2719091790115</v>
      </c>
      <c r="AY49" s="98">
        <v>1024.505053301952</v>
      </c>
      <c r="AZ49" s="98">
        <v>429.18454935622316</v>
      </c>
      <c r="BA49" s="100" t="s">
        <v>594</v>
      </c>
      <c r="BB49" s="100" t="s">
        <v>594</v>
      </c>
      <c r="BC49" s="100" t="s">
        <v>594</v>
      </c>
      <c r="BD49" s="158">
        <v>0.3859033585</v>
      </c>
      <c r="BE49" s="158">
        <v>0.6452515411</v>
      </c>
      <c r="BF49" s="162">
        <v>783</v>
      </c>
      <c r="BG49" s="162">
        <v>20</v>
      </c>
      <c r="BH49" s="162">
        <v>1942</v>
      </c>
      <c r="BI49" s="162">
        <v>628</v>
      </c>
      <c r="BJ49" s="162">
        <v>329</v>
      </c>
      <c r="BK49" s="97"/>
      <c r="BL49" s="97"/>
      <c r="BM49" s="97"/>
      <c r="BN49" s="97"/>
    </row>
    <row r="50" spans="1:66" ht="12.75">
      <c r="A50" s="79" t="s">
        <v>534</v>
      </c>
      <c r="B50" s="79" t="s">
        <v>288</v>
      </c>
      <c r="C50" s="79" t="s">
        <v>128</v>
      </c>
      <c r="D50" s="99">
        <v>3014</v>
      </c>
      <c r="E50" s="99">
        <v>544</v>
      </c>
      <c r="F50" s="99" t="s">
        <v>366</v>
      </c>
      <c r="G50" s="99">
        <v>20</v>
      </c>
      <c r="H50" s="99">
        <v>6</v>
      </c>
      <c r="I50" s="99">
        <v>42</v>
      </c>
      <c r="J50" s="99">
        <v>226</v>
      </c>
      <c r="K50" s="99" t="s">
        <v>594</v>
      </c>
      <c r="L50" s="99">
        <v>469</v>
      </c>
      <c r="M50" s="99">
        <v>135</v>
      </c>
      <c r="N50" s="99">
        <v>75</v>
      </c>
      <c r="O50" s="99">
        <v>25</v>
      </c>
      <c r="P50" s="159">
        <v>25</v>
      </c>
      <c r="Q50" s="99" t="s">
        <v>594</v>
      </c>
      <c r="R50" s="99">
        <v>11</v>
      </c>
      <c r="S50" s="99">
        <v>6</v>
      </c>
      <c r="T50" s="99" t="s">
        <v>594</v>
      </c>
      <c r="U50" s="99" t="s">
        <v>594</v>
      </c>
      <c r="V50" s="99">
        <v>6</v>
      </c>
      <c r="W50" s="99">
        <v>45</v>
      </c>
      <c r="X50" s="99">
        <v>16</v>
      </c>
      <c r="Y50" s="99">
        <v>43</v>
      </c>
      <c r="Z50" s="99">
        <v>8</v>
      </c>
      <c r="AA50" s="99" t="s">
        <v>594</v>
      </c>
      <c r="AB50" s="99" t="s">
        <v>594</v>
      </c>
      <c r="AC50" s="99" t="s">
        <v>594</v>
      </c>
      <c r="AD50" s="98" t="s">
        <v>343</v>
      </c>
      <c r="AE50" s="100">
        <v>0.1804910418049104</v>
      </c>
      <c r="AF50" s="100">
        <v>0.15</v>
      </c>
      <c r="AG50" s="98">
        <v>663.5700066357001</v>
      </c>
      <c r="AH50" s="98">
        <v>199.07100199071002</v>
      </c>
      <c r="AI50" s="100">
        <v>0.013999999999999999</v>
      </c>
      <c r="AJ50" s="100">
        <v>0.629526</v>
      </c>
      <c r="AK50" s="100" t="s">
        <v>594</v>
      </c>
      <c r="AL50" s="100">
        <v>0.682678</v>
      </c>
      <c r="AM50" s="100">
        <v>0.477032</v>
      </c>
      <c r="AN50" s="100">
        <v>0.513699</v>
      </c>
      <c r="AO50" s="98">
        <v>829.4625082946251</v>
      </c>
      <c r="AP50" s="158">
        <v>0.4369116592</v>
      </c>
      <c r="AQ50" s="100" t="s">
        <v>594</v>
      </c>
      <c r="AR50" s="100" t="s">
        <v>594</v>
      </c>
      <c r="AS50" s="98">
        <v>199.07100199071002</v>
      </c>
      <c r="AT50" s="98" t="s">
        <v>594</v>
      </c>
      <c r="AU50" s="98" t="s">
        <v>594</v>
      </c>
      <c r="AV50" s="98">
        <v>199.07100199071002</v>
      </c>
      <c r="AW50" s="98">
        <v>1493.032514930325</v>
      </c>
      <c r="AX50" s="98">
        <v>530.85600530856</v>
      </c>
      <c r="AY50" s="98">
        <v>1426.675514266755</v>
      </c>
      <c r="AZ50" s="98">
        <v>265.42800265428</v>
      </c>
      <c r="BA50" s="100" t="s">
        <v>594</v>
      </c>
      <c r="BB50" s="100" t="s">
        <v>594</v>
      </c>
      <c r="BC50" s="100" t="s">
        <v>594</v>
      </c>
      <c r="BD50" s="158">
        <v>0.28274618149999997</v>
      </c>
      <c r="BE50" s="158">
        <v>0.6449678040000001</v>
      </c>
      <c r="BF50" s="162">
        <v>359</v>
      </c>
      <c r="BG50" s="162" t="s">
        <v>594</v>
      </c>
      <c r="BH50" s="162">
        <v>687</v>
      </c>
      <c r="BI50" s="162">
        <v>283</v>
      </c>
      <c r="BJ50" s="162">
        <v>146</v>
      </c>
      <c r="BK50" s="97"/>
      <c r="BL50" s="97"/>
      <c r="BM50" s="97"/>
      <c r="BN50" s="97"/>
    </row>
    <row r="51" spans="1:66" ht="12.75">
      <c r="A51" s="79" t="s">
        <v>530</v>
      </c>
      <c r="B51" s="79" t="s">
        <v>284</v>
      </c>
      <c r="C51" s="79" t="s">
        <v>128</v>
      </c>
      <c r="D51" s="99">
        <v>11397</v>
      </c>
      <c r="E51" s="99">
        <v>2060</v>
      </c>
      <c r="F51" s="99" t="s">
        <v>367</v>
      </c>
      <c r="G51" s="99">
        <v>52</v>
      </c>
      <c r="H51" s="99">
        <v>22</v>
      </c>
      <c r="I51" s="99">
        <v>266</v>
      </c>
      <c r="J51" s="99">
        <v>1188</v>
      </c>
      <c r="K51" s="99">
        <v>15</v>
      </c>
      <c r="L51" s="99">
        <v>2244</v>
      </c>
      <c r="M51" s="99">
        <v>951</v>
      </c>
      <c r="N51" s="99">
        <v>488</v>
      </c>
      <c r="O51" s="99">
        <v>161</v>
      </c>
      <c r="P51" s="159">
        <v>161</v>
      </c>
      <c r="Q51" s="99">
        <v>17</v>
      </c>
      <c r="R51" s="99">
        <v>44</v>
      </c>
      <c r="S51" s="99">
        <v>21</v>
      </c>
      <c r="T51" s="99">
        <v>23</v>
      </c>
      <c r="U51" s="99" t="s">
        <v>594</v>
      </c>
      <c r="V51" s="99">
        <v>28</v>
      </c>
      <c r="W51" s="99">
        <v>123</v>
      </c>
      <c r="X51" s="99">
        <v>15</v>
      </c>
      <c r="Y51" s="99">
        <v>109</v>
      </c>
      <c r="Z51" s="99">
        <v>56</v>
      </c>
      <c r="AA51" s="99" t="s">
        <v>594</v>
      </c>
      <c r="AB51" s="99" t="s">
        <v>594</v>
      </c>
      <c r="AC51" s="99" t="s">
        <v>594</v>
      </c>
      <c r="AD51" s="98" t="s">
        <v>343</v>
      </c>
      <c r="AE51" s="100">
        <v>0.1807493199964903</v>
      </c>
      <c r="AF51" s="100">
        <v>0.08</v>
      </c>
      <c r="AG51" s="98">
        <v>456.2604194086163</v>
      </c>
      <c r="AH51" s="98">
        <v>193.0332543651838</v>
      </c>
      <c r="AI51" s="100">
        <v>0.023</v>
      </c>
      <c r="AJ51" s="100">
        <v>0.701713</v>
      </c>
      <c r="AK51" s="100">
        <v>0.625</v>
      </c>
      <c r="AL51" s="100">
        <v>0.761711</v>
      </c>
      <c r="AM51" s="100">
        <v>0.595492</v>
      </c>
      <c r="AN51" s="100">
        <v>0.62484</v>
      </c>
      <c r="AO51" s="98">
        <v>1412.6524523997543</v>
      </c>
      <c r="AP51" s="158">
        <v>0.6988426208</v>
      </c>
      <c r="AQ51" s="100">
        <v>0.10559006211180125</v>
      </c>
      <c r="AR51" s="100">
        <v>0.38636363636363635</v>
      </c>
      <c r="AS51" s="98">
        <v>184.25901553040273</v>
      </c>
      <c r="AT51" s="98">
        <v>201.8074931999649</v>
      </c>
      <c r="AU51" s="98" t="s">
        <v>594</v>
      </c>
      <c r="AV51" s="98">
        <v>245.6786873738703</v>
      </c>
      <c r="AW51" s="98">
        <v>1079.2313766780733</v>
      </c>
      <c r="AX51" s="98">
        <v>131.61358252171624</v>
      </c>
      <c r="AY51" s="98">
        <v>956.392032991138</v>
      </c>
      <c r="AZ51" s="98">
        <v>491.3573747477406</v>
      </c>
      <c r="BA51" s="100" t="s">
        <v>594</v>
      </c>
      <c r="BB51" s="100" t="s">
        <v>594</v>
      </c>
      <c r="BC51" s="100" t="s">
        <v>594</v>
      </c>
      <c r="BD51" s="158">
        <v>0.5950627898999999</v>
      </c>
      <c r="BE51" s="158">
        <v>0.8155168152000001</v>
      </c>
      <c r="BF51" s="162">
        <v>1693</v>
      </c>
      <c r="BG51" s="162">
        <v>24</v>
      </c>
      <c r="BH51" s="162">
        <v>2946</v>
      </c>
      <c r="BI51" s="162">
        <v>1597</v>
      </c>
      <c r="BJ51" s="162">
        <v>781</v>
      </c>
      <c r="BK51" s="97"/>
      <c r="BL51" s="97"/>
      <c r="BM51" s="97"/>
      <c r="BN51" s="97"/>
    </row>
    <row r="52" spans="1:66" ht="12.75">
      <c r="A52" s="79" t="s">
        <v>556</v>
      </c>
      <c r="B52" s="79" t="s">
        <v>310</v>
      </c>
      <c r="C52" s="79" t="s">
        <v>128</v>
      </c>
      <c r="D52" s="99">
        <v>3284</v>
      </c>
      <c r="E52" s="99">
        <v>617</v>
      </c>
      <c r="F52" s="99" t="s">
        <v>366</v>
      </c>
      <c r="G52" s="99">
        <v>19</v>
      </c>
      <c r="H52" s="99">
        <v>25</v>
      </c>
      <c r="I52" s="99">
        <v>85</v>
      </c>
      <c r="J52" s="99">
        <v>206</v>
      </c>
      <c r="K52" s="99">
        <v>203</v>
      </c>
      <c r="L52" s="99">
        <v>574</v>
      </c>
      <c r="M52" s="99">
        <v>124</v>
      </c>
      <c r="N52" s="99">
        <v>66</v>
      </c>
      <c r="O52" s="99">
        <v>51</v>
      </c>
      <c r="P52" s="159">
        <v>51</v>
      </c>
      <c r="Q52" s="99">
        <v>10</v>
      </c>
      <c r="R52" s="99">
        <v>17</v>
      </c>
      <c r="S52" s="99">
        <v>9</v>
      </c>
      <c r="T52" s="99">
        <v>6</v>
      </c>
      <c r="U52" s="99" t="s">
        <v>594</v>
      </c>
      <c r="V52" s="99">
        <v>6</v>
      </c>
      <c r="W52" s="99">
        <v>37</v>
      </c>
      <c r="X52" s="99" t="s">
        <v>594</v>
      </c>
      <c r="Y52" s="99">
        <v>46</v>
      </c>
      <c r="Z52" s="99">
        <v>20</v>
      </c>
      <c r="AA52" s="99" t="s">
        <v>594</v>
      </c>
      <c r="AB52" s="99" t="s">
        <v>594</v>
      </c>
      <c r="AC52" s="99" t="s">
        <v>594</v>
      </c>
      <c r="AD52" s="98" t="s">
        <v>343</v>
      </c>
      <c r="AE52" s="100">
        <v>0.18788063337393424</v>
      </c>
      <c r="AF52" s="100">
        <v>0.16</v>
      </c>
      <c r="AG52" s="98">
        <v>578.5627283800244</v>
      </c>
      <c r="AH52" s="98">
        <v>761.2667478684531</v>
      </c>
      <c r="AI52" s="100">
        <v>0.026000000000000002</v>
      </c>
      <c r="AJ52" s="100">
        <v>0.590258</v>
      </c>
      <c r="AK52" s="100">
        <v>0.60597</v>
      </c>
      <c r="AL52" s="100">
        <v>0.716604</v>
      </c>
      <c r="AM52" s="100">
        <v>0.383901</v>
      </c>
      <c r="AN52" s="100">
        <v>0.404908</v>
      </c>
      <c r="AO52" s="98">
        <v>1552.9841656516444</v>
      </c>
      <c r="AP52" s="158">
        <v>0.7960305786</v>
      </c>
      <c r="AQ52" s="100">
        <v>0.19607843137254902</v>
      </c>
      <c r="AR52" s="100">
        <v>0.5882352941176471</v>
      </c>
      <c r="AS52" s="98">
        <v>274.05602923264314</v>
      </c>
      <c r="AT52" s="98">
        <v>182.70401948842874</v>
      </c>
      <c r="AU52" s="98" t="s">
        <v>594</v>
      </c>
      <c r="AV52" s="98">
        <v>182.70401948842874</v>
      </c>
      <c r="AW52" s="98">
        <v>1126.6747868453106</v>
      </c>
      <c r="AX52" s="98" t="s">
        <v>594</v>
      </c>
      <c r="AY52" s="98">
        <v>1400.7308160779537</v>
      </c>
      <c r="AZ52" s="98">
        <v>609.0133982947625</v>
      </c>
      <c r="BA52" s="100" t="s">
        <v>594</v>
      </c>
      <c r="BB52" s="100" t="s">
        <v>594</v>
      </c>
      <c r="BC52" s="100" t="s">
        <v>594</v>
      </c>
      <c r="BD52" s="158">
        <v>0.5926970291</v>
      </c>
      <c r="BE52" s="158">
        <v>1.046633148</v>
      </c>
      <c r="BF52" s="162">
        <v>349</v>
      </c>
      <c r="BG52" s="162">
        <v>335</v>
      </c>
      <c r="BH52" s="162">
        <v>801</v>
      </c>
      <c r="BI52" s="162">
        <v>323</v>
      </c>
      <c r="BJ52" s="162">
        <v>163</v>
      </c>
      <c r="BK52" s="97"/>
      <c r="BL52" s="97"/>
      <c r="BM52" s="97"/>
      <c r="BN52" s="97"/>
    </row>
    <row r="53" spans="1:66" ht="12.75">
      <c r="A53" s="79" t="s">
        <v>570</v>
      </c>
      <c r="B53" s="79" t="s">
        <v>324</v>
      </c>
      <c r="C53" s="79" t="s">
        <v>128</v>
      </c>
      <c r="D53" s="99">
        <v>5742</v>
      </c>
      <c r="E53" s="99">
        <v>886</v>
      </c>
      <c r="F53" s="99" t="s">
        <v>365</v>
      </c>
      <c r="G53" s="99">
        <v>25</v>
      </c>
      <c r="H53" s="99">
        <v>11</v>
      </c>
      <c r="I53" s="99">
        <v>111</v>
      </c>
      <c r="J53" s="99">
        <v>490</v>
      </c>
      <c r="K53" s="99">
        <v>484</v>
      </c>
      <c r="L53" s="99">
        <v>1206</v>
      </c>
      <c r="M53" s="99">
        <v>292</v>
      </c>
      <c r="N53" s="99">
        <v>149</v>
      </c>
      <c r="O53" s="99">
        <v>49</v>
      </c>
      <c r="P53" s="159">
        <v>49</v>
      </c>
      <c r="Q53" s="99" t="s">
        <v>594</v>
      </c>
      <c r="R53" s="99">
        <v>21</v>
      </c>
      <c r="S53" s="99">
        <v>10</v>
      </c>
      <c r="T53" s="99">
        <v>8</v>
      </c>
      <c r="U53" s="99" t="s">
        <v>594</v>
      </c>
      <c r="V53" s="99">
        <v>9</v>
      </c>
      <c r="W53" s="99">
        <v>47</v>
      </c>
      <c r="X53" s="99">
        <v>13</v>
      </c>
      <c r="Y53" s="99">
        <v>61</v>
      </c>
      <c r="Z53" s="99">
        <v>18</v>
      </c>
      <c r="AA53" s="99" t="s">
        <v>594</v>
      </c>
      <c r="AB53" s="99" t="s">
        <v>594</v>
      </c>
      <c r="AC53" s="99" t="s">
        <v>594</v>
      </c>
      <c r="AD53" s="98" t="s">
        <v>343</v>
      </c>
      <c r="AE53" s="100">
        <v>0.15430163706025776</v>
      </c>
      <c r="AF53" s="100">
        <v>0.1</v>
      </c>
      <c r="AG53" s="98">
        <v>435.3883664228492</v>
      </c>
      <c r="AH53" s="98">
        <v>191.57088122605364</v>
      </c>
      <c r="AI53" s="100">
        <v>0.019</v>
      </c>
      <c r="AJ53" s="100">
        <v>0.734633</v>
      </c>
      <c r="AK53" s="100">
        <v>0.750388</v>
      </c>
      <c r="AL53" s="100">
        <v>0.770607</v>
      </c>
      <c r="AM53" s="100">
        <v>0.53578</v>
      </c>
      <c r="AN53" s="100">
        <v>0.56015</v>
      </c>
      <c r="AO53" s="98">
        <v>853.3611981887844</v>
      </c>
      <c r="AP53" s="158">
        <v>0.46391227720000006</v>
      </c>
      <c r="AQ53" s="100" t="s">
        <v>594</v>
      </c>
      <c r="AR53" s="100" t="s">
        <v>594</v>
      </c>
      <c r="AS53" s="98">
        <v>174.15534656913968</v>
      </c>
      <c r="AT53" s="98">
        <v>139.32427725531173</v>
      </c>
      <c r="AU53" s="98" t="s">
        <v>594</v>
      </c>
      <c r="AV53" s="98">
        <v>156.73981191222572</v>
      </c>
      <c r="AW53" s="98">
        <v>818.5301288749565</v>
      </c>
      <c r="AX53" s="98">
        <v>226.40195053988157</v>
      </c>
      <c r="AY53" s="98">
        <v>1062.347614071752</v>
      </c>
      <c r="AZ53" s="98">
        <v>313.47962382445144</v>
      </c>
      <c r="BA53" s="100" t="s">
        <v>594</v>
      </c>
      <c r="BB53" s="100" t="s">
        <v>594</v>
      </c>
      <c r="BC53" s="100" t="s">
        <v>594</v>
      </c>
      <c r="BD53" s="158">
        <v>0.34320487980000003</v>
      </c>
      <c r="BE53" s="158">
        <v>0.6133166503999999</v>
      </c>
      <c r="BF53" s="162">
        <v>667</v>
      </c>
      <c r="BG53" s="162">
        <v>645</v>
      </c>
      <c r="BH53" s="162">
        <v>1565</v>
      </c>
      <c r="BI53" s="162">
        <v>545</v>
      </c>
      <c r="BJ53" s="162">
        <v>266</v>
      </c>
      <c r="BK53" s="97"/>
      <c r="BL53" s="97"/>
      <c r="BM53" s="97"/>
      <c r="BN53" s="97"/>
    </row>
    <row r="54" spans="1:66" ht="12.75">
      <c r="A54" s="79" t="s">
        <v>558</v>
      </c>
      <c r="B54" s="79" t="s">
        <v>312</v>
      </c>
      <c r="C54" s="79" t="s">
        <v>128</v>
      </c>
      <c r="D54" s="99">
        <v>7971</v>
      </c>
      <c r="E54" s="99">
        <v>669</v>
      </c>
      <c r="F54" s="99" t="s">
        <v>364</v>
      </c>
      <c r="G54" s="99">
        <v>21</v>
      </c>
      <c r="H54" s="99">
        <v>9</v>
      </c>
      <c r="I54" s="99">
        <v>82</v>
      </c>
      <c r="J54" s="99">
        <v>348</v>
      </c>
      <c r="K54" s="99">
        <v>17</v>
      </c>
      <c r="L54" s="99">
        <v>1388</v>
      </c>
      <c r="M54" s="99">
        <v>174</v>
      </c>
      <c r="N54" s="99">
        <v>87</v>
      </c>
      <c r="O54" s="99">
        <v>87</v>
      </c>
      <c r="P54" s="159">
        <v>87</v>
      </c>
      <c r="Q54" s="99">
        <v>8</v>
      </c>
      <c r="R54" s="99">
        <v>21</v>
      </c>
      <c r="S54" s="99">
        <v>15</v>
      </c>
      <c r="T54" s="99">
        <v>17</v>
      </c>
      <c r="U54" s="99" t="s">
        <v>594</v>
      </c>
      <c r="V54" s="99" t="s">
        <v>594</v>
      </c>
      <c r="W54" s="99">
        <v>61</v>
      </c>
      <c r="X54" s="99">
        <v>13</v>
      </c>
      <c r="Y54" s="99">
        <v>81</v>
      </c>
      <c r="Z54" s="99">
        <v>15</v>
      </c>
      <c r="AA54" s="99" t="s">
        <v>594</v>
      </c>
      <c r="AB54" s="99" t="s">
        <v>594</v>
      </c>
      <c r="AC54" s="99" t="s">
        <v>594</v>
      </c>
      <c r="AD54" s="98" t="s">
        <v>343</v>
      </c>
      <c r="AE54" s="100">
        <v>0.08392924350771547</v>
      </c>
      <c r="AF54" s="100">
        <v>0.26</v>
      </c>
      <c r="AG54" s="98">
        <v>263.45502446368084</v>
      </c>
      <c r="AH54" s="98">
        <v>112.90929619872036</v>
      </c>
      <c r="AI54" s="100">
        <v>0.01</v>
      </c>
      <c r="AJ54" s="100">
        <v>0.571429</v>
      </c>
      <c r="AK54" s="100">
        <v>0.485714</v>
      </c>
      <c r="AL54" s="100">
        <v>0.650117</v>
      </c>
      <c r="AM54" s="100">
        <v>0.391892</v>
      </c>
      <c r="AN54" s="100">
        <v>0.414286</v>
      </c>
      <c r="AO54" s="98">
        <v>1091.4565299209635</v>
      </c>
      <c r="AP54" s="158">
        <v>0.8009663390999999</v>
      </c>
      <c r="AQ54" s="100">
        <v>0.09195402298850575</v>
      </c>
      <c r="AR54" s="100">
        <v>0.38095238095238093</v>
      </c>
      <c r="AS54" s="98">
        <v>188.1821603312006</v>
      </c>
      <c r="AT54" s="98">
        <v>213.27311504202734</v>
      </c>
      <c r="AU54" s="98" t="s">
        <v>594</v>
      </c>
      <c r="AV54" s="98" t="s">
        <v>594</v>
      </c>
      <c r="AW54" s="98">
        <v>765.2741186802158</v>
      </c>
      <c r="AX54" s="98">
        <v>163.09120562037384</v>
      </c>
      <c r="AY54" s="98">
        <v>1016.1836657884833</v>
      </c>
      <c r="AZ54" s="98">
        <v>188.1821603312006</v>
      </c>
      <c r="BA54" s="100" t="s">
        <v>594</v>
      </c>
      <c r="BB54" s="100" t="s">
        <v>594</v>
      </c>
      <c r="BC54" s="100" t="s">
        <v>594</v>
      </c>
      <c r="BD54" s="158">
        <v>0.6415411377</v>
      </c>
      <c r="BE54" s="158">
        <v>0.9879889679</v>
      </c>
      <c r="BF54" s="162">
        <v>609</v>
      </c>
      <c r="BG54" s="162">
        <v>35</v>
      </c>
      <c r="BH54" s="162">
        <v>2135</v>
      </c>
      <c r="BI54" s="162">
        <v>444</v>
      </c>
      <c r="BJ54" s="162">
        <v>210</v>
      </c>
      <c r="BK54" s="97"/>
      <c r="BL54" s="97"/>
      <c r="BM54" s="97"/>
      <c r="BN54" s="97"/>
    </row>
    <row r="55" spans="1:66" ht="12.75">
      <c r="A55" s="79" t="s">
        <v>550</v>
      </c>
      <c r="B55" s="79" t="s">
        <v>304</v>
      </c>
      <c r="C55" s="79" t="s">
        <v>128</v>
      </c>
      <c r="D55" s="99">
        <v>15019</v>
      </c>
      <c r="E55" s="99">
        <v>2316</v>
      </c>
      <c r="F55" s="99" t="s">
        <v>367</v>
      </c>
      <c r="G55" s="99">
        <v>49</v>
      </c>
      <c r="H55" s="99">
        <v>45</v>
      </c>
      <c r="I55" s="99">
        <v>213</v>
      </c>
      <c r="J55" s="99">
        <v>1506</v>
      </c>
      <c r="K55" s="99">
        <v>1315</v>
      </c>
      <c r="L55" s="99">
        <v>2940</v>
      </c>
      <c r="M55" s="99">
        <v>1011</v>
      </c>
      <c r="N55" s="99">
        <v>518</v>
      </c>
      <c r="O55" s="99">
        <v>258</v>
      </c>
      <c r="P55" s="159">
        <v>258</v>
      </c>
      <c r="Q55" s="99">
        <v>24</v>
      </c>
      <c r="R55" s="99">
        <v>58</v>
      </c>
      <c r="S55" s="99">
        <v>48</v>
      </c>
      <c r="T55" s="99">
        <v>28</v>
      </c>
      <c r="U55" s="99">
        <v>6</v>
      </c>
      <c r="V55" s="99">
        <v>59</v>
      </c>
      <c r="W55" s="99">
        <v>168</v>
      </c>
      <c r="X55" s="99">
        <v>43</v>
      </c>
      <c r="Y55" s="99">
        <v>168</v>
      </c>
      <c r="Z55" s="99">
        <v>98</v>
      </c>
      <c r="AA55" s="99" t="s">
        <v>594</v>
      </c>
      <c r="AB55" s="99" t="s">
        <v>594</v>
      </c>
      <c r="AC55" s="99" t="s">
        <v>594</v>
      </c>
      <c r="AD55" s="98" t="s">
        <v>343</v>
      </c>
      <c r="AE55" s="100">
        <v>0.1542046740794993</v>
      </c>
      <c r="AF55" s="100">
        <v>0.08</v>
      </c>
      <c r="AG55" s="98">
        <v>326.2534123443638</v>
      </c>
      <c r="AH55" s="98">
        <v>299.62048072441576</v>
      </c>
      <c r="AI55" s="100">
        <v>0.013999999999999999</v>
      </c>
      <c r="AJ55" s="100">
        <v>0.741507</v>
      </c>
      <c r="AK55" s="100">
        <v>0.669552</v>
      </c>
      <c r="AL55" s="100">
        <v>0.743927</v>
      </c>
      <c r="AM55" s="100">
        <v>0.568616</v>
      </c>
      <c r="AN55" s="100">
        <v>0.569231</v>
      </c>
      <c r="AO55" s="98">
        <v>1717.8240894866503</v>
      </c>
      <c r="AP55" s="158">
        <v>0.9121630859</v>
      </c>
      <c r="AQ55" s="100">
        <v>0.09302325581395349</v>
      </c>
      <c r="AR55" s="100">
        <v>0.41379310344827586</v>
      </c>
      <c r="AS55" s="98">
        <v>319.5951794393768</v>
      </c>
      <c r="AT55" s="98">
        <v>186.43052133963647</v>
      </c>
      <c r="AU55" s="98">
        <v>39.9493974299221</v>
      </c>
      <c r="AV55" s="98">
        <v>392.835741394234</v>
      </c>
      <c r="AW55" s="98">
        <v>1118.5831280378188</v>
      </c>
      <c r="AX55" s="98">
        <v>286.3040149144417</v>
      </c>
      <c r="AY55" s="98">
        <v>1118.5831280378188</v>
      </c>
      <c r="AZ55" s="98">
        <v>652.5068246887276</v>
      </c>
      <c r="BA55" s="100" t="s">
        <v>594</v>
      </c>
      <c r="BB55" s="100" t="s">
        <v>594</v>
      </c>
      <c r="BC55" s="100" t="s">
        <v>594</v>
      </c>
      <c r="BD55" s="158">
        <v>0.8042446899</v>
      </c>
      <c r="BE55" s="158">
        <v>1.0305281069999999</v>
      </c>
      <c r="BF55" s="162">
        <v>2031</v>
      </c>
      <c r="BG55" s="162">
        <v>1964</v>
      </c>
      <c r="BH55" s="162">
        <v>3952</v>
      </c>
      <c r="BI55" s="162">
        <v>1778</v>
      </c>
      <c r="BJ55" s="162">
        <v>910</v>
      </c>
      <c r="BK55" s="97"/>
      <c r="BL55" s="97"/>
      <c r="BM55" s="97"/>
      <c r="BN55" s="97"/>
    </row>
    <row r="56" spans="1:66" ht="12.75">
      <c r="A56" s="79" t="s">
        <v>548</v>
      </c>
      <c r="B56" s="79" t="s">
        <v>302</v>
      </c>
      <c r="C56" s="79" t="s">
        <v>128</v>
      </c>
      <c r="D56" s="99">
        <v>7478</v>
      </c>
      <c r="E56" s="99">
        <v>875</v>
      </c>
      <c r="F56" s="99" t="s">
        <v>363</v>
      </c>
      <c r="G56" s="99">
        <v>18</v>
      </c>
      <c r="H56" s="99">
        <v>10</v>
      </c>
      <c r="I56" s="99">
        <v>88</v>
      </c>
      <c r="J56" s="99">
        <v>443</v>
      </c>
      <c r="K56" s="99">
        <v>10</v>
      </c>
      <c r="L56" s="99">
        <v>1485</v>
      </c>
      <c r="M56" s="99">
        <v>223</v>
      </c>
      <c r="N56" s="99">
        <v>118</v>
      </c>
      <c r="O56" s="99">
        <v>122</v>
      </c>
      <c r="P56" s="159">
        <v>122</v>
      </c>
      <c r="Q56" s="99">
        <v>7</v>
      </c>
      <c r="R56" s="99">
        <v>21</v>
      </c>
      <c r="S56" s="99">
        <v>16</v>
      </c>
      <c r="T56" s="99">
        <v>18</v>
      </c>
      <c r="U56" s="99" t="s">
        <v>594</v>
      </c>
      <c r="V56" s="99">
        <v>6</v>
      </c>
      <c r="W56" s="99">
        <v>60</v>
      </c>
      <c r="X56" s="99">
        <v>12</v>
      </c>
      <c r="Y56" s="99">
        <v>100</v>
      </c>
      <c r="Z56" s="99">
        <v>36</v>
      </c>
      <c r="AA56" s="99" t="s">
        <v>594</v>
      </c>
      <c r="AB56" s="99" t="s">
        <v>594</v>
      </c>
      <c r="AC56" s="99" t="s">
        <v>594</v>
      </c>
      <c r="AD56" s="98" t="s">
        <v>343</v>
      </c>
      <c r="AE56" s="100">
        <v>0.11700989569403585</v>
      </c>
      <c r="AF56" s="100">
        <v>0.22</v>
      </c>
      <c r="AG56" s="98">
        <v>240.70607114201658</v>
      </c>
      <c r="AH56" s="98">
        <v>133.7255950788981</v>
      </c>
      <c r="AI56" s="100">
        <v>0.012</v>
      </c>
      <c r="AJ56" s="100">
        <v>0.574578</v>
      </c>
      <c r="AK56" s="100">
        <v>0.555556</v>
      </c>
      <c r="AL56" s="100">
        <v>0.763104</v>
      </c>
      <c r="AM56" s="100">
        <v>0.393298</v>
      </c>
      <c r="AN56" s="100">
        <v>0.397306</v>
      </c>
      <c r="AO56" s="98">
        <v>1631.4522599625568</v>
      </c>
      <c r="AP56" s="158">
        <v>1.019500732</v>
      </c>
      <c r="AQ56" s="100">
        <v>0.05737704918032787</v>
      </c>
      <c r="AR56" s="100">
        <v>0.3333333333333333</v>
      </c>
      <c r="AS56" s="98">
        <v>213.96095212623698</v>
      </c>
      <c r="AT56" s="98">
        <v>240.70607114201658</v>
      </c>
      <c r="AU56" s="98" t="s">
        <v>594</v>
      </c>
      <c r="AV56" s="98">
        <v>80.23535704733887</v>
      </c>
      <c r="AW56" s="98">
        <v>802.3535704733886</v>
      </c>
      <c r="AX56" s="98">
        <v>160.47071409467773</v>
      </c>
      <c r="AY56" s="98">
        <v>1337.255950788981</v>
      </c>
      <c r="AZ56" s="98">
        <v>481.41214228403317</v>
      </c>
      <c r="BA56" s="100" t="s">
        <v>594</v>
      </c>
      <c r="BB56" s="100" t="s">
        <v>594</v>
      </c>
      <c r="BC56" s="100" t="s">
        <v>594</v>
      </c>
      <c r="BD56" s="158">
        <v>0.8466337584999999</v>
      </c>
      <c r="BE56" s="158">
        <v>1.217285309</v>
      </c>
      <c r="BF56" s="162">
        <v>771</v>
      </c>
      <c r="BG56" s="162">
        <v>18</v>
      </c>
      <c r="BH56" s="162">
        <v>1946</v>
      </c>
      <c r="BI56" s="162">
        <v>567</v>
      </c>
      <c r="BJ56" s="162">
        <v>297</v>
      </c>
      <c r="BK56" s="97"/>
      <c r="BL56" s="97"/>
      <c r="BM56" s="97"/>
      <c r="BN56" s="97"/>
    </row>
    <row r="57" spans="1:66" ht="12.75">
      <c r="A57" s="79" t="s">
        <v>571</v>
      </c>
      <c r="B57" s="79" t="s">
        <v>325</v>
      </c>
      <c r="C57" s="79" t="s">
        <v>128</v>
      </c>
      <c r="D57" s="99">
        <v>4923</v>
      </c>
      <c r="E57" s="99">
        <v>316</v>
      </c>
      <c r="F57" s="99" t="s">
        <v>363</v>
      </c>
      <c r="G57" s="99">
        <v>9</v>
      </c>
      <c r="H57" s="99" t="s">
        <v>594</v>
      </c>
      <c r="I57" s="99">
        <v>28</v>
      </c>
      <c r="J57" s="99">
        <v>201</v>
      </c>
      <c r="K57" s="99">
        <v>149</v>
      </c>
      <c r="L57" s="99">
        <v>881</v>
      </c>
      <c r="M57" s="99">
        <v>71</v>
      </c>
      <c r="N57" s="99">
        <v>35</v>
      </c>
      <c r="O57" s="99">
        <v>52</v>
      </c>
      <c r="P57" s="159">
        <v>52</v>
      </c>
      <c r="Q57" s="99" t="s">
        <v>594</v>
      </c>
      <c r="R57" s="99">
        <v>13</v>
      </c>
      <c r="S57" s="99">
        <v>13</v>
      </c>
      <c r="T57" s="99" t="s">
        <v>594</v>
      </c>
      <c r="U57" s="99" t="s">
        <v>594</v>
      </c>
      <c r="V57" s="99" t="s">
        <v>594</v>
      </c>
      <c r="W57" s="99">
        <v>29</v>
      </c>
      <c r="X57" s="99">
        <v>12</v>
      </c>
      <c r="Y57" s="99">
        <v>56</v>
      </c>
      <c r="Z57" s="99">
        <v>15</v>
      </c>
      <c r="AA57" s="99" t="s">
        <v>594</v>
      </c>
      <c r="AB57" s="99" t="s">
        <v>594</v>
      </c>
      <c r="AC57" s="99" t="s">
        <v>594</v>
      </c>
      <c r="AD57" s="98" t="s">
        <v>343</v>
      </c>
      <c r="AE57" s="100">
        <v>0.06418850294535852</v>
      </c>
      <c r="AF57" s="100">
        <v>0.21</v>
      </c>
      <c r="AG57" s="98">
        <v>182.81535648994515</v>
      </c>
      <c r="AH57" s="98" t="s">
        <v>594</v>
      </c>
      <c r="AI57" s="100">
        <v>0.006</v>
      </c>
      <c r="AJ57" s="100">
        <v>0.574286</v>
      </c>
      <c r="AK57" s="100">
        <v>0.486928</v>
      </c>
      <c r="AL57" s="100">
        <v>0.685603</v>
      </c>
      <c r="AM57" s="100">
        <v>0.279528</v>
      </c>
      <c r="AN57" s="100">
        <v>0.265152</v>
      </c>
      <c r="AO57" s="98">
        <v>1056.2665041641276</v>
      </c>
      <c r="AP57" s="158">
        <v>0.8533065033</v>
      </c>
      <c r="AQ57" s="100" t="s">
        <v>594</v>
      </c>
      <c r="AR57" s="100" t="s">
        <v>594</v>
      </c>
      <c r="AS57" s="98">
        <v>264.0666260410319</v>
      </c>
      <c r="AT57" s="98" t="s">
        <v>594</v>
      </c>
      <c r="AU57" s="98" t="s">
        <v>594</v>
      </c>
      <c r="AV57" s="98" t="s">
        <v>594</v>
      </c>
      <c r="AW57" s="98">
        <v>589.0717042453788</v>
      </c>
      <c r="AX57" s="98">
        <v>243.7538086532602</v>
      </c>
      <c r="AY57" s="98">
        <v>1137.5177737152144</v>
      </c>
      <c r="AZ57" s="98">
        <v>304.69226081657524</v>
      </c>
      <c r="BA57" s="100" t="s">
        <v>594</v>
      </c>
      <c r="BB57" s="100" t="s">
        <v>594</v>
      </c>
      <c r="BC57" s="100" t="s">
        <v>594</v>
      </c>
      <c r="BD57" s="158">
        <v>0.6372900772</v>
      </c>
      <c r="BE57" s="158">
        <v>1.1189978790000001</v>
      </c>
      <c r="BF57" s="162">
        <v>350</v>
      </c>
      <c r="BG57" s="162">
        <v>306</v>
      </c>
      <c r="BH57" s="162">
        <v>1285</v>
      </c>
      <c r="BI57" s="162">
        <v>254</v>
      </c>
      <c r="BJ57" s="162">
        <v>132</v>
      </c>
      <c r="BK57" s="97"/>
      <c r="BL57" s="97"/>
      <c r="BM57" s="97"/>
      <c r="BN57" s="97"/>
    </row>
    <row r="58" spans="1:66" ht="12.75">
      <c r="A58" s="79" t="s">
        <v>531</v>
      </c>
      <c r="B58" s="79" t="s">
        <v>285</v>
      </c>
      <c r="C58" s="79" t="s">
        <v>128</v>
      </c>
      <c r="D58" s="99">
        <v>10151</v>
      </c>
      <c r="E58" s="99">
        <v>714</v>
      </c>
      <c r="F58" s="99" t="s">
        <v>363</v>
      </c>
      <c r="G58" s="99">
        <v>18</v>
      </c>
      <c r="H58" s="99">
        <v>7</v>
      </c>
      <c r="I58" s="99">
        <v>89</v>
      </c>
      <c r="J58" s="99">
        <v>374</v>
      </c>
      <c r="K58" s="99">
        <v>28</v>
      </c>
      <c r="L58" s="99">
        <v>2240</v>
      </c>
      <c r="M58" s="99">
        <v>220</v>
      </c>
      <c r="N58" s="99">
        <v>129</v>
      </c>
      <c r="O58" s="99">
        <v>71</v>
      </c>
      <c r="P58" s="159">
        <v>71</v>
      </c>
      <c r="Q58" s="99">
        <v>8</v>
      </c>
      <c r="R58" s="99">
        <v>25</v>
      </c>
      <c r="S58" s="99">
        <v>11</v>
      </c>
      <c r="T58" s="99" t="s">
        <v>594</v>
      </c>
      <c r="U58" s="99" t="s">
        <v>594</v>
      </c>
      <c r="V58" s="99">
        <v>18</v>
      </c>
      <c r="W58" s="99">
        <v>79</v>
      </c>
      <c r="X58" s="99">
        <v>23</v>
      </c>
      <c r="Y58" s="99">
        <v>73</v>
      </c>
      <c r="Z58" s="99">
        <v>37</v>
      </c>
      <c r="AA58" s="99" t="s">
        <v>594</v>
      </c>
      <c r="AB58" s="99" t="s">
        <v>594</v>
      </c>
      <c r="AC58" s="99" t="s">
        <v>594</v>
      </c>
      <c r="AD58" s="98" t="s">
        <v>343</v>
      </c>
      <c r="AE58" s="100">
        <v>0.07033789774406463</v>
      </c>
      <c r="AF58" s="100">
        <v>0.19</v>
      </c>
      <c r="AG58" s="98">
        <v>177.32243128755786</v>
      </c>
      <c r="AH58" s="98">
        <v>68.95872327849473</v>
      </c>
      <c r="AI58" s="100">
        <v>0.009000000000000001</v>
      </c>
      <c r="AJ58" s="100">
        <v>0.521618</v>
      </c>
      <c r="AK58" s="100">
        <v>0.466667</v>
      </c>
      <c r="AL58" s="100">
        <v>0.707741</v>
      </c>
      <c r="AM58" s="100">
        <v>0.4</v>
      </c>
      <c r="AN58" s="100">
        <v>0.447917</v>
      </c>
      <c r="AO58" s="98">
        <v>699.4384789675894</v>
      </c>
      <c r="AP58" s="158">
        <v>0.5043408585</v>
      </c>
      <c r="AQ58" s="100">
        <v>0.11267605633802817</v>
      </c>
      <c r="AR58" s="100">
        <v>0.32</v>
      </c>
      <c r="AS58" s="98">
        <v>108.36370800906315</v>
      </c>
      <c r="AT58" s="98" t="s">
        <v>594</v>
      </c>
      <c r="AU58" s="98" t="s">
        <v>594</v>
      </c>
      <c r="AV58" s="98">
        <v>177.32243128755786</v>
      </c>
      <c r="AW58" s="98">
        <v>778.2484484287262</v>
      </c>
      <c r="AX58" s="98">
        <v>226.5786622007684</v>
      </c>
      <c r="AY58" s="98">
        <v>719.1409713328736</v>
      </c>
      <c r="AZ58" s="98">
        <v>364.49610875775784</v>
      </c>
      <c r="BA58" s="101" t="s">
        <v>594</v>
      </c>
      <c r="BB58" s="101" t="s">
        <v>594</v>
      </c>
      <c r="BC58" s="101" t="s">
        <v>594</v>
      </c>
      <c r="BD58" s="158">
        <v>0.3938943863</v>
      </c>
      <c r="BE58" s="158">
        <v>0.636157341</v>
      </c>
      <c r="BF58" s="162">
        <v>717</v>
      </c>
      <c r="BG58" s="162">
        <v>60</v>
      </c>
      <c r="BH58" s="162">
        <v>3165</v>
      </c>
      <c r="BI58" s="162">
        <v>550</v>
      </c>
      <c r="BJ58" s="162">
        <v>288</v>
      </c>
      <c r="BK58" s="97"/>
      <c r="BL58" s="97"/>
      <c r="BM58" s="97"/>
      <c r="BN58" s="97"/>
    </row>
    <row r="59" spans="1:66" ht="12.75">
      <c r="A59" s="79" t="s">
        <v>585</v>
      </c>
      <c r="B59" s="79" t="s">
        <v>340</v>
      </c>
      <c r="C59" s="79" t="s">
        <v>128</v>
      </c>
      <c r="D59" s="99">
        <v>1322</v>
      </c>
      <c r="E59" s="99">
        <v>18</v>
      </c>
      <c r="F59" s="99" t="s">
        <v>363</v>
      </c>
      <c r="G59" s="99" t="s">
        <v>594</v>
      </c>
      <c r="H59" s="99" t="s">
        <v>594</v>
      </c>
      <c r="I59" s="99">
        <v>2</v>
      </c>
      <c r="J59" s="99">
        <v>19</v>
      </c>
      <c r="K59" s="99">
        <v>9</v>
      </c>
      <c r="L59" s="99">
        <v>295</v>
      </c>
      <c r="M59" s="99">
        <v>8</v>
      </c>
      <c r="N59" s="99" t="s">
        <v>594</v>
      </c>
      <c r="O59" s="99" t="s">
        <v>594</v>
      </c>
      <c r="P59" s="159" t="s">
        <v>594</v>
      </c>
      <c r="Q59" s="99" t="s">
        <v>594</v>
      </c>
      <c r="R59" s="99" t="s">
        <v>594</v>
      </c>
      <c r="S59" s="99" t="s">
        <v>594</v>
      </c>
      <c r="T59" s="99" t="s">
        <v>594</v>
      </c>
      <c r="U59" s="99" t="s">
        <v>594</v>
      </c>
      <c r="V59" s="99" t="s">
        <v>594</v>
      </c>
      <c r="W59" s="99" t="s">
        <v>594</v>
      </c>
      <c r="X59" s="99" t="s">
        <v>594</v>
      </c>
      <c r="Y59" s="99">
        <v>7</v>
      </c>
      <c r="Z59" s="99" t="s">
        <v>594</v>
      </c>
      <c r="AA59" s="99" t="s">
        <v>594</v>
      </c>
      <c r="AB59" s="99" t="s">
        <v>594</v>
      </c>
      <c r="AC59" s="99" t="s">
        <v>594</v>
      </c>
      <c r="AD59" s="98" t="s">
        <v>343</v>
      </c>
      <c r="AE59" s="100">
        <v>0.01361573373676248</v>
      </c>
      <c r="AF59" s="100">
        <v>0.23</v>
      </c>
      <c r="AG59" s="98" t="s">
        <v>594</v>
      </c>
      <c r="AH59" s="98" t="s">
        <v>594</v>
      </c>
      <c r="AI59" s="100">
        <v>0.002</v>
      </c>
      <c r="AJ59" s="100">
        <v>0.345455</v>
      </c>
      <c r="AK59" s="100">
        <v>0.529412</v>
      </c>
      <c r="AL59" s="100">
        <v>0.741206</v>
      </c>
      <c r="AM59" s="100">
        <v>0.347826</v>
      </c>
      <c r="AN59" s="100" t="s">
        <v>594</v>
      </c>
      <c r="AO59" s="98" t="s">
        <v>594</v>
      </c>
      <c r="AP59" s="158" t="s">
        <v>594</v>
      </c>
      <c r="AQ59" s="100" t="s">
        <v>594</v>
      </c>
      <c r="AR59" s="100" t="s">
        <v>594</v>
      </c>
      <c r="AS59" s="98" t="s">
        <v>594</v>
      </c>
      <c r="AT59" s="98" t="s">
        <v>594</v>
      </c>
      <c r="AU59" s="98" t="s">
        <v>594</v>
      </c>
      <c r="AV59" s="98" t="s">
        <v>594</v>
      </c>
      <c r="AW59" s="98" t="s">
        <v>594</v>
      </c>
      <c r="AX59" s="98" t="s">
        <v>594</v>
      </c>
      <c r="AY59" s="98">
        <v>529.500756429652</v>
      </c>
      <c r="AZ59" s="98" t="s">
        <v>594</v>
      </c>
      <c r="BA59" s="100" t="s">
        <v>594</v>
      </c>
      <c r="BB59" s="100" t="s">
        <v>594</v>
      </c>
      <c r="BC59" s="100" t="s">
        <v>594</v>
      </c>
      <c r="BD59" s="158" t="s">
        <v>594</v>
      </c>
      <c r="BE59" s="158" t="s">
        <v>594</v>
      </c>
      <c r="BF59" s="162">
        <v>55</v>
      </c>
      <c r="BG59" s="162">
        <v>17</v>
      </c>
      <c r="BH59" s="162">
        <v>398</v>
      </c>
      <c r="BI59" s="162">
        <v>23</v>
      </c>
      <c r="BJ59" s="162" t="s">
        <v>594</v>
      </c>
      <c r="BK59" s="97"/>
      <c r="BL59" s="97"/>
      <c r="BM59" s="97"/>
      <c r="BN59" s="97"/>
    </row>
    <row r="60" spans="1:66" ht="12.75">
      <c r="A60" s="79" t="s">
        <v>533</v>
      </c>
      <c r="B60" s="79" t="s">
        <v>287</v>
      </c>
      <c r="C60" s="79" t="s">
        <v>128</v>
      </c>
      <c r="D60" s="99">
        <v>10218</v>
      </c>
      <c r="E60" s="99">
        <v>1077</v>
      </c>
      <c r="F60" s="99" t="s">
        <v>363</v>
      </c>
      <c r="G60" s="99">
        <v>31</v>
      </c>
      <c r="H60" s="99">
        <v>15</v>
      </c>
      <c r="I60" s="99">
        <v>119</v>
      </c>
      <c r="J60" s="99">
        <v>459</v>
      </c>
      <c r="K60" s="99">
        <v>12</v>
      </c>
      <c r="L60" s="99">
        <v>1922</v>
      </c>
      <c r="M60" s="99">
        <v>292</v>
      </c>
      <c r="N60" s="99">
        <v>159</v>
      </c>
      <c r="O60" s="99">
        <v>113</v>
      </c>
      <c r="P60" s="159">
        <v>113</v>
      </c>
      <c r="Q60" s="99">
        <v>24</v>
      </c>
      <c r="R60" s="99">
        <v>40</v>
      </c>
      <c r="S60" s="99">
        <v>15</v>
      </c>
      <c r="T60" s="99">
        <v>22</v>
      </c>
      <c r="U60" s="99" t="s">
        <v>594</v>
      </c>
      <c r="V60" s="99">
        <v>13</v>
      </c>
      <c r="W60" s="99">
        <v>98</v>
      </c>
      <c r="X60" s="99">
        <v>22</v>
      </c>
      <c r="Y60" s="99">
        <v>100</v>
      </c>
      <c r="Z60" s="99">
        <v>52</v>
      </c>
      <c r="AA60" s="99" t="s">
        <v>594</v>
      </c>
      <c r="AB60" s="99" t="s">
        <v>594</v>
      </c>
      <c r="AC60" s="99" t="s">
        <v>594</v>
      </c>
      <c r="AD60" s="98" t="s">
        <v>343</v>
      </c>
      <c r="AE60" s="100">
        <v>0.10540223135642983</v>
      </c>
      <c r="AF60" s="100">
        <v>0.21</v>
      </c>
      <c r="AG60" s="98">
        <v>303.38618124877667</v>
      </c>
      <c r="AH60" s="98">
        <v>146.7997651203758</v>
      </c>
      <c r="AI60" s="100">
        <v>0.012</v>
      </c>
      <c r="AJ60" s="100">
        <v>0.538101</v>
      </c>
      <c r="AK60" s="100">
        <v>0.545455</v>
      </c>
      <c r="AL60" s="100">
        <v>0.717432</v>
      </c>
      <c r="AM60" s="100">
        <v>0.428781</v>
      </c>
      <c r="AN60" s="100">
        <v>0.459538</v>
      </c>
      <c r="AO60" s="98">
        <v>1105.8915639068312</v>
      </c>
      <c r="AP60" s="158">
        <v>0.7461688232</v>
      </c>
      <c r="AQ60" s="100">
        <v>0.21238938053097345</v>
      </c>
      <c r="AR60" s="100">
        <v>0.6</v>
      </c>
      <c r="AS60" s="98">
        <v>146.7997651203758</v>
      </c>
      <c r="AT60" s="98">
        <v>215.3063221765512</v>
      </c>
      <c r="AU60" s="98" t="s">
        <v>594</v>
      </c>
      <c r="AV60" s="98">
        <v>127.2264631043257</v>
      </c>
      <c r="AW60" s="98">
        <v>959.0917987864552</v>
      </c>
      <c r="AX60" s="98">
        <v>215.3063221765512</v>
      </c>
      <c r="AY60" s="98">
        <v>978.6651008025054</v>
      </c>
      <c r="AZ60" s="98">
        <v>508.9058524173028</v>
      </c>
      <c r="BA60" s="100" t="s">
        <v>594</v>
      </c>
      <c r="BB60" s="100" t="s">
        <v>594</v>
      </c>
      <c r="BC60" s="100" t="s">
        <v>594</v>
      </c>
      <c r="BD60" s="158">
        <v>0.6149487305</v>
      </c>
      <c r="BE60" s="158">
        <v>0.8971007538000001</v>
      </c>
      <c r="BF60" s="162">
        <v>853</v>
      </c>
      <c r="BG60" s="162">
        <v>22</v>
      </c>
      <c r="BH60" s="162">
        <v>2679</v>
      </c>
      <c r="BI60" s="162">
        <v>681</v>
      </c>
      <c r="BJ60" s="162">
        <v>346</v>
      </c>
      <c r="BK60" s="97"/>
      <c r="BL60" s="97"/>
      <c r="BM60" s="97"/>
      <c r="BN60" s="97"/>
    </row>
    <row r="61" spans="1:66" ht="12.75">
      <c r="A61" s="79" t="s">
        <v>551</v>
      </c>
      <c r="B61" s="79" t="s">
        <v>305</v>
      </c>
      <c r="C61" s="79" t="s">
        <v>128</v>
      </c>
      <c r="D61" s="99">
        <v>10525</v>
      </c>
      <c r="E61" s="99">
        <v>1002</v>
      </c>
      <c r="F61" s="99" t="s">
        <v>363</v>
      </c>
      <c r="G61" s="99">
        <v>31</v>
      </c>
      <c r="H61" s="99">
        <v>16</v>
      </c>
      <c r="I61" s="99">
        <v>115</v>
      </c>
      <c r="J61" s="99">
        <v>704</v>
      </c>
      <c r="K61" s="99">
        <v>653</v>
      </c>
      <c r="L61" s="99">
        <v>2050</v>
      </c>
      <c r="M61" s="99">
        <v>367</v>
      </c>
      <c r="N61" s="99">
        <v>176</v>
      </c>
      <c r="O61" s="99">
        <v>170</v>
      </c>
      <c r="P61" s="159">
        <v>170</v>
      </c>
      <c r="Q61" s="99">
        <v>18</v>
      </c>
      <c r="R61" s="99">
        <v>34</v>
      </c>
      <c r="S61" s="99">
        <v>46</v>
      </c>
      <c r="T61" s="99">
        <v>23</v>
      </c>
      <c r="U61" s="99" t="s">
        <v>594</v>
      </c>
      <c r="V61" s="99">
        <v>31</v>
      </c>
      <c r="W61" s="99">
        <v>108</v>
      </c>
      <c r="X61" s="99">
        <v>17</v>
      </c>
      <c r="Y61" s="99">
        <v>127</v>
      </c>
      <c r="Z61" s="99">
        <v>36</v>
      </c>
      <c r="AA61" s="99" t="s">
        <v>594</v>
      </c>
      <c r="AB61" s="99" t="s">
        <v>594</v>
      </c>
      <c r="AC61" s="99" t="s">
        <v>594</v>
      </c>
      <c r="AD61" s="98" t="s">
        <v>343</v>
      </c>
      <c r="AE61" s="100">
        <v>0.0952019002375297</v>
      </c>
      <c r="AF61" s="100">
        <v>0.21</v>
      </c>
      <c r="AG61" s="98">
        <v>294.5368171021378</v>
      </c>
      <c r="AH61" s="98">
        <v>152.0190023752969</v>
      </c>
      <c r="AI61" s="100">
        <v>0.011000000000000001</v>
      </c>
      <c r="AJ61" s="100">
        <v>0.68952</v>
      </c>
      <c r="AK61" s="100">
        <v>0.669744</v>
      </c>
      <c r="AL61" s="100">
        <v>0.706409</v>
      </c>
      <c r="AM61" s="100">
        <v>0.503429</v>
      </c>
      <c r="AN61" s="100">
        <v>0.519174</v>
      </c>
      <c r="AO61" s="98">
        <v>1615.2019002375298</v>
      </c>
      <c r="AP61" s="158">
        <v>1.0744377900000002</v>
      </c>
      <c r="AQ61" s="100">
        <v>0.10588235294117647</v>
      </c>
      <c r="AR61" s="100">
        <v>0.5294117647058824</v>
      </c>
      <c r="AS61" s="98">
        <v>437.05463182897864</v>
      </c>
      <c r="AT61" s="98">
        <v>218.52731591448932</v>
      </c>
      <c r="AU61" s="98" t="s">
        <v>594</v>
      </c>
      <c r="AV61" s="98">
        <v>294.5368171021378</v>
      </c>
      <c r="AW61" s="98">
        <v>1026.1282660332542</v>
      </c>
      <c r="AX61" s="98">
        <v>161.52019002375297</v>
      </c>
      <c r="AY61" s="98">
        <v>1206.6508313539193</v>
      </c>
      <c r="AZ61" s="98">
        <v>342.042755344418</v>
      </c>
      <c r="BA61" s="100" t="s">
        <v>594</v>
      </c>
      <c r="BB61" s="100" t="s">
        <v>594</v>
      </c>
      <c r="BC61" s="100" t="s">
        <v>594</v>
      </c>
      <c r="BD61" s="158">
        <v>0.918992691</v>
      </c>
      <c r="BE61" s="158">
        <v>1.24864502</v>
      </c>
      <c r="BF61" s="162">
        <v>1021</v>
      </c>
      <c r="BG61" s="162">
        <v>975</v>
      </c>
      <c r="BH61" s="162">
        <v>2902</v>
      </c>
      <c r="BI61" s="162">
        <v>729</v>
      </c>
      <c r="BJ61" s="162">
        <v>339</v>
      </c>
      <c r="BK61" s="97"/>
      <c r="BL61" s="97"/>
      <c r="BM61" s="97"/>
      <c r="BN61" s="97"/>
    </row>
    <row r="62" spans="1:66" ht="12.75">
      <c r="A62" s="79" t="s">
        <v>582</v>
      </c>
      <c r="B62" s="79" t="s">
        <v>337</v>
      </c>
      <c r="C62" s="79" t="s">
        <v>128</v>
      </c>
      <c r="D62" s="99">
        <v>2231</v>
      </c>
      <c r="E62" s="99">
        <v>286</v>
      </c>
      <c r="F62" s="99" t="s">
        <v>363</v>
      </c>
      <c r="G62" s="99">
        <v>10</v>
      </c>
      <c r="H62" s="99" t="s">
        <v>594</v>
      </c>
      <c r="I62" s="99">
        <v>34</v>
      </c>
      <c r="J62" s="99">
        <v>155</v>
      </c>
      <c r="K62" s="99">
        <v>100</v>
      </c>
      <c r="L62" s="99">
        <v>382</v>
      </c>
      <c r="M62" s="99">
        <v>90</v>
      </c>
      <c r="N62" s="99">
        <v>53</v>
      </c>
      <c r="O62" s="99">
        <v>25</v>
      </c>
      <c r="P62" s="159">
        <v>25</v>
      </c>
      <c r="Q62" s="99" t="s">
        <v>594</v>
      </c>
      <c r="R62" s="99">
        <v>8</v>
      </c>
      <c r="S62" s="99">
        <v>6</v>
      </c>
      <c r="T62" s="99" t="s">
        <v>594</v>
      </c>
      <c r="U62" s="99" t="s">
        <v>594</v>
      </c>
      <c r="V62" s="99" t="s">
        <v>594</v>
      </c>
      <c r="W62" s="99">
        <v>25</v>
      </c>
      <c r="X62" s="99">
        <v>9</v>
      </c>
      <c r="Y62" s="99">
        <v>32</v>
      </c>
      <c r="Z62" s="99">
        <v>11</v>
      </c>
      <c r="AA62" s="99" t="s">
        <v>594</v>
      </c>
      <c r="AB62" s="99" t="s">
        <v>594</v>
      </c>
      <c r="AC62" s="99" t="s">
        <v>594</v>
      </c>
      <c r="AD62" s="98" t="s">
        <v>343</v>
      </c>
      <c r="AE62" s="100">
        <v>0.12819363514119228</v>
      </c>
      <c r="AF62" s="100">
        <v>0.2</v>
      </c>
      <c r="AG62" s="98">
        <v>448.22949350067233</v>
      </c>
      <c r="AH62" s="98" t="s">
        <v>594</v>
      </c>
      <c r="AI62" s="100">
        <v>0.015</v>
      </c>
      <c r="AJ62" s="100">
        <v>0.72093</v>
      </c>
      <c r="AK62" s="100">
        <v>0.649351</v>
      </c>
      <c r="AL62" s="100">
        <v>0.723485</v>
      </c>
      <c r="AM62" s="100">
        <v>0.497238</v>
      </c>
      <c r="AN62" s="100">
        <v>0.546392</v>
      </c>
      <c r="AO62" s="98">
        <v>1120.573733751681</v>
      </c>
      <c r="AP62" s="158">
        <v>0.6888819122</v>
      </c>
      <c r="AQ62" s="100" t="s">
        <v>594</v>
      </c>
      <c r="AR62" s="100" t="s">
        <v>594</v>
      </c>
      <c r="AS62" s="98">
        <v>268.9376961004034</v>
      </c>
      <c r="AT62" s="98" t="s">
        <v>594</v>
      </c>
      <c r="AU62" s="98" t="s">
        <v>594</v>
      </c>
      <c r="AV62" s="98" t="s">
        <v>594</v>
      </c>
      <c r="AW62" s="98">
        <v>1120.573733751681</v>
      </c>
      <c r="AX62" s="98">
        <v>403.4065441506051</v>
      </c>
      <c r="AY62" s="98">
        <v>1434.3343792021515</v>
      </c>
      <c r="AZ62" s="98">
        <v>493.05244285073957</v>
      </c>
      <c r="BA62" s="100" t="s">
        <v>594</v>
      </c>
      <c r="BB62" s="100" t="s">
        <v>594</v>
      </c>
      <c r="BC62" s="100" t="s">
        <v>594</v>
      </c>
      <c r="BD62" s="158">
        <v>0.4458080673</v>
      </c>
      <c r="BE62" s="158">
        <v>1.016925659</v>
      </c>
      <c r="BF62" s="162">
        <v>215</v>
      </c>
      <c r="BG62" s="162">
        <v>154</v>
      </c>
      <c r="BH62" s="162">
        <v>528</v>
      </c>
      <c r="BI62" s="162">
        <v>181</v>
      </c>
      <c r="BJ62" s="162">
        <v>97</v>
      </c>
      <c r="BK62" s="97"/>
      <c r="BL62" s="97"/>
      <c r="BM62" s="97"/>
      <c r="BN62" s="97"/>
    </row>
    <row r="63" spans="1:66" ht="12.75">
      <c r="A63" s="79" t="s">
        <v>586</v>
      </c>
      <c r="B63" s="79" t="s">
        <v>341</v>
      </c>
      <c r="C63" s="79" t="s">
        <v>128</v>
      </c>
      <c r="D63" s="99">
        <v>2698</v>
      </c>
      <c r="E63" s="99">
        <v>278</v>
      </c>
      <c r="F63" s="99" t="s">
        <v>363</v>
      </c>
      <c r="G63" s="99">
        <v>10</v>
      </c>
      <c r="H63" s="99">
        <v>6</v>
      </c>
      <c r="I63" s="99">
        <v>25</v>
      </c>
      <c r="J63" s="99">
        <v>164</v>
      </c>
      <c r="K63" s="99">
        <v>146</v>
      </c>
      <c r="L63" s="99">
        <v>519</v>
      </c>
      <c r="M63" s="99">
        <v>75</v>
      </c>
      <c r="N63" s="99">
        <v>43</v>
      </c>
      <c r="O63" s="99">
        <v>28</v>
      </c>
      <c r="P63" s="159">
        <v>28</v>
      </c>
      <c r="Q63" s="99" t="s">
        <v>594</v>
      </c>
      <c r="R63" s="99">
        <v>8</v>
      </c>
      <c r="S63" s="99" t="s">
        <v>594</v>
      </c>
      <c r="T63" s="99" t="s">
        <v>594</v>
      </c>
      <c r="U63" s="99" t="s">
        <v>594</v>
      </c>
      <c r="V63" s="99" t="s">
        <v>594</v>
      </c>
      <c r="W63" s="99">
        <v>11</v>
      </c>
      <c r="X63" s="99" t="s">
        <v>594</v>
      </c>
      <c r="Y63" s="99">
        <v>23</v>
      </c>
      <c r="Z63" s="99">
        <v>16</v>
      </c>
      <c r="AA63" s="99" t="s">
        <v>594</v>
      </c>
      <c r="AB63" s="99" t="s">
        <v>594</v>
      </c>
      <c r="AC63" s="99" t="s">
        <v>594</v>
      </c>
      <c r="AD63" s="98" t="s">
        <v>343</v>
      </c>
      <c r="AE63" s="100">
        <v>0.10303928836174944</v>
      </c>
      <c r="AF63" s="100">
        <v>0.21</v>
      </c>
      <c r="AG63" s="98">
        <v>370.64492216456637</v>
      </c>
      <c r="AH63" s="98">
        <v>222.3869532987398</v>
      </c>
      <c r="AI63" s="100">
        <v>0.009000000000000001</v>
      </c>
      <c r="AJ63" s="100">
        <v>0.709957</v>
      </c>
      <c r="AK63" s="100">
        <v>0.657658</v>
      </c>
      <c r="AL63" s="100">
        <v>0.776946</v>
      </c>
      <c r="AM63" s="100">
        <v>0.405405</v>
      </c>
      <c r="AN63" s="100">
        <v>0.43</v>
      </c>
      <c r="AO63" s="98">
        <v>1037.8057820607858</v>
      </c>
      <c r="AP63" s="158">
        <v>0.7012142181000001</v>
      </c>
      <c r="AQ63" s="100" t="s">
        <v>594</v>
      </c>
      <c r="AR63" s="100" t="s">
        <v>594</v>
      </c>
      <c r="AS63" s="98" t="s">
        <v>594</v>
      </c>
      <c r="AT63" s="98" t="s">
        <v>594</v>
      </c>
      <c r="AU63" s="98" t="s">
        <v>594</v>
      </c>
      <c r="AV63" s="98" t="s">
        <v>594</v>
      </c>
      <c r="AW63" s="98">
        <v>407.70941438102295</v>
      </c>
      <c r="AX63" s="98" t="s">
        <v>594</v>
      </c>
      <c r="AY63" s="98">
        <v>852.4833209785025</v>
      </c>
      <c r="AZ63" s="98">
        <v>593.0318754633062</v>
      </c>
      <c r="BA63" s="100" t="s">
        <v>594</v>
      </c>
      <c r="BB63" s="100" t="s">
        <v>594</v>
      </c>
      <c r="BC63" s="100" t="s">
        <v>594</v>
      </c>
      <c r="BD63" s="158">
        <v>0.465951767</v>
      </c>
      <c r="BE63" s="158">
        <v>1.013449783</v>
      </c>
      <c r="BF63" s="162">
        <v>231</v>
      </c>
      <c r="BG63" s="162">
        <v>222</v>
      </c>
      <c r="BH63" s="162">
        <v>668</v>
      </c>
      <c r="BI63" s="162">
        <v>185</v>
      </c>
      <c r="BJ63" s="162">
        <v>100</v>
      </c>
      <c r="BK63" s="97"/>
      <c r="BL63" s="97"/>
      <c r="BM63" s="97"/>
      <c r="BN63" s="97"/>
    </row>
    <row r="64" spans="1:66" ht="12.75">
      <c r="A64" s="79" t="s">
        <v>421</v>
      </c>
      <c r="B64" s="94" t="s">
        <v>128</v>
      </c>
      <c r="C64" s="94" t="s">
        <v>7</v>
      </c>
      <c r="D64" s="99">
        <v>381450</v>
      </c>
      <c r="E64" s="99">
        <v>46203</v>
      </c>
      <c r="F64" s="99">
        <v>65381.060000000005</v>
      </c>
      <c r="G64" s="99">
        <v>1156</v>
      </c>
      <c r="H64" s="99">
        <v>618</v>
      </c>
      <c r="I64" s="99">
        <v>4974</v>
      </c>
      <c r="J64" s="99">
        <v>25127</v>
      </c>
      <c r="K64" s="99">
        <v>10084</v>
      </c>
      <c r="L64" s="99">
        <v>73547</v>
      </c>
      <c r="M64" s="99">
        <v>14802</v>
      </c>
      <c r="N64" s="99">
        <v>7627</v>
      </c>
      <c r="O64" s="99">
        <v>5097</v>
      </c>
      <c r="P64" s="99">
        <v>5097</v>
      </c>
      <c r="Q64" s="99">
        <v>504</v>
      </c>
      <c r="R64" s="99">
        <v>1192</v>
      </c>
      <c r="S64" s="99">
        <v>951</v>
      </c>
      <c r="T64" s="99">
        <v>723</v>
      </c>
      <c r="U64" s="99">
        <v>105</v>
      </c>
      <c r="V64" s="99">
        <v>804</v>
      </c>
      <c r="W64" s="99">
        <v>3572</v>
      </c>
      <c r="X64" s="99">
        <v>897</v>
      </c>
      <c r="Y64" s="99">
        <v>4180</v>
      </c>
      <c r="Z64" s="99">
        <v>1648</v>
      </c>
      <c r="AA64" s="99">
        <v>0</v>
      </c>
      <c r="AB64" s="99">
        <v>0</v>
      </c>
      <c r="AC64" s="99">
        <v>0</v>
      </c>
      <c r="AD64" s="98">
        <v>0</v>
      </c>
      <c r="AE64" s="101">
        <v>0.12112465591820684</v>
      </c>
      <c r="AF64" s="101">
        <v>0.17140138943505048</v>
      </c>
      <c r="AG64" s="98">
        <v>303.0541355354568</v>
      </c>
      <c r="AH64" s="98">
        <v>162.01337003539126</v>
      </c>
      <c r="AI64" s="101">
        <v>0.013039716869838774</v>
      </c>
      <c r="AJ64" s="101">
        <v>0.6535830407075043</v>
      </c>
      <c r="AK64" s="101">
        <v>0.6655227032734953</v>
      </c>
      <c r="AL64" s="101">
        <v>0.7327733939104097</v>
      </c>
      <c r="AM64" s="101">
        <v>0.4710412423625255</v>
      </c>
      <c r="AN64" s="101">
        <v>0.48953786906290114</v>
      </c>
      <c r="AO64" s="98">
        <v>1336.2170664569405</v>
      </c>
      <c r="AP64" s="98">
        <v>0</v>
      </c>
      <c r="AQ64" s="101">
        <v>0.09888169511477339</v>
      </c>
      <c r="AR64" s="101">
        <v>0.4228187919463087</v>
      </c>
      <c r="AS64" s="98">
        <v>249.31183641368463</v>
      </c>
      <c r="AT64" s="98">
        <v>189.5399134880063</v>
      </c>
      <c r="AU64" s="98">
        <v>27.526543452615023</v>
      </c>
      <c r="AV64" s="98">
        <v>210.7746755800236</v>
      </c>
      <c r="AW64" s="98">
        <v>936.4267925022939</v>
      </c>
      <c r="AX64" s="98">
        <v>235.15532835233975</v>
      </c>
      <c r="AY64" s="98">
        <v>1095.8185869707695</v>
      </c>
      <c r="AZ64" s="98">
        <v>432.03565342771003</v>
      </c>
      <c r="BA64" s="101">
        <v>0</v>
      </c>
      <c r="BB64" s="101">
        <v>0</v>
      </c>
      <c r="BC64" s="101">
        <v>0</v>
      </c>
      <c r="BD64" s="98">
        <v>0</v>
      </c>
      <c r="BE64" s="98">
        <v>0</v>
      </c>
      <c r="BF64" s="99">
        <v>38445</v>
      </c>
      <c r="BG64" s="99">
        <v>15152</v>
      </c>
      <c r="BH64" s="99">
        <v>100368</v>
      </c>
      <c r="BI64" s="99">
        <v>31424</v>
      </c>
      <c r="BJ64" s="99">
        <v>15580</v>
      </c>
      <c r="BK64" s="97"/>
      <c r="BL64" s="97"/>
      <c r="BM64" s="97"/>
      <c r="BN64" s="97"/>
    </row>
    <row r="65" spans="1:66" ht="12.75">
      <c r="A65" s="79" t="s">
        <v>24</v>
      </c>
      <c r="B65" s="94" t="s">
        <v>7</v>
      </c>
      <c r="C65" s="94" t="s">
        <v>7</v>
      </c>
      <c r="D65" s="99">
        <v>54615830</v>
      </c>
      <c r="E65" s="99">
        <v>8737890</v>
      </c>
      <c r="F65" s="99">
        <v>8198344.169999988</v>
      </c>
      <c r="G65" s="99">
        <v>243379</v>
      </c>
      <c r="H65" s="99">
        <v>127868</v>
      </c>
      <c r="I65" s="99">
        <v>870616</v>
      </c>
      <c r="J65" s="99">
        <v>4592627</v>
      </c>
      <c r="K65" s="99">
        <v>1679592</v>
      </c>
      <c r="L65" s="99">
        <v>10150944</v>
      </c>
      <c r="M65" s="99">
        <v>2959539</v>
      </c>
      <c r="N65" s="99">
        <v>1629320</v>
      </c>
      <c r="O65" s="99">
        <v>989730</v>
      </c>
      <c r="P65" s="99">
        <v>989730</v>
      </c>
      <c r="Q65" s="99">
        <v>108072</v>
      </c>
      <c r="R65" s="99">
        <v>238330</v>
      </c>
      <c r="S65" s="99">
        <v>206300</v>
      </c>
      <c r="T65" s="99">
        <v>154264</v>
      </c>
      <c r="U65" s="99">
        <v>38486</v>
      </c>
      <c r="V65" s="99">
        <v>176535</v>
      </c>
      <c r="W65" s="99">
        <v>307276</v>
      </c>
      <c r="X65" s="99">
        <v>221506</v>
      </c>
      <c r="Y65" s="99">
        <v>578574</v>
      </c>
      <c r="Z65" s="99">
        <v>318377</v>
      </c>
      <c r="AA65" s="99">
        <v>0</v>
      </c>
      <c r="AB65" s="99">
        <v>0</v>
      </c>
      <c r="AC65" s="99">
        <v>0</v>
      </c>
      <c r="AD65" s="98">
        <v>0</v>
      </c>
      <c r="AE65" s="101">
        <v>0.1599882305185145</v>
      </c>
      <c r="AF65" s="101">
        <v>0.15010930292554353</v>
      </c>
      <c r="AG65" s="98">
        <v>445.6198871279627</v>
      </c>
      <c r="AH65" s="98">
        <v>234.12259778895606</v>
      </c>
      <c r="AI65" s="101">
        <v>0.015940726342527432</v>
      </c>
      <c r="AJ65" s="101">
        <v>0.7248631360507991</v>
      </c>
      <c r="AK65" s="101">
        <v>0.7467412166569077</v>
      </c>
      <c r="AL65" s="101">
        <v>0.7559681673907895</v>
      </c>
      <c r="AM65" s="101">
        <v>0.5147293797466616</v>
      </c>
      <c r="AN65" s="101">
        <v>0.5752927626212945</v>
      </c>
      <c r="AO65" s="98">
        <v>1812.1669120472948</v>
      </c>
      <c r="AP65" s="98">
        <v>1</v>
      </c>
      <c r="AQ65" s="101">
        <v>0.10919341638628717</v>
      </c>
      <c r="AR65" s="101">
        <v>0.4534552930810221</v>
      </c>
      <c r="AS65" s="98">
        <v>377.7293140102421</v>
      </c>
      <c r="AT65" s="98">
        <v>282.45290788403287</v>
      </c>
      <c r="AU65" s="98">
        <v>70.46674929228394</v>
      </c>
      <c r="AV65" s="98">
        <v>323.23046266988894</v>
      </c>
      <c r="AW65" s="98">
        <v>562.6134400960308</v>
      </c>
      <c r="AX65" s="98">
        <v>405.57105879375996</v>
      </c>
      <c r="AY65" s="98">
        <v>1059.3522061277838</v>
      </c>
      <c r="AZ65" s="98">
        <v>582.9390489900089</v>
      </c>
      <c r="BA65" s="101">
        <v>0</v>
      </c>
      <c r="BB65" s="101">
        <v>0</v>
      </c>
      <c r="BC65" s="101">
        <v>0</v>
      </c>
      <c r="BD65" s="98">
        <v>0</v>
      </c>
      <c r="BE65" s="98">
        <v>0</v>
      </c>
      <c r="BF65" s="99">
        <v>6335854</v>
      </c>
      <c r="BG65" s="99">
        <v>2249229</v>
      </c>
      <c r="BH65" s="99">
        <v>13427740</v>
      </c>
      <c r="BI65" s="99">
        <v>5749699</v>
      </c>
      <c r="BJ65" s="99">
        <v>2832158</v>
      </c>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348</v>
      </c>
      <c r="O4" s="75" t="s">
        <v>347</v>
      </c>
      <c r="P4" s="75" t="s">
        <v>475</v>
      </c>
      <c r="Q4" s="75" t="s">
        <v>476</v>
      </c>
      <c r="R4" s="75" t="s">
        <v>477</v>
      </c>
      <c r="S4" s="75" t="s">
        <v>478</v>
      </c>
      <c r="T4" s="39" t="s">
        <v>278</v>
      </c>
      <c r="U4" s="40" t="s">
        <v>279</v>
      </c>
      <c r="V4" s="41" t="s">
        <v>7</v>
      </c>
      <c r="W4" s="24" t="s">
        <v>2</v>
      </c>
      <c r="X4" s="24" t="s">
        <v>3</v>
      </c>
      <c r="Y4" s="75" t="s">
        <v>599</v>
      </c>
      <c r="Z4" s="75" t="s">
        <v>598</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267</v>
      </c>
      <c r="E7" s="38">
        <f>IF(LEFT(VLOOKUP($B7,'Indicator chart'!$D$1:$J$36,5,FALSE),1)=" "," ",VLOOKUP($B7,'Indicator chart'!$D$1:$J$36,5,FALSE))</f>
        <v>0.10849248273059732</v>
      </c>
      <c r="F7" s="38">
        <f>IF(LEFT(VLOOKUP($B7,'Indicator chart'!$D$1:$J$36,6,FALSE),1)=" "," ",VLOOKUP($B7,'Indicator chart'!$D$1:$J$36,6,FALSE))</f>
        <v>0.09680962255507268</v>
      </c>
      <c r="G7" s="38">
        <f>IF(LEFT(VLOOKUP($B7,'Indicator chart'!$D$1:$J$36,7,FALSE),1)=" "," ",VLOOKUP($B7,'Indicator chart'!$D$1:$J$36,7,FALSE))</f>
        <v>0.12139571769884056</v>
      </c>
      <c r="H7" s="50">
        <f aca="true" t="shared" si="0" ref="H7:H31">IF(LEFT(F7,1)=" ",4,IF(AND(ABS(N7-E7)&gt;SQRT((E7-G7)^2+(N7-R7)^2),E7&lt;N7),1,IF(AND(ABS(N7-E7)&gt;SQRT((E7-F7)^2+(N7-S7)^2),E7&gt;N7),3,2)))</f>
        <v>2</v>
      </c>
      <c r="I7" s="38">
        <v>0.013615733943879604</v>
      </c>
      <c r="J7" s="38">
        <v>0.09093419462442398</v>
      </c>
      <c r="K7" s="38">
        <v>0.11140035092830658</v>
      </c>
      <c r="L7" s="38">
        <v>0.15049254894256592</v>
      </c>
      <c r="M7" s="38">
        <v>0.26393553614616394</v>
      </c>
      <c r="N7" s="80">
        <f>VLOOKUP('Hide - Control'!B$3,'All practice data'!A:CA,A7+29,FALSE)</f>
        <v>0.12112465591820684</v>
      </c>
      <c r="O7" s="80">
        <f>VLOOKUP('Hide - Control'!C$3,'All practice data'!A:CA,A7+29,FALSE)</f>
        <v>0.1599882305185145</v>
      </c>
      <c r="P7" s="38">
        <f>VLOOKUP('Hide - Control'!$B$4,'All practice data'!B:BC,A7+2,FALSE)</f>
        <v>46203</v>
      </c>
      <c r="Q7" s="38">
        <f>VLOOKUP('Hide - Control'!$B$4,'All practice data'!B:BC,3,FALSE)</f>
        <v>381450</v>
      </c>
      <c r="R7" s="38">
        <f>+((2*P7+1.96^2-1.96*SQRT(1.96^2+4*P7*(1-P7/Q7)))/(2*(Q7+1.96^2)))</f>
        <v>0.1200930482294575</v>
      </c>
      <c r="S7" s="38">
        <f>+((2*P7+1.96^2+1.96*SQRT(1.96^2+4*P7*(1-P7/Q7)))/(2*(Q7+1.96^2)))</f>
        <v>0.12216389487115173</v>
      </c>
      <c r="T7" s="53">
        <f>IF($C7=1,M7,I7)</f>
        <v>0.26393553614616394</v>
      </c>
      <c r="U7" s="51">
        <f aca="true" t="shared" si="1" ref="U7:U15">IF($C7=1,I7,M7)</f>
        <v>0.013615733943879604</v>
      </c>
      <c r="V7" s="7">
        <v>1</v>
      </c>
      <c r="W7" s="27">
        <f aca="true" t="shared" si="2" ref="W7:W31">IF((K7-I7)&gt;(M7-K7),I7,(K7-(M7-K7)))</f>
        <v>-0.04113483428955078</v>
      </c>
      <c r="X7" s="27">
        <f aca="true" t="shared" si="3" ref="X7:X31">IF(W7=I7,K7+(K7-I7),M7)</f>
        <v>0.26393553614616394</v>
      </c>
      <c r="Y7" s="27">
        <f aca="true" t="shared" si="4" ref="Y7:Y31">IF(C7=1,W7,X7)</f>
        <v>-0.04113483428955078</v>
      </c>
      <c r="Z7" s="27">
        <f aca="true" t="shared" si="5" ref="Z7:Z31">IF(C7=1,X7,W7)</f>
        <v>0.26393553614616394</v>
      </c>
      <c r="AA7" s="32">
        <f aca="true" t="shared" si="6" ref="AA7:AA31">IF(ISERROR(IF(C7=1,(I7-$Y7)/($Z7-$Y7),(U7-$Y7)/($Z7-$Y7))),"",IF(C7=1,(I7-$Y7)/($Z7-$Y7),(U7-$Y7)/($Z7-$Y7)))</f>
        <v>0.17946865228253156</v>
      </c>
      <c r="AB7" s="33">
        <f aca="true" t="shared" si="7" ref="AB7:AB31">IF(ISERROR(IF(C7=1,(J7-$Y7)/($Z7-$Y7),(L7-$Y7)/($Z7-$Y7))),"",IF(C7=1,(J7-$Y7)/($Z7-$Y7),(L7-$Y7)/($Z7-$Y7)))</f>
        <v>0.43291332660509785</v>
      </c>
      <c r="AC7" s="33">
        <v>0.5</v>
      </c>
      <c r="AD7" s="33">
        <f aca="true" t="shared" si="8" ref="AD7:AD31">IF(ISERROR(IF(C7=1,(L7-$Y7)/($Z7-$Y7),(J7-$Y7)/($Z7-$Y7))),"",IF(C7=1,(L7-$Y7)/($Z7-$Y7),(J7-$Y7)/($Z7-$Y7)))</f>
        <v>0.6281415758548632</v>
      </c>
      <c r="AE7" s="33">
        <f aca="true" t="shared" si="9" ref="AE7:AE31">IF(ISERROR(IF(C7=1,(M7-$Y7)/($Z7-$Y7),(I7-$Y7)/($Z7-$Y7))),"",IF(C7=1,(M7-$Y7)/($Z7-$Y7),(I7-$Y7)/($Z7-$Y7)))</f>
        <v>1</v>
      </c>
      <c r="AF7" s="33">
        <f aca="true" t="shared" si="10" ref="AF7:AF30">IF(E7=" ",-999,IF(H7=4,(E7-$Y7)/($Z7-$Y7),-999))</f>
        <v>-999</v>
      </c>
      <c r="AG7" s="33">
        <f aca="true" t="shared" si="11" ref="AG7:AG31">IF(E7=" ",-999,IF(H7=2,(E7-$Y7)/($Z7-$Y7),-999))</f>
        <v>0.49046820511098427</v>
      </c>
      <c r="AH7" s="33">
        <f aca="true" t="shared" si="12" ref="AH7:AH31">IF(E7=" ",-999,IF(MAX(AK7:AL7)&gt;-999,MAX(AK7:AL7),-999))</f>
        <v>-999</v>
      </c>
      <c r="AI7" s="34">
        <f aca="true" t="shared" si="13" ref="AI7:AI31">IF(ISERROR((O7-$Y7)/($Z7-$Y7)),-999,(O7-$Y7)/($Z7-$Y7))</f>
        <v>0.6592677765487766</v>
      </c>
      <c r="AJ7" s="4">
        <v>2.7020512924389086</v>
      </c>
      <c r="AK7" s="32">
        <f aca="true" t="shared" si="14" ref="AK7:AK31">IF(H7=1,(E7-$Y7)/($Z7-$Y7),-999)</f>
        <v>-999</v>
      </c>
      <c r="AL7" s="34">
        <f aca="true" t="shared" si="15" ref="AL7:AL31">IF(H7=3,(E7-$Y7)/($Z7-$Y7),-999)</f>
        <v>-999</v>
      </c>
      <c r="AQ7" s="103">
        <v>2</v>
      </c>
      <c r="AR7" s="103">
        <v>0.2422</v>
      </c>
      <c r="AS7" s="103">
        <v>7.2247</v>
      </c>
      <c r="AY7" s="103" t="s">
        <v>68</v>
      </c>
      <c r="AZ7" s="103" t="s">
        <v>397</v>
      </c>
      <c r="BA7" s="103" t="s">
        <v>343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0.23</v>
      </c>
      <c r="F8" s="38">
        <f>IF(LEFT(VLOOKUP($B8,'Indicator chart'!$D$1:$J$36,6,FALSE),1)=" "," ",VLOOKUP($B8,'Indicator chart'!$D$1:$J$36,6,FALSE))</f>
        <v>0.21380161093752342</v>
      </c>
      <c r="G8" s="38">
        <f>IF(LEFT(VLOOKUP($B8,'Indicator chart'!$D$1:$J$36,7,FALSE),1)=" "," ",VLOOKUP($B8,'Indicator chart'!$D$1:$J$36,7,FALSE))</f>
        <v>0.24704001069041398</v>
      </c>
      <c r="H8" s="50">
        <f t="shared" si="0"/>
        <v>3</v>
      </c>
      <c r="I8" s="38">
        <v>0.05999999865889549</v>
      </c>
      <c r="J8" s="38">
        <v>0.10999999940395355</v>
      </c>
      <c r="K8" s="38">
        <v>0.1899999976158142</v>
      </c>
      <c r="L8" s="38">
        <v>0.2224999964237213</v>
      </c>
      <c r="M8" s="38">
        <v>0.33000001311302185</v>
      </c>
      <c r="N8" s="80">
        <f>VLOOKUP('Hide - Control'!B$3,'All practice data'!A:CA,A8+29,FALSE)</f>
        <v>0.17140138943505048</v>
      </c>
      <c r="O8" s="80">
        <f>VLOOKUP('Hide - Control'!C$3,'All practice data'!A:CA,A8+29,FALSE)</f>
        <v>0.15010930292554353</v>
      </c>
      <c r="P8" s="38">
        <f>VLOOKUP('Hide - Control'!$B$4,'All practice data'!B:BC,A8+2,FALSE)</f>
        <v>65381.060000000005</v>
      </c>
      <c r="Q8" s="38">
        <f>VLOOKUP('Hide - Control'!$B$4,'All practice data'!B:BC,3,FALSE)</f>
        <v>381450</v>
      </c>
      <c r="R8" s="38">
        <f>+((2*P8+1.96^2-1.96*SQRT(1.96^2+4*P8*(1-P8/Q8)))/(2*(Q8+1.96^2)))</f>
        <v>0.17020874051638515</v>
      </c>
      <c r="S8" s="38">
        <f>+((2*P8+1.96^2+1.96*SQRT(1.96^2+4*P8*(1-P8/Q8)))/(2*(Q8+1.96^2)))</f>
        <v>0.172600656949649</v>
      </c>
      <c r="T8" s="53">
        <f aca="true" t="shared" si="16" ref="T8:T15">IF($C8=1,M8,I8)</f>
        <v>0.33000001311302185</v>
      </c>
      <c r="U8" s="51">
        <f t="shared" si="1"/>
        <v>0.05999999865889549</v>
      </c>
      <c r="V8" s="7"/>
      <c r="W8" s="27">
        <f t="shared" si="2"/>
        <v>0.04999998211860657</v>
      </c>
      <c r="X8" s="27">
        <f t="shared" si="3"/>
        <v>0.33000001311302185</v>
      </c>
      <c r="Y8" s="27">
        <f t="shared" si="4"/>
        <v>0.04999998211860657</v>
      </c>
      <c r="Z8" s="27">
        <f t="shared" si="5"/>
        <v>0.33000001311302185</v>
      </c>
      <c r="AA8" s="32">
        <f t="shared" si="6"/>
        <v>0.035714340833370765</v>
      </c>
      <c r="AB8" s="33">
        <f t="shared" si="7"/>
        <v>0.2142857522988764</v>
      </c>
      <c r="AC8" s="33">
        <v>0.5</v>
      </c>
      <c r="AD8" s="33">
        <f t="shared" si="8"/>
        <v>0.6160714114655056</v>
      </c>
      <c r="AE8" s="33">
        <f t="shared" si="9"/>
        <v>1</v>
      </c>
      <c r="AF8" s="33">
        <f t="shared" si="10"/>
        <v>-999</v>
      </c>
      <c r="AG8" s="33">
        <f t="shared" si="11"/>
        <v>-999</v>
      </c>
      <c r="AH8" s="33">
        <f t="shared" si="12"/>
        <v>0.6428571355586158</v>
      </c>
      <c r="AI8" s="34">
        <f t="shared" si="13"/>
        <v>0.3575332490192963</v>
      </c>
      <c r="AJ8" s="4">
        <v>3.778046717820832</v>
      </c>
      <c r="AK8" s="32">
        <f t="shared" si="14"/>
        <v>-999</v>
      </c>
      <c r="AL8" s="34">
        <f t="shared" si="15"/>
        <v>0.6428571355586158</v>
      </c>
      <c r="AQ8" s="103">
        <v>3</v>
      </c>
      <c r="AR8" s="103">
        <v>0.6187</v>
      </c>
      <c r="AS8" s="103">
        <v>8.7673</v>
      </c>
      <c r="AY8" s="103" t="s">
        <v>118</v>
      </c>
      <c r="AZ8" s="103" t="s">
        <v>119</v>
      </c>
      <c r="BA8" s="103" t="s">
        <v>343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365.7049979683056</v>
      </c>
      <c r="F9" s="38">
        <f>IF(LEFT(VLOOKUP($B9,'Indicator chart'!$D$1:$J$36,6,FALSE),1)=" "," ",VLOOKUP($B9,'Indicator chart'!$D$1:$J$36,6,FALSE))</f>
        <v>166.87610660390732</v>
      </c>
      <c r="G9" s="38">
        <f>IF(LEFT(VLOOKUP($B9,'Indicator chart'!$D$1:$J$36,7,FALSE),1)=" "," ",VLOOKUP($B9,'Indicator chart'!$D$1:$J$36,7,FALSE))</f>
        <v>694.2683242883081</v>
      </c>
      <c r="H9" s="50">
        <f t="shared" si="0"/>
        <v>2</v>
      </c>
      <c r="I9" s="38">
        <v>92.60600280761719</v>
      </c>
      <c r="J9" s="38">
        <v>208.13502502441406</v>
      </c>
      <c r="K9" s="38">
        <v>296.1222229003906</v>
      </c>
      <c r="L9" s="38">
        <v>381.1248779296875</v>
      </c>
      <c r="M9" s="38">
        <v>663.5700073242188</v>
      </c>
      <c r="N9" s="80">
        <f>VLOOKUP('Hide - Control'!B$3,'All practice data'!A:CA,A9+29,FALSE)</f>
        <v>303.0541355354568</v>
      </c>
      <c r="O9" s="80">
        <f>VLOOKUP('Hide - Control'!C$3,'All practice data'!A:CA,A9+29,FALSE)</f>
        <v>445.6198871279627</v>
      </c>
      <c r="P9" s="38">
        <f>VLOOKUP('Hide - Control'!$B$4,'All practice data'!B:BC,A9+2,FALSE)</f>
        <v>1156</v>
      </c>
      <c r="Q9" s="38">
        <f>VLOOKUP('Hide - Control'!$B$4,'All practice data'!B:BC,3,FALSE)</f>
        <v>381450</v>
      </c>
      <c r="R9" s="38">
        <f>100000*(P9*(1-1/(9*P9)-1.96/(3*SQRT(P9)))^3)/Q9</f>
        <v>285.8334556796434</v>
      </c>
      <c r="S9" s="38">
        <f>100000*((P9+1)*(1-1/(9*(P9+1))+1.96/(3*SQRT(P9+1)))^3)/Q9</f>
        <v>321.0411117033968</v>
      </c>
      <c r="T9" s="53">
        <f t="shared" si="16"/>
        <v>663.5700073242188</v>
      </c>
      <c r="U9" s="51">
        <f t="shared" si="1"/>
        <v>92.60600280761719</v>
      </c>
      <c r="V9" s="7"/>
      <c r="W9" s="27">
        <f t="shared" si="2"/>
        <v>-71.3255615234375</v>
      </c>
      <c r="X9" s="27">
        <f t="shared" si="3"/>
        <v>663.5700073242188</v>
      </c>
      <c r="Y9" s="27">
        <f t="shared" si="4"/>
        <v>-71.3255615234375</v>
      </c>
      <c r="Z9" s="27">
        <f t="shared" si="5"/>
        <v>663.5700073242188</v>
      </c>
      <c r="AA9" s="32">
        <f t="shared" si="6"/>
        <v>0.22306783613909323</v>
      </c>
      <c r="AB9" s="33">
        <f t="shared" si="7"/>
        <v>0.3802725154351607</v>
      </c>
      <c r="AC9" s="33">
        <v>0.5</v>
      </c>
      <c r="AD9" s="33">
        <f t="shared" si="8"/>
        <v>0.6156663050269635</v>
      </c>
      <c r="AE9" s="33">
        <f t="shared" si="9"/>
        <v>1</v>
      </c>
      <c r="AF9" s="33">
        <f t="shared" si="10"/>
        <v>-999</v>
      </c>
      <c r="AG9" s="33">
        <f t="shared" si="11"/>
        <v>0.5946838952601433</v>
      </c>
      <c r="AH9" s="33">
        <f t="shared" si="12"/>
        <v>-999</v>
      </c>
      <c r="AI9" s="34">
        <f t="shared" si="13"/>
        <v>0.7034270861940154</v>
      </c>
      <c r="AJ9" s="4">
        <v>4.854042143202755</v>
      </c>
      <c r="AK9" s="32">
        <f t="shared" si="14"/>
        <v>-999</v>
      </c>
      <c r="AL9" s="34">
        <f t="shared" si="15"/>
        <v>-999</v>
      </c>
      <c r="AQ9" s="103">
        <v>4</v>
      </c>
      <c r="AR9" s="103">
        <v>1.0899</v>
      </c>
      <c r="AS9" s="103">
        <v>10.2416</v>
      </c>
      <c r="AY9" s="103" t="s">
        <v>90</v>
      </c>
      <c r="AZ9" s="103" t="s">
        <v>407</v>
      </c>
      <c r="BA9" s="103" t="s">
        <v>343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284.43722064201546</v>
      </c>
      <c r="F10" s="38">
        <f>IF(LEFT(VLOOKUP($B10,'Indicator chart'!$D$1:$J$36,6,FALSE),1)=" "," ",VLOOKUP($B10,'Indicator chart'!$D$1:$J$36,6,FALSE))</f>
        <v>113.95282001537662</v>
      </c>
      <c r="G10" s="38">
        <f>IF(LEFT(VLOOKUP($B10,'Indicator chart'!$D$1:$J$36,7,FALSE),1)=" "," ",VLOOKUP($B10,'Indicator chart'!$D$1:$J$36,7,FALSE))</f>
        <v>586.0793766065892</v>
      </c>
      <c r="H10" s="50">
        <f t="shared" si="0"/>
        <v>2</v>
      </c>
      <c r="I10" s="38">
        <v>44.173431396484375</v>
      </c>
      <c r="J10" s="38">
        <v>117.20486450195312</v>
      </c>
      <c r="K10" s="38">
        <v>147.7543487548828</v>
      </c>
      <c r="L10" s="38">
        <v>192.2973175048828</v>
      </c>
      <c r="M10" s="38">
        <v>761.2667236328125</v>
      </c>
      <c r="N10" s="80">
        <f>VLOOKUP('Hide - Control'!B$3,'All practice data'!A:CA,A10+29,FALSE)</f>
        <v>162.01337003539126</v>
      </c>
      <c r="O10" s="80">
        <f>VLOOKUP('Hide - Control'!C$3,'All practice data'!A:CA,A10+29,FALSE)</f>
        <v>234.12259778895606</v>
      </c>
      <c r="P10" s="38">
        <f>VLOOKUP('Hide - Control'!$B$4,'All practice data'!B:BC,A10+2,FALSE)</f>
        <v>618</v>
      </c>
      <c r="Q10" s="38">
        <f>VLOOKUP('Hide - Control'!$B$4,'All practice data'!B:BC,3,FALSE)</f>
        <v>381450</v>
      </c>
      <c r="R10" s="38">
        <f>100000*(P10*(1-1/(9*P10)-1.96/(3*SQRT(P10)))^3)/Q10</f>
        <v>149.48971123993363</v>
      </c>
      <c r="S10" s="38">
        <f>100000*((P10+1)*(1-1/(9*(P10+1))+1.96/(3*SQRT(P10+1)))^3)/Q10</f>
        <v>175.306060213057</v>
      </c>
      <c r="T10" s="53">
        <f t="shared" si="16"/>
        <v>761.2667236328125</v>
      </c>
      <c r="U10" s="51">
        <f t="shared" si="1"/>
        <v>44.173431396484375</v>
      </c>
      <c r="V10" s="7"/>
      <c r="W10" s="27">
        <f t="shared" si="2"/>
        <v>-465.7580261230469</v>
      </c>
      <c r="X10" s="27">
        <f t="shared" si="3"/>
        <v>761.2667236328125</v>
      </c>
      <c r="Y10" s="27">
        <f t="shared" si="4"/>
        <v>-465.7580261230469</v>
      </c>
      <c r="Z10" s="27">
        <f t="shared" si="5"/>
        <v>761.2667236328125</v>
      </c>
      <c r="AA10" s="32">
        <f t="shared" si="6"/>
        <v>0.41558367720047384</v>
      </c>
      <c r="AB10" s="33">
        <f t="shared" si="7"/>
        <v>0.47510279702262886</v>
      </c>
      <c r="AC10" s="33">
        <v>0.5</v>
      </c>
      <c r="AD10" s="33">
        <f t="shared" si="8"/>
        <v>0.5363016057816785</v>
      </c>
      <c r="AE10" s="33">
        <f t="shared" si="9"/>
        <v>1</v>
      </c>
      <c r="AF10" s="33">
        <f t="shared" si="10"/>
        <v>-999</v>
      </c>
      <c r="AG10" s="33">
        <f t="shared" si="11"/>
        <v>0.6113937366905831</v>
      </c>
      <c r="AH10" s="33">
        <f t="shared" si="12"/>
        <v>-999</v>
      </c>
      <c r="AI10" s="34">
        <f t="shared" si="13"/>
        <v>0.5703883512139897</v>
      </c>
      <c r="AJ10" s="4">
        <v>5.930037568584676</v>
      </c>
      <c r="AK10" s="32">
        <f t="shared" si="14"/>
        <v>-999</v>
      </c>
      <c r="AL10" s="34">
        <f t="shared" si="15"/>
        <v>-999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27</v>
      </c>
      <c r="E11" s="38">
        <f>IF(LEFT(VLOOKUP($B11,'Indicator chart'!$D$1:$J$36,5,FALSE),1)=" "," ",VLOOKUP($B11,'Indicator chart'!$D$1:$J$36,5,FALSE))</f>
        <v>0.011000000000000001</v>
      </c>
      <c r="F11" s="38">
        <f>IF(LEFT(VLOOKUP($B11,'Indicator chart'!$D$1:$J$36,6,FALSE),1)=" "," ",VLOOKUP($B11,'Indicator chart'!$D$1:$J$36,6,FALSE))</f>
        <v>0.007550926356215564</v>
      </c>
      <c r="G11" s="38">
        <f>IF(LEFT(VLOOKUP($B11,'Indicator chart'!$D$1:$J$36,7,FALSE),1)=" "," ",VLOOKUP($B11,'Indicator chart'!$D$1:$J$36,7,FALSE))</f>
        <v>0.015915733732611237</v>
      </c>
      <c r="H11" s="50">
        <f t="shared" si="0"/>
        <v>2</v>
      </c>
      <c r="I11" s="38">
        <v>0.0020000000949949026</v>
      </c>
      <c r="J11" s="38">
        <v>0.009999999776482582</v>
      </c>
      <c r="K11" s="38">
        <v>0.011500000022351742</v>
      </c>
      <c r="L11" s="38">
        <v>0.015250000171363354</v>
      </c>
      <c r="M11" s="38">
        <v>0.026000000536441803</v>
      </c>
      <c r="N11" s="80">
        <f>VLOOKUP('Hide - Control'!B$3,'All practice data'!A:CA,A11+29,FALSE)</f>
        <v>0.013039716869838774</v>
      </c>
      <c r="O11" s="80">
        <f>VLOOKUP('Hide - Control'!C$3,'All practice data'!A:CA,A11+29,FALSE)</f>
        <v>0.015940726342527432</v>
      </c>
      <c r="P11" s="38">
        <f>VLOOKUP('Hide - Control'!$B$4,'All practice data'!B:BC,A11+2,FALSE)</f>
        <v>4974</v>
      </c>
      <c r="Q11" s="38">
        <f>VLOOKUP('Hide - Control'!$B$4,'All practice data'!B:BC,3,FALSE)</f>
        <v>381450</v>
      </c>
      <c r="R11" s="80">
        <f aca="true" t="shared" si="17" ref="R11:R16">+((2*P11+1.96^2-1.96*SQRT(1.96^2+4*P11*(1-P11/Q11)))/(2*(Q11+1.96^2)))</f>
        <v>0.012684573946431207</v>
      </c>
      <c r="S11" s="80">
        <f aca="true" t="shared" si="18" ref="S11:S16">+((2*P11+1.96^2+1.96*SQRT(1.96^2+4*P11*(1-P11/Q11)))/(2*(Q11+1.96^2)))</f>
        <v>0.013404668092021501</v>
      </c>
      <c r="T11" s="53">
        <f t="shared" si="16"/>
        <v>0.026000000536441803</v>
      </c>
      <c r="U11" s="51">
        <f t="shared" si="1"/>
        <v>0.0020000000949949026</v>
      </c>
      <c r="V11" s="7"/>
      <c r="W11" s="27">
        <f t="shared" si="2"/>
        <v>-0.0030000004917383194</v>
      </c>
      <c r="X11" s="27">
        <f t="shared" si="3"/>
        <v>0.026000000536441803</v>
      </c>
      <c r="Y11" s="27">
        <f t="shared" si="4"/>
        <v>-0.0030000004917383194</v>
      </c>
      <c r="Z11" s="27">
        <f t="shared" si="5"/>
        <v>0.026000000536441803</v>
      </c>
      <c r="AA11" s="32">
        <f t="shared" si="6"/>
        <v>0.17241380722278526</v>
      </c>
      <c r="AB11" s="33">
        <f t="shared" si="7"/>
        <v>0.44827585542457166</v>
      </c>
      <c r="AC11" s="33">
        <v>0.5</v>
      </c>
      <c r="AD11" s="33">
        <f t="shared" si="8"/>
        <v>0.6293103453812857</v>
      </c>
      <c r="AE11" s="33">
        <f t="shared" si="9"/>
        <v>1</v>
      </c>
      <c r="AF11" s="33">
        <f t="shared" si="10"/>
        <v>-999</v>
      </c>
      <c r="AG11" s="33">
        <f t="shared" si="11"/>
        <v>0.48275862053018975</v>
      </c>
      <c r="AH11" s="33">
        <f t="shared" si="12"/>
        <v>-999</v>
      </c>
      <c r="AI11" s="34">
        <f t="shared" si="13"/>
        <v>0.6531284883700698</v>
      </c>
      <c r="AJ11" s="4">
        <v>7.0060329939666</v>
      </c>
      <c r="AK11" s="32">
        <f t="shared" si="14"/>
        <v>-999</v>
      </c>
      <c r="AL11" s="34">
        <f t="shared" si="15"/>
        <v>-999</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116</v>
      </c>
      <c r="E12" s="38">
        <f>IF(LEFT(VLOOKUP($B12,'Indicator chart'!$D$1:$J$36,5,FALSE),1)=" "," ",VLOOKUP($B12,'Indicator chart'!$D$1:$J$36,5,FALSE))</f>
        <v>0.560386</v>
      </c>
      <c r="F12" s="38">
        <f>IF(LEFT(VLOOKUP($B12,'Indicator chart'!$D$1:$J$36,6,FALSE),1)=" "," ",VLOOKUP($B12,'Indicator chart'!$D$1:$J$36,6,FALSE))</f>
        <v>0.49227988461993055</v>
      </c>
      <c r="G12" s="38">
        <f>IF(LEFT(VLOOKUP($B12,'Indicator chart'!$D$1:$J$36,7,FALSE),1)=" "," ",VLOOKUP($B12,'Indicator chart'!$D$1:$J$36,7,FALSE))</f>
        <v>0.6262925413149892</v>
      </c>
      <c r="H12" s="50">
        <f t="shared" si="0"/>
        <v>1</v>
      </c>
      <c r="I12" s="38">
        <v>0.34545499086380005</v>
      </c>
      <c r="J12" s="38">
        <v>0.5866907238960266</v>
      </c>
      <c r="K12" s="38">
        <v>0.6390475034713745</v>
      </c>
      <c r="L12" s="38">
        <v>0.6899794936180115</v>
      </c>
      <c r="M12" s="38">
        <v>0.7806169986724854</v>
      </c>
      <c r="N12" s="80">
        <f>VLOOKUP('Hide - Control'!B$3,'All practice data'!A:CA,A12+29,FALSE)</f>
        <v>0.6535830407075043</v>
      </c>
      <c r="O12" s="80">
        <f>VLOOKUP('Hide - Control'!C$3,'All practice data'!A:CA,A12+29,FALSE)</f>
        <v>0.7248631360507991</v>
      </c>
      <c r="P12" s="38">
        <f>VLOOKUP('Hide - Control'!$B$4,'All practice data'!B:BC,A12+2,FALSE)</f>
        <v>25127</v>
      </c>
      <c r="Q12" s="38">
        <f>VLOOKUP('Hide - Control'!$B$4,'All practice data'!B:BJ,57,FALSE)</f>
        <v>38445</v>
      </c>
      <c r="R12" s="38">
        <f t="shared" si="17"/>
        <v>0.6488114237544953</v>
      </c>
      <c r="S12" s="38">
        <f t="shared" si="18"/>
        <v>0.6583239672893795</v>
      </c>
      <c r="T12" s="53">
        <f t="shared" si="16"/>
        <v>0.7806169986724854</v>
      </c>
      <c r="U12" s="51">
        <f t="shared" si="1"/>
        <v>0.34545499086380005</v>
      </c>
      <c r="V12" s="7"/>
      <c r="W12" s="27">
        <f t="shared" si="2"/>
        <v>0.34545499086380005</v>
      </c>
      <c r="X12" s="27">
        <f t="shared" si="3"/>
        <v>0.932640016078949</v>
      </c>
      <c r="Y12" s="27">
        <f t="shared" si="4"/>
        <v>0.34545499086380005</v>
      </c>
      <c r="Z12" s="27">
        <f t="shared" si="5"/>
        <v>0.932640016078949</v>
      </c>
      <c r="AA12" s="32">
        <f t="shared" si="6"/>
        <v>0</v>
      </c>
      <c r="AB12" s="33">
        <f t="shared" si="7"/>
        <v>0.41083427313875387</v>
      </c>
      <c r="AC12" s="33">
        <v>0.5</v>
      </c>
      <c r="AD12" s="33">
        <f t="shared" si="8"/>
        <v>0.5867392524664182</v>
      </c>
      <c r="AE12" s="33">
        <f t="shared" si="9"/>
        <v>0.7410986130806704</v>
      </c>
      <c r="AF12" s="33">
        <f t="shared" si="10"/>
        <v>-999</v>
      </c>
      <c r="AG12" s="33">
        <f t="shared" si="11"/>
        <v>-999</v>
      </c>
      <c r="AH12" s="33">
        <f t="shared" si="12"/>
        <v>0.36603625757902747</v>
      </c>
      <c r="AI12" s="34">
        <f t="shared" si="13"/>
        <v>0.6461475155092402</v>
      </c>
      <c r="AJ12" s="4">
        <v>8.082028419348523</v>
      </c>
      <c r="AK12" s="32">
        <f t="shared" si="14"/>
        <v>0.36603625757902747</v>
      </c>
      <c r="AL12" s="34">
        <f t="shared" si="15"/>
        <v>-999</v>
      </c>
      <c r="AY12" s="103" t="s">
        <v>261</v>
      </c>
      <c r="AZ12" s="103" t="s">
        <v>460</v>
      </c>
      <c r="BA12" s="103" t="s">
        <v>343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v>
      </c>
      <c r="E13" s="38">
        <f>IF(LEFT(VLOOKUP($B13,'Indicator chart'!$D$1:$J$36,5,FALSE),1)=" "," ",VLOOKUP($B13,'Indicator chart'!$D$1:$J$36,5,FALSE))</f>
        <v>0.571429</v>
      </c>
      <c r="F13" s="38">
        <f>IF(LEFT(VLOOKUP($B13,'Indicator chart'!$D$1:$J$36,6,FALSE),1)=" "," ",VLOOKUP($B13,'Indicator chart'!$D$1:$J$36,6,FALSE))</f>
        <v>0.3654621629703245</v>
      </c>
      <c r="G13" s="38">
        <f>IF(LEFT(VLOOKUP($B13,'Indicator chart'!$D$1:$J$36,7,FALSE),1)=" "," ",VLOOKUP($B13,'Indicator chart'!$D$1:$J$36,7,FALSE))</f>
        <v>0.7553030051347894</v>
      </c>
      <c r="H13" s="50">
        <f t="shared" si="0"/>
        <v>2</v>
      </c>
      <c r="I13" s="38">
        <v>0.14285700023174286</v>
      </c>
      <c r="J13" s="38">
        <v>0.4833329916000366</v>
      </c>
      <c r="K13" s="38">
        <v>0.6056165099143982</v>
      </c>
      <c r="L13" s="38">
        <v>0.6696000099182129</v>
      </c>
      <c r="M13" s="38">
        <v>0.8888890147209167</v>
      </c>
      <c r="N13" s="80">
        <f>VLOOKUP('Hide - Control'!B$3,'All practice data'!A:CA,A13+29,FALSE)</f>
        <v>0.6655227032734953</v>
      </c>
      <c r="O13" s="80">
        <f>VLOOKUP('Hide - Control'!C$3,'All practice data'!A:CA,A13+29,FALSE)</f>
        <v>0.7467412166569077</v>
      </c>
      <c r="P13" s="38">
        <f>VLOOKUP('Hide - Control'!$B$4,'All practice data'!B:BC,A13+2,FALSE)</f>
        <v>10084</v>
      </c>
      <c r="Q13" s="38">
        <f>VLOOKUP('Hide - Control'!$B$4,'All practice data'!B:BJ,58,FALSE)</f>
        <v>15152</v>
      </c>
      <c r="R13" s="38">
        <f t="shared" si="17"/>
        <v>0.6579690590830057</v>
      </c>
      <c r="S13" s="38">
        <f t="shared" si="18"/>
        <v>0.672992436318213</v>
      </c>
      <c r="T13" s="53">
        <f t="shared" si="16"/>
        <v>0.8888890147209167</v>
      </c>
      <c r="U13" s="51">
        <f t="shared" si="1"/>
        <v>0.14285700023174286</v>
      </c>
      <c r="V13" s="7"/>
      <c r="W13" s="27">
        <f t="shared" si="2"/>
        <v>0.14285700023174286</v>
      </c>
      <c r="X13" s="27">
        <f t="shared" si="3"/>
        <v>1.0683760195970535</v>
      </c>
      <c r="Y13" s="27">
        <f t="shared" si="4"/>
        <v>0.14285700023174286</v>
      </c>
      <c r="Z13" s="27">
        <f t="shared" si="5"/>
        <v>1.0683760195970535</v>
      </c>
      <c r="AA13" s="32">
        <f t="shared" si="6"/>
        <v>0</v>
      </c>
      <c r="AB13" s="33">
        <f t="shared" si="7"/>
        <v>0.3678757370127094</v>
      </c>
      <c r="AC13" s="33">
        <v>0.5</v>
      </c>
      <c r="AD13" s="33">
        <f t="shared" si="8"/>
        <v>0.5691325609361246</v>
      </c>
      <c r="AE13" s="33">
        <f t="shared" si="9"/>
        <v>0.8060688099103325</v>
      </c>
      <c r="AF13" s="33">
        <f t="shared" si="10"/>
        <v>-999</v>
      </c>
      <c r="AG13" s="33">
        <f t="shared" si="11"/>
        <v>0.4630612562258927</v>
      </c>
      <c r="AH13" s="33">
        <f t="shared" si="12"/>
        <v>-999</v>
      </c>
      <c r="AI13" s="34">
        <f t="shared" si="13"/>
        <v>0.6524816927471551</v>
      </c>
      <c r="AJ13" s="4">
        <v>9.158023844730446</v>
      </c>
      <c r="AK13" s="32">
        <f t="shared" si="14"/>
        <v>-999</v>
      </c>
      <c r="AL13" s="34">
        <f t="shared" si="15"/>
        <v>-999</v>
      </c>
      <c r="AY13" s="103" t="s">
        <v>260</v>
      </c>
      <c r="AZ13" s="103" t="s">
        <v>459</v>
      </c>
      <c r="BA13" s="103" t="s">
        <v>343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475</v>
      </c>
      <c r="E14" s="38">
        <f>IF(LEFT(VLOOKUP($B14,'Indicator chart'!$D$1:$J$36,5,FALSE),1)=" "," ",VLOOKUP($B14,'Indicator chart'!$D$1:$J$36,5,FALSE))</f>
        <v>0.728528</v>
      </c>
      <c r="F14" s="38">
        <f>IF(LEFT(VLOOKUP($B14,'Indicator chart'!$D$1:$J$36,6,FALSE),1)=" "," ",VLOOKUP($B14,'Indicator chart'!$D$1:$J$36,6,FALSE))</f>
        <v>0.6931263845048832</v>
      </c>
      <c r="G14" s="38">
        <f>IF(LEFT(VLOOKUP($B14,'Indicator chart'!$D$1:$J$36,7,FALSE),1)=" "," ",VLOOKUP($B14,'Indicator chart'!$D$1:$J$36,7,FALSE))</f>
        <v>0.7612516238434741</v>
      </c>
      <c r="H14" s="50">
        <f t="shared" si="0"/>
        <v>2</v>
      </c>
      <c r="I14" s="38">
        <v>0.5861740112304688</v>
      </c>
      <c r="J14" s="38">
        <v>0.7043265104293823</v>
      </c>
      <c r="K14" s="38">
        <v>0.7385514974594116</v>
      </c>
      <c r="L14" s="38">
        <v>0.7716109752655029</v>
      </c>
      <c r="M14" s="38">
        <v>0.8738740086555481</v>
      </c>
      <c r="N14" s="80">
        <f>VLOOKUP('Hide - Control'!B$3,'All practice data'!A:CA,A14+29,FALSE)</f>
        <v>0.7327733939104097</v>
      </c>
      <c r="O14" s="80">
        <f>VLOOKUP('Hide - Control'!C$3,'All practice data'!A:CA,A14+29,FALSE)</f>
        <v>0.7559681673907895</v>
      </c>
      <c r="P14" s="38">
        <f>VLOOKUP('Hide - Control'!$B$4,'All practice data'!B:BC,A14+2,FALSE)</f>
        <v>73547</v>
      </c>
      <c r="Q14" s="38">
        <f>VLOOKUP('Hide - Control'!$B$4,'All practice data'!B:BJ,59,FALSE)</f>
        <v>100368</v>
      </c>
      <c r="R14" s="38">
        <f t="shared" si="17"/>
        <v>0.7300268398916621</v>
      </c>
      <c r="S14" s="38">
        <f t="shared" si="18"/>
        <v>0.7355021297391992</v>
      </c>
      <c r="T14" s="53">
        <f t="shared" si="16"/>
        <v>0.8738740086555481</v>
      </c>
      <c r="U14" s="51">
        <f t="shared" si="1"/>
        <v>0.5861740112304688</v>
      </c>
      <c r="V14" s="7"/>
      <c r="W14" s="27">
        <f t="shared" si="2"/>
        <v>0.5861740112304688</v>
      </c>
      <c r="X14" s="27">
        <f t="shared" si="3"/>
        <v>0.8909289836883545</v>
      </c>
      <c r="Y14" s="27">
        <f t="shared" si="4"/>
        <v>0.5861740112304688</v>
      </c>
      <c r="Z14" s="27">
        <f t="shared" si="5"/>
        <v>0.8909289836883545</v>
      </c>
      <c r="AA14" s="32">
        <f t="shared" si="6"/>
        <v>0</v>
      </c>
      <c r="AB14" s="33">
        <f t="shared" si="7"/>
        <v>0.3876967067870931</v>
      </c>
      <c r="AC14" s="33">
        <v>0.5</v>
      </c>
      <c r="AD14" s="33">
        <f t="shared" si="8"/>
        <v>0.6084788790793555</v>
      </c>
      <c r="AE14" s="33">
        <f t="shared" si="9"/>
        <v>0.9440370902064175</v>
      </c>
      <c r="AF14" s="33">
        <f t="shared" si="10"/>
        <v>-999</v>
      </c>
      <c r="AG14" s="33">
        <f t="shared" si="11"/>
        <v>0.46710965081694666</v>
      </c>
      <c r="AH14" s="33">
        <f t="shared" si="12"/>
        <v>-999</v>
      </c>
      <c r="AI14" s="34">
        <f t="shared" si="13"/>
        <v>0.5571497481760851</v>
      </c>
      <c r="AJ14" s="4">
        <v>10.234019270112368</v>
      </c>
      <c r="AK14" s="32">
        <f t="shared" si="14"/>
        <v>-999</v>
      </c>
      <c r="AL14" s="34">
        <f t="shared" si="15"/>
        <v>-999</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60</v>
      </c>
      <c r="E15" s="38">
        <f>IF(LEFT(VLOOKUP($B15,'Indicator chart'!$D$1:$J$36,5,FALSE),1)=" "," ",VLOOKUP($B15,'Indicator chart'!$D$1:$J$36,5,FALSE))</f>
        <v>0.372671</v>
      </c>
      <c r="F15" s="38">
        <f>IF(LEFT(VLOOKUP($B15,'Indicator chart'!$D$1:$J$36,6,FALSE),1)=" "," ",VLOOKUP($B15,'Indicator chart'!$D$1:$J$36,6,FALSE))</f>
        <v>0.3017655254139041</v>
      </c>
      <c r="G15" s="38">
        <f>IF(LEFT(VLOOKUP($B15,'Indicator chart'!$D$1:$J$36,7,FALSE),1)=" "," ",VLOOKUP($B15,'Indicator chart'!$D$1:$J$36,7,FALSE))</f>
        <v>0.44951085142301084</v>
      </c>
      <c r="H15" s="50">
        <f t="shared" si="0"/>
        <v>1</v>
      </c>
      <c r="I15" s="38">
        <v>0.2751680016517639</v>
      </c>
      <c r="J15" s="38">
        <v>0.37550199031829834</v>
      </c>
      <c r="K15" s="38">
        <v>0.4248819947242737</v>
      </c>
      <c r="L15" s="38">
        <v>0.4918470084667206</v>
      </c>
      <c r="M15" s="38">
        <v>0.6303240060806274</v>
      </c>
      <c r="N15" s="80">
        <f>VLOOKUP('Hide - Control'!B$3,'All practice data'!A:CA,A15+29,FALSE)</f>
        <v>0.4710412423625255</v>
      </c>
      <c r="O15" s="80">
        <f>VLOOKUP('Hide - Control'!C$3,'All practice data'!A:CA,A15+29,FALSE)</f>
        <v>0.5147293797466616</v>
      </c>
      <c r="P15" s="38">
        <f>VLOOKUP('Hide - Control'!$B$4,'All practice data'!B:BC,A15+2,FALSE)</f>
        <v>14802</v>
      </c>
      <c r="Q15" s="38">
        <f>VLOOKUP('Hide - Control'!$B$4,'All practice data'!B:BJ,60,FALSE)</f>
        <v>31424</v>
      </c>
      <c r="R15" s="38">
        <f t="shared" si="17"/>
        <v>0.4655260507715261</v>
      </c>
      <c r="S15" s="38">
        <f t="shared" si="18"/>
        <v>0.47656351353377446</v>
      </c>
      <c r="T15" s="53">
        <f t="shared" si="16"/>
        <v>0.6303240060806274</v>
      </c>
      <c r="U15" s="51">
        <f t="shared" si="1"/>
        <v>0.2751680016517639</v>
      </c>
      <c r="V15" s="7"/>
      <c r="W15" s="27">
        <f t="shared" si="2"/>
        <v>0.21943998336791992</v>
      </c>
      <c r="X15" s="27">
        <f t="shared" si="3"/>
        <v>0.6303240060806274</v>
      </c>
      <c r="Y15" s="27">
        <f t="shared" si="4"/>
        <v>0.21943998336791992</v>
      </c>
      <c r="Z15" s="27">
        <f t="shared" si="5"/>
        <v>0.6303240060806274</v>
      </c>
      <c r="AA15" s="32">
        <f t="shared" si="6"/>
        <v>0.13562955774215962</v>
      </c>
      <c r="AB15" s="33">
        <f t="shared" si="7"/>
        <v>0.3798200911294569</v>
      </c>
      <c r="AC15" s="33">
        <v>0.5</v>
      </c>
      <c r="AD15" s="33">
        <f t="shared" si="8"/>
        <v>0.6629778965371677</v>
      </c>
      <c r="AE15" s="33">
        <f t="shared" si="9"/>
        <v>1</v>
      </c>
      <c r="AF15" s="33">
        <f t="shared" si="10"/>
        <v>-999</v>
      </c>
      <c r="AG15" s="33">
        <f t="shared" si="11"/>
        <v>-999</v>
      </c>
      <c r="AH15" s="33">
        <f t="shared" si="12"/>
        <v>0.37293009258532317</v>
      </c>
      <c r="AI15" s="34">
        <f t="shared" si="13"/>
        <v>0.7186684807776273</v>
      </c>
      <c r="AJ15" s="4">
        <v>11.310014695494289</v>
      </c>
      <c r="AK15" s="32">
        <f t="shared" si="14"/>
        <v>0.37293009258532317</v>
      </c>
      <c r="AL15" s="34">
        <f t="shared" si="15"/>
        <v>-999</v>
      </c>
      <c r="AY15" s="103" t="s">
        <v>229</v>
      </c>
      <c r="AZ15" s="103" t="s">
        <v>230</v>
      </c>
      <c r="BA15" s="103" t="s">
        <v>343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v>
      </c>
      <c r="E16" s="38">
        <f>IF(LEFT(VLOOKUP($B16,'Indicator chart'!$D$1:$J$36,5,FALSE),1)=" "," ",VLOOKUP($B16,'Indicator chart'!$D$1:$J$36,5,FALSE))</f>
        <v>0.38961</v>
      </c>
      <c r="F16" s="38">
        <f>IF(LEFT(VLOOKUP($B16,'Indicator chart'!$D$1:$J$36,6,FALSE),1)=" "," ",VLOOKUP($B16,'Indicator chart'!$D$1:$J$36,6,FALSE))</f>
        <v>0.28842084532265894</v>
      </c>
      <c r="G16" s="38">
        <f>IF(LEFT(VLOOKUP($B16,'Indicator chart'!$D$1:$J$36,7,FALSE),1)=" "," ",VLOOKUP($B16,'Indicator chart'!$D$1:$J$36,7,FALSE))</f>
        <v>0.5012913820454288</v>
      </c>
      <c r="H16" s="50">
        <f t="shared" si="0"/>
        <v>2</v>
      </c>
      <c r="I16" s="38">
        <v>0.2651520073413849</v>
      </c>
      <c r="J16" s="38">
        <v>0.3931342363357544</v>
      </c>
      <c r="K16" s="38">
        <v>0.4476425051689148</v>
      </c>
      <c r="L16" s="38">
        <v>0.5148555040359497</v>
      </c>
      <c r="M16" s="38">
        <v>0.6588789820671082</v>
      </c>
      <c r="N16" s="80">
        <f>VLOOKUP('Hide - Control'!B$3,'All practice data'!A:CA,A16+29,FALSE)</f>
        <v>0.48953786906290114</v>
      </c>
      <c r="O16" s="80">
        <f>VLOOKUP('Hide - Control'!C$3,'All practice data'!A:CA,A16+29,FALSE)</f>
        <v>0.5752927626212945</v>
      </c>
      <c r="P16" s="38">
        <f>VLOOKUP('Hide - Control'!$B$4,'All practice data'!B:BC,A16+2,FALSE)</f>
        <v>7627</v>
      </c>
      <c r="Q16" s="38">
        <f>VLOOKUP('Hide - Control'!$B$4,'All practice data'!B:BJ,61,FALSE)</f>
        <v>15580</v>
      </c>
      <c r="R16" s="38">
        <f t="shared" si="17"/>
        <v>0.48169182013936634</v>
      </c>
      <c r="S16" s="38">
        <f t="shared" si="18"/>
        <v>0.49738907606276134</v>
      </c>
      <c r="T16" s="53">
        <f aca="true" t="shared" si="19" ref="T16:T31">IF($C16=1,M16,I16)</f>
        <v>0.6588789820671082</v>
      </c>
      <c r="U16" s="51">
        <f aca="true" t="shared" si="20" ref="U16:U31">IF($C16=1,I16,M16)</f>
        <v>0.2651520073413849</v>
      </c>
      <c r="V16" s="7"/>
      <c r="W16" s="27">
        <f t="shared" si="2"/>
        <v>0.23640602827072144</v>
      </c>
      <c r="X16" s="27">
        <f t="shared" si="3"/>
        <v>0.6588789820671082</v>
      </c>
      <c r="Y16" s="27">
        <f t="shared" si="4"/>
        <v>0.23640602827072144</v>
      </c>
      <c r="Z16" s="27">
        <f t="shared" si="5"/>
        <v>0.6588789820671082</v>
      </c>
      <c r="AA16" s="32">
        <f t="shared" si="6"/>
        <v>0.06804217598392759</v>
      </c>
      <c r="AB16" s="33">
        <f t="shared" si="7"/>
        <v>0.37097808666012033</v>
      </c>
      <c r="AC16" s="33">
        <v>0.5</v>
      </c>
      <c r="AD16" s="33">
        <f t="shared" si="8"/>
        <v>0.6590942053522049</v>
      </c>
      <c r="AE16" s="33">
        <f t="shared" si="9"/>
        <v>1</v>
      </c>
      <c r="AF16" s="33">
        <f t="shared" si="10"/>
        <v>-999</v>
      </c>
      <c r="AG16" s="33">
        <f t="shared" si="11"/>
        <v>0.36263616487770745</v>
      </c>
      <c r="AH16" s="33">
        <f t="shared" si="12"/>
        <v>-999</v>
      </c>
      <c r="AI16" s="34">
        <f t="shared" si="13"/>
        <v>0.8021501289142913</v>
      </c>
      <c r="AJ16" s="4">
        <v>12.386010120876215</v>
      </c>
      <c r="AK16" s="32">
        <f t="shared" si="14"/>
        <v>-999</v>
      </c>
      <c r="AL16" s="34">
        <f t="shared" si="15"/>
        <v>-999</v>
      </c>
      <c r="AY16" s="103" t="s">
        <v>342</v>
      </c>
      <c r="AZ16" s="103" t="s">
        <v>362</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31</v>
      </c>
      <c r="E17" s="38">
        <f>IF(LEFT(VLOOKUP($B17,'Indicator chart'!$D$1:$J$36,5,FALSE),1)=" "," ",VLOOKUP($B17,'Indicator chart'!$D$1:$J$36,5,FALSE))</f>
        <v>1259.650548557497</v>
      </c>
      <c r="F17" s="38">
        <f>IF(LEFT(VLOOKUP($B17,'Indicator chart'!$D$1:$J$36,6,FALSE),1)=" "," ",VLOOKUP($B17,'Indicator chart'!$D$1:$J$36,6,FALSE))</f>
        <v>855.7085126449912</v>
      </c>
      <c r="G17" s="38">
        <f>IF(LEFT(VLOOKUP($B17,'Indicator chart'!$D$1:$J$36,7,FALSE),1)=" "," ",VLOOKUP($B17,'Indicator chart'!$D$1:$J$36,7,FALSE))</f>
        <v>1788.044685929426</v>
      </c>
      <c r="H17" s="50">
        <f t="shared" si="0"/>
        <v>2</v>
      </c>
      <c r="I17" s="38">
        <v>209.11752319335938</v>
      </c>
      <c r="J17" s="38">
        <v>801.2404174804688</v>
      </c>
      <c r="K17" s="38">
        <v>1099.725830078125</v>
      </c>
      <c r="L17" s="38">
        <v>1587.4593505859375</v>
      </c>
      <c r="M17" s="38">
        <v>4230.1708984375</v>
      </c>
      <c r="N17" s="80">
        <f>VLOOKUP('Hide - Control'!B$3,'All practice data'!A:CA,A17+29,FALSE)</f>
        <v>1336.2170664569405</v>
      </c>
      <c r="O17" s="80">
        <f>VLOOKUP('Hide - Control'!C$3,'All practice data'!A:CA,A17+29,FALSE)</f>
        <v>1812.1669120472948</v>
      </c>
      <c r="P17" s="38">
        <f>VLOOKUP('Hide - Control'!$B$4,'All practice data'!B:BC,A17+2,FALSE)</f>
        <v>5097</v>
      </c>
      <c r="Q17" s="38">
        <f>VLOOKUP('Hide - Control'!$B$4,'All practice data'!B:BC,3,FALSE)</f>
        <v>381450</v>
      </c>
      <c r="R17" s="38">
        <f>100000*(P17*(1-1/(9*P17)-1.96/(3*SQRT(P17)))^3)/Q17</f>
        <v>1299.7820293706795</v>
      </c>
      <c r="S17" s="38">
        <f>100000*((P17+1)*(1-1/(9*(P17+1))+1.96/(3*SQRT(P17+1)))^3)/Q17</f>
        <v>1373.4144800098559</v>
      </c>
      <c r="T17" s="53">
        <f t="shared" si="19"/>
        <v>4230.1708984375</v>
      </c>
      <c r="U17" s="51">
        <f t="shared" si="20"/>
        <v>209.11752319335938</v>
      </c>
      <c r="V17" s="7"/>
      <c r="W17" s="27">
        <f t="shared" si="2"/>
        <v>-2030.71923828125</v>
      </c>
      <c r="X17" s="27">
        <f t="shared" si="3"/>
        <v>4230.1708984375</v>
      </c>
      <c r="Y17" s="27">
        <f t="shared" si="4"/>
        <v>-2030.71923828125</v>
      </c>
      <c r="Z17" s="27">
        <f t="shared" si="5"/>
        <v>4230.1708984375</v>
      </c>
      <c r="AA17" s="32">
        <f t="shared" si="6"/>
        <v>0.3577505294875655</v>
      </c>
      <c r="AB17" s="33">
        <f t="shared" si="7"/>
        <v>0.4523254032446433</v>
      </c>
      <c r="AC17" s="33">
        <v>0.5</v>
      </c>
      <c r="AD17" s="33">
        <f t="shared" si="8"/>
        <v>0.5779016257843852</v>
      </c>
      <c r="AE17" s="33">
        <f t="shared" si="9"/>
        <v>1</v>
      </c>
      <c r="AF17" s="33">
        <f t="shared" si="10"/>
        <v>-999</v>
      </c>
      <c r="AG17" s="33">
        <f t="shared" si="11"/>
        <v>0.5255434474950214</v>
      </c>
      <c r="AH17" s="33">
        <f t="shared" si="12"/>
        <v>-999</v>
      </c>
      <c r="AI17" s="34">
        <f t="shared" si="13"/>
        <v>0.613792298924215</v>
      </c>
      <c r="AJ17" s="4">
        <v>13.462005546258133</v>
      </c>
      <c r="AK17" s="32">
        <f t="shared" si="14"/>
        <v>-999</v>
      </c>
      <c r="AL17" s="34">
        <f t="shared" si="15"/>
        <v>-999</v>
      </c>
      <c r="AY17" s="103" t="s">
        <v>103</v>
      </c>
      <c r="AZ17" s="103" t="s">
        <v>104</v>
      </c>
      <c r="BA17" s="103" t="s">
        <v>343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31</v>
      </c>
      <c r="E18" s="80">
        <f>IF(LEFT(VLOOKUP($B18,'Indicator chart'!$D$1:$J$36,5,FALSE),1)=" "," ",VLOOKUP($B18,'Indicator chart'!$D$1:$J$36,5,FALSE))</f>
        <v>0.830174408</v>
      </c>
      <c r="F18" s="81">
        <f>IF(LEFT(VLOOKUP($B18,'Indicator chart'!$D$1:$J$36,6,FALSE),1)=" "," ",VLOOKUP($B18,'Indicator chart'!$D$1:$J$36,6,FALSE))</f>
        <v>0.5640632629</v>
      </c>
      <c r="G18" s="38">
        <f>IF(LEFT(VLOOKUP($B18,'Indicator chart'!$D$1:$J$36,7,FALSE),1)=" "," ",VLOOKUP($B18,'Indicator chart'!$D$1:$J$36,7,FALSE))</f>
        <v>1.1783663180000001</v>
      </c>
      <c r="H18" s="50">
        <f>IF(LEFT(F18,1)=" ",4,IF(AND(ABS(N18-E18)&gt;SQRT((E18-G18)^2+(N18-R18)^2),E18&lt;N18),1,IF(AND(ABS(N18-E18)&gt;SQRT((E18-F18)^2+(N18-S18)^2),E18&gt;N18),3,2)))</f>
        <v>2</v>
      </c>
      <c r="I18" s="38">
        <v>0.1551884412765503</v>
      </c>
      <c r="J18" s="38"/>
      <c r="K18" s="38">
        <v>1</v>
      </c>
      <c r="L18" s="38"/>
      <c r="M18" s="38">
        <v>2.453197956085205</v>
      </c>
      <c r="N18" s="80">
        <v>1</v>
      </c>
      <c r="O18" s="80">
        <f>VLOOKUP('Hide - Control'!C$3,'All practice data'!A:CA,A18+29,FALSE)</f>
        <v>1</v>
      </c>
      <c r="P18" s="38">
        <f>VLOOKUP('Hide - Control'!$B$4,'All practice data'!B:BC,A18+2,FALSE)</f>
        <v>5097</v>
      </c>
      <c r="Q18" s="38">
        <f>VLOOKUP('Hide - Control'!$B$4,'All practice data'!B:BC,14,FALSE)</f>
        <v>5097</v>
      </c>
      <c r="R18" s="81">
        <v>1</v>
      </c>
      <c r="S18" s="38">
        <v>1</v>
      </c>
      <c r="T18" s="53">
        <f t="shared" si="19"/>
        <v>2.453197956085205</v>
      </c>
      <c r="U18" s="51">
        <f t="shared" si="20"/>
        <v>0.1551884412765503</v>
      </c>
      <c r="V18" s="7"/>
      <c r="W18" s="27">
        <f>IF((K18-I18)&gt;(M18-K18),I18,(K18-(M18-K18)))</f>
        <v>-0.4531979560852051</v>
      </c>
      <c r="X18" s="27">
        <f t="shared" si="3"/>
        <v>2.453197956085205</v>
      </c>
      <c r="Y18" s="27">
        <f t="shared" si="4"/>
        <v>-0.4531979560852051</v>
      </c>
      <c r="Z18" s="27">
        <f t="shared" si="5"/>
        <v>2.453197956085205</v>
      </c>
      <c r="AA18" s="32" t="s">
        <v>343</v>
      </c>
      <c r="AB18" s="33" t="s">
        <v>343</v>
      </c>
      <c r="AC18" s="33">
        <v>0.5</v>
      </c>
      <c r="AD18" s="33" t="s">
        <v>343</v>
      </c>
      <c r="AE18" s="33" t="s">
        <v>343</v>
      </c>
      <c r="AF18" s="33">
        <f t="shared" si="10"/>
        <v>-999</v>
      </c>
      <c r="AG18" s="33">
        <f t="shared" si="11"/>
        <v>0.4415683213395455</v>
      </c>
      <c r="AH18" s="33">
        <f t="shared" si="12"/>
        <v>-999</v>
      </c>
      <c r="AI18" s="34">
        <v>0.5</v>
      </c>
      <c r="AJ18" s="4">
        <v>14.538000971640056</v>
      </c>
      <c r="AK18" s="32">
        <f t="shared" si="14"/>
        <v>-999</v>
      </c>
      <c r="AL18" s="34">
        <f t="shared" si="15"/>
        <v>-999</v>
      </c>
      <c r="AY18" s="103" t="s">
        <v>105</v>
      </c>
      <c r="AZ18" s="103" t="s">
        <v>106</v>
      </c>
      <c r="BA18" s="103" t="s">
        <v>343</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0.06643001735210419</v>
      </c>
      <c r="K19" s="38">
        <v>0.09445683658123016</v>
      </c>
      <c r="L19" s="38">
        <v>0.13559792935848236</v>
      </c>
      <c r="M19" s="38">
        <v>0.21739129722118378</v>
      </c>
      <c r="N19" s="80">
        <f>VLOOKUP('Hide - Control'!B$3,'All practice data'!A:CA,A19+29,FALSE)</f>
        <v>0.09888169511477339</v>
      </c>
      <c r="O19" s="80">
        <f>VLOOKUP('Hide - Control'!C$3,'All practice data'!A:CA,A19+29,FALSE)</f>
        <v>0.10919341638628717</v>
      </c>
      <c r="P19" s="38">
        <f>VLOOKUP('Hide - Control'!$B$4,'All practice data'!B:BC,A19+2,FALSE)</f>
        <v>504</v>
      </c>
      <c r="Q19" s="38">
        <f>VLOOKUP('Hide - Control'!$B$4,'All practice data'!B:BC,15,FALSE)</f>
        <v>5097</v>
      </c>
      <c r="R19" s="38">
        <f>+((2*P19+1.96^2-1.96*SQRT(1.96^2+4*P19*(1-P19/Q19)))/(2*(Q19+1.96^2)))</f>
        <v>0.09098633319817004</v>
      </c>
      <c r="S19" s="38">
        <f>+((2*P19+1.96^2+1.96*SQRT(1.96^2+4*P19*(1-P19/Q19)))/(2*(Q19+1.96^2)))</f>
        <v>0.1073812459871942</v>
      </c>
      <c r="T19" s="53">
        <f t="shared" si="19"/>
        <v>0.21739129722118378</v>
      </c>
      <c r="U19" s="51">
        <f t="shared" si="20"/>
        <v>0.02070442959666252</v>
      </c>
      <c r="V19" s="7"/>
      <c r="W19" s="27">
        <f t="shared" si="2"/>
        <v>-0.02847762405872345</v>
      </c>
      <c r="X19" s="27">
        <f t="shared" si="3"/>
        <v>0.21739129722118378</v>
      </c>
      <c r="Y19" s="27">
        <f t="shared" si="4"/>
        <v>-0.02847762405872345</v>
      </c>
      <c r="Z19" s="27">
        <f t="shared" si="5"/>
        <v>0.21739129722118378</v>
      </c>
      <c r="AA19" s="32">
        <f t="shared" si="6"/>
        <v>0.2000336333659475</v>
      </c>
      <c r="AB19" s="33">
        <f t="shared" si="7"/>
        <v>0.38600910158458335</v>
      </c>
      <c r="AC19" s="33">
        <v>0.5</v>
      </c>
      <c r="AD19" s="33">
        <f t="shared" si="8"/>
        <v>0.6673293743799994</v>
      </c>
      <c r="AE19" s="33">
        <f t="shared" si="9"/>
        <v>1</v>
      </c>
      <c r="AF19" s="33">
        <f t="shared" si="10"/>
        <v>-999</v>
      </c>
      <c r="AG19" s="33">
        <f t="shared" si="11"/>
        <v>-999</v>
      </c>
      <c r="AH19" s="33">
        <f t="shared" si="12"/>
        <v>-999</v>
      </c>
      <c r="AI19" s="34">
        <f t="shared" si="13"/>
        <v>0.559936732663663</v>
      </c>
      <c r="AJ19" s="4">
        <v>15.61399639702198</v>
      </c>
      <c r="AK19" s="32">
        <f t="shared" si="14"/>
        <v>-999</v>
      </c>
      <c r="AL19" s="34">
        <f t="shared" si="15"/>
        <v>-999</v>
      </c>
      <c r="AY19" s="103" t="s">
        <v>270</v>
      </c>
      <c r="AZ19" s="103" t="s">
        <v>463</v>
      </c>
      <c r="BA19" s="103" t="s">
        <v>343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0.3057692348957062</v>
      </c>
      <c r="K20" s="38">
        <v>0.3827838897705078</v>
      </c>
      <c r="L20" s="38">
        <v>0.5</v>
      </c>
      <c r="M20" s="38">
        <v>0.6078431606292725</v>
      </c>
      <c r="N20" s="80">
        <f>VLOOKUP('Hide - Control'!B$3,'All practice data'!A:CA,A20+29,FALSE)</f>
        <v>0.4228187919463087</v>
      </c>
      <c r="O20" s="80">
        <f>VLOOKUP('Hide - Control'!C$3,'All practice data'!A:CA,A20+29,FALSE)</f>
        <v>0.4534552930810221</v>
      </c>
      <c r="P20" s="38">
        <f>VLOOKUP('Hide - Control'!$B$4,'All practice data'!B:BC,A20+1,FALSE)</f>
        <v>504</v>
      </c>
      <c r="Q20" s="38">
        <f>VLOOKUP('Hide - Control'!$B$4,'All practice data'!B:BC,A20+2,FALSE)</f>
        <v>1192</v>
      </c>
      <c r="R20" s="38">
        <f>+((2*P20+1.96^2-1.96*SQRT(1.96^2+4*P20*(1-P20/Q20)))/(2*(Q20+1.96^2)))</f>
        <v>0.3950659944070988</v>
      </c>
      <c r="S20" s="38">
        <f>+((2*P20+1.96^2+1.96*SQRT(1.96^2+4*P20*(1-P20/Q20)))/(2*(Q20+1.96^2)))</f>
        <v>0.4510674734368029</v>
      </c>
      <c r="T20" s="53">
        <f t="shared" si="19"/>
        <v>0.6078431606292725</v>
      </c>
      <c r="U20" s="51">
        <f t="shared" si="20"/>
        <v>0.09238772839307785</v>
      </c>
      <c r="V20" s="7"/>
      <c r="W20" s="27">
        <f t="shared" si="2"/>
        <v>0.09238772839307785</v>
      </c>
      <c r="X20" s="27">
        <f t="shared" si="3"/>
        <v>0.6731800511479378</v>
      </c>
      <c r="Y20" s="27">
        <f t="shared" si="4"/>
        <v>0.09238772839307785</v>
      </c>
      <c r="Z20" s="27">
        <f t="shared" si="5"/>
        <v>0.6731800511479378</v>
      </c>
      <c r="AA20" s="32">
        <f t="shared" si="6"/>
        <v>0</v>
      </c>
      <c r="AB20" s="33">
        <f t="shared" si="7"/>
        <v>0.36739725740605583</v>
      </c>
      <c r="AC20" s="33">
        <v>0.5</v>
      </c>
      <c r="AD20" s="33">
        <f t="shared" si="8"/>
        <v>0.70182103935793</v>
      </c>
      <c r="AE20" s="33">
        <f t="shared" si="9"/>
        <v>0.8875038667715953</v>
      </c>
      <c r="AF20" s="33">
        <f t="shared" si="10"/>
        <v>-999</v>
      </c>
      <c r="AG20" s="33">
        <f t="shared" si="11"/>
        <v>-999</v>
      </c>
      <c r="AH20" s="33">
        <f t="shared" si="12"/>
        <v>-999</v>
      </c>
      <c r="AI20" s="34">
        <f t="shared" si="13"/>
        <v>0.6216810218415081</v>
      </c>
      <c r="AJ20" s="4">
        <v>16.689991822403904</v>
      </c>
      <c r="AK20" s="32">
        <f t="shared" si="14"/>
        <v>-999</v>
      </c>
      <c r="AL20" s="34">
        <f t="shared" si="15"/>
        <v>-999</v>
      </c>
      <c r="AY20" s="103" t="s">
        <v>211</v>
      </c>
      <c r="AZ20" s="103" t="s">
        <v>444</v>
      </c>
      <c r="BA20" s="103" t="s">
        <v>343</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150.9184112548828</v>
      </c>
      <c r="K21" s="38">
        <v>235.6774444580078</v>
      </c>
      <c r="L21" s="38">
        <v>288.3229064941406</v>
      </c>
      <c r="M21" s="38">
        <v>918.3941040039062</v>
      </c>
      <c r="N21" s="80">
        <f>VLOOKUP('Hide - Control'!B$3,'All practice data'!A:CA,A21+29,FALSE)</f>
        <v>249.31183641368463</v>
      </c>
      <c r="O21" s="80">
        <f>VLOOKUP('Hide - Control'!C$3,'All practice data'!A:CA,A21+29,FALSE)</f>
        <v>377.7293140102421</v>
      </c>
      <c r="P21" s="38">
        <f>VLOOKUP('Hide - Control'!$B$4,'All practice data'!B:BC,A21+2,FALSE)</f>
        <v>951</v>
      </c>
      <c r="Q21" s="38">
        <f>VLOOKUP('Hide - Control'!$B$4,'All practice data'!B:BC,3,FALSE)</f>
        <v>381450</v>
      </c>
      <c r="R21" s="38">
        <f aca="true" t="shared" si="21" ref="R21:R27">100000*(P21*(1-1/(9*P21)-1.96/(3*SQRT(P21)))^3)/Q21</f>
        <v>233.71585399487287</v>
      </c>
      <c r="S21" s="38">
        <f aca="true" t="shared" si="22" ref="S21:S27">100000*((P21+1)*(1-1/(9*(P21+1))+1.96/(3*SQRT(P21+1)))^3)/Q21</f>
        <v>265.6748792007082</v>
      </c>
      <c r="T21" s="53">
        <f t="shared" si="19"/>
        <v>918.3941040039062</v>
      </c>
      <c r="U21" s="51">
        <f t="shared" si="20"/>
        <v>61.46357345581055</v>
      </c>
      <c r="V21" s="7"/>
      <c r="W21" s="27">
        <f t="shared" si="2"/>
        <v>-447.0392150878906</v>
      </c>
      <c r="X21" s="27">
        <f t="shared" si="3"/>
        <v>918.3941040039062</v>
      </c>
      <c r="Y21" s="27">
        <f t="shared" si="4"/>
        <v>-447.0392150878906</v>
      </c>
      <c r="Z21" s="27">
        <f t="shared" si="5"/>
        <v>918.3941040039062</v>
      </c>
      <c r="AA21" s="32">
        <f t="shared" si="6"/>
        <v>0.3724112934946734</v>
      </c>
      <c r="AB21" s="33">
        <f t="shared" si="7"/>
        <v>0.4379251758266002</v>
      </c>
      <c r="AC21" s="33">
        <v>0.5</v>
      </c>
      <c r="AD21" s="33">
        <f t="shared" si="8"/>
        <v>0.5385558645010577</v>
      </c>
      <c r="AE21" s="33">
        <f t="shared" si="9"/>
        <v>1</v>
      </c>
      <c r="AF21" s="33">
        <f t="shared" si="10"/>
        <v>-999</v>
      </c>
      <c r="AG21" s="33">
        <f t="shared" si="11"/>
        <v>-999</v>
      </c>
      <c r="AH21" s="33">
        <f t="shared" si="12"/>
        <v>-999</v>
      </c>
      <c r="AI21" s="34">
        <f t="shared" si="13"/>
        <v>0.6040342780317669</v>
      </c>
      <c r="AJ21" s="4">
        <v>17.765987247785823</v>
      </c>
      <c r="AK21" s="32">
        <f t="shared" si="14"/>
        <v>-999</v>
      </c>
      <c r="AL21" s="34">
        <f t="shared" si="15"/>
        <v>-999</v>
      </c>
      <c r="AY21" s="103" t="s">
        <v>123</v>
      </c>
      <c r="AZ21" s="103" t="s">
        <v>418</v>
      </c>
      <c r="BA21" s="103" t="s">
        <v>343</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71.5914306640625</v>
      </c>
      <c r="K22" s="38">
        <v>121.92644500732422</v>
      </c>
      <c r="L22" s="38">
        <v>213.7814178466797</v>
      </c>
      <c r="M22" s="38">
        <v>1990.668701171875</v>
      </c>
      <c r="N22" s="80">
        <f>VLOOKUP('Hide - Control'!B$3,'All practice data'!A:CA,A22+29,FALSE)</f>
        <v>189.5399134880063</v>
      </c>
      <c r="O22" s="80">
        <f>VLOOKUP('Hide - Control'!C$3,'All practice data'!A:CA,A22+29,FALSE)</f>
        <v>282.45290788403287</v>
      </c>
      <c r="P22" s="38">
        <f>VLOOKUP('Hide - Control'!$B$4,'All practice data'!B:BC,A22+2,FALSE)</f>
        <v>723</v>
      </c>
      <c r="Q22" s="38">
        <f>VLOOKUP('Hide - Control'!$B$4,'All practice data'!B:BC,3,FALSE)</f>
        <v>381450</v>
      </c>
      <c r="R22" s="38">
        <f t="shared" si="21"/>
        <v>175.9735504142877</v>
      </c>
      <c r="S22" s="38">
        <f t="shared" si="22"/>
        <v>203.87454162518853</v>
      </c>
      <c r="T22" s="53">
        <f t="shared" si="19"/>
        <v>1990.668701171875</v>
      </c>
      <c r="U22" s="51">
        <f t="shared" si="20"/>
        <v>18.07059669494629</v>
      </c>
      <c r="V22" s="7"/>
      <c r="W22" s="27">
        <f t="shared" si="2"/>
        <v>-1746.8158111572266</v>
      </c>
      <c r="X22" s="27">
        <f t="shared" si="3"/>
        <v>1990.668701171875</v>
      </c>
      <c r="Y22" s="27">
        <f t="shared" si="4"/>
        <v>-1746.8158111572266</v>
      </c>
      <c r="Z22" s="27">
        <f t="shared" si="5"/>
        <v>1990.668701171875</v>
      </c>
      <c r="AA22" s="32">
        <f t="shared" si="6"/>
        <v>0.4722123669088711</v>
      </c>
      <c r="AB22" s="33">
        <f t="shared" si="7"/>
        <v>0.4865323818260067</v>
      </c>
      <c r="AC22" s="33">
        <v>0.5</v>
      </c>
      <c r="AD22" s="33">
        <f t="shared" si="8"/>
        <v>0.5245766832039964</v>
      </c>
      <c r="AE22" s="33">
        <f t="shared" si="9"/>
        <v>1</v>
      </c>
      <c r="AF22" s="33">
        <f t="shared" si="10"/>
        <v>-999</v>
      </c>
      <c r="AG22" s="33">
        <f t="shared" si="11"/>
        <v>-999</v>
      </c>
      <c r="AH22" s="33">
        <f t="shared" si="12"/>
        <v>-999</v>
      </c>
      <c r="AI22" s="34">
        <f t="shared" si="13"/>
        <v>0.5429504021614454</v>
      </c>
      <c r="AJ22" s="4">
        <v>18.841982673167745</v>
      </c>
      <c r="AK22" s="32">
        <f t="shared" si="14"/>
        <v>-999</v>
      </c>
      <c r="AL22" s="34">
        <f t="shared" si="15"/>
        <v>-999</v>
      </c>
      <c r="AY22" s="103" t="s">
        <v>149</v>
      </c>
      <c r="AZ22" s="103" t="s">
        <v>428</v>
      </c>
      <c r="BA22" s="103" t="s">
        <v>343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24.060834884643555</v>
      </c>
      <c r="L23" s="38">
        <v>40.8199577331543</v>
      </c>
      <c r="M23" s="38">
        <v>130.49151611328125</v>
      </c>
      <c r="N23" s="80">
        <f>VLOOKUP('Hide - Control'!B$3,'All practice data'!A:CA,A23+29,FALSE)</f>
        <v>27.526543452615023</v>
      </c>
      <c r="O23" s="80">
        <f>VLOOKUP('Hide - Control'!C$3,'All practice data'!A:CA,A23+29,FALSE)</f>
        <v>70.46674929228394</v>
      </c>
      <c r="P23" s="38">
        <f>VLOOKUP('Hide - Control'!$B$4,'All practice data'!B:BC,A23+2,FALSE)</f>
        <v>105</v>
      </c>
      <c r="Q23" s="38">
        <f>VLOOKUP('Hide - Control'!$B$4,'All practice data'!B:BC,3,FALSE)</f>
        <v>381450</v>
      </c>
      <c r="R23" s="38">
        <f t="shared" si="21"/>
        <v>22.513420457366045</v>
      </c>
      <c r="S23" s="38">
        <f t="shared" si="22"/>
        <v>33.3229638939555</v>
      </c>
      <c r="T23" s="53">
        <f t="shared" si="19"/>
        <v>130.49151611328125</v>
      </c>
      <c r="U23" s="51">
        <f t="shared" si="20"/>
        <v>3.248678207397461</v>
      </c>
      <c r="V23" s="7"/>
      <c r="W23" s="27">
        <f t="shared" si="2"/>
        <v>-82.36984634399414</v>
      </c>
      <c r="X23" s="27">
        <f t="shared" si="3"/>
        <v>130.49151611328125</v>
      </c>
      <c r="Y23" s="27">
        <f t="shared" si="4"/>
        <v>-82.36984634399414</v>
      </c>
      <c r="Z23" s="27">
        <f t="shared" si="5"/>
        <v>130.49151611328125</v>
      </c>
      <c r="AA23" s="32">
        <f t="shared" si="6"/>
        <v>0.40222670550920947</v>
      </c>
      <c r="AB23" s="33">
        <f t="shared" si="7"/>
        <v>0.3869647614443277</v>
      </c>
      <c r="AC23" s="33">
        <v>0.5</v>
      </c>
      <c r="AD23" s="33">
        <f t="shared" si="8"/>
        <v>0.5787325734226406</v>
      </c>
      <c r="AE23" s="33">
        <f t="shared" si="9"/>
        <v>1</v>
      </c>
      <c r="AF23" s="33">
        <f t="shared" si="10"/>
        <v>-999</v>
      </c>
      <c r="AG23" s="33">
        <f t="shared" si="11"/>
        <v>-999</v>
      </c>
      <c r="AH23" s="33">
        <f t="shared" si="12"/>
        <v>-999</v>
      </c>
      <c r="AI23" s="34">
        <f t="shared" si="13"/>
        <v>0.718010041239658</v>
      </c>
      <c r="AJ23" s="4">
        <v>19.917978098549675</v>
      </c>
      <c r="AK23" s="32">
        <f t="shared" si="14"/>
        <v>-999</v>
      </c>
      <c r="AL23" s="34">
        <f t="shared" si="15"/>
        <v>-999</v>
      </c>
      <c r="AY23" s="103" t="s">
        <v>264</v>
      </c>
      <c r="AZ23" s="103" t="s">
        <v>265</v>
      </c>
      <c r="BA23" s="103" t="s">
        <v>343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650.142218610321</v>
      </c>
      <c r="F24" s="38">
        <f>IF(LEFT(VLOOKUP($B24,'Indicator chart'!$D$1:$J$36,6,FALSE),1)=" "," ",VLOOKUP($B24,'Indicator chart'!$D$1:$J$36,6,FALSE))</f>
        <v>371.36975783818804</v>
      </c>
      <c r="G24" s="38">
        <f>IF(LEFT(VLOOKUP($B24,'Indicator chart'!$D$1:$J$36,7,FALSE),1)=" "," ",VLOOKUP($B24,'Indicator chart'!$D$1:$J$36,7,FALSE))</f>
        <v>1055.8567751097885</v>
      </c>
      <c r="H24" s="50">
        <f t="shared" si="0"/>
        <v>3</v>
      </c>
      <c r="I24" s="38">
        <v>27.3076171875</v>
      </c>
      <c r="J24" s="38">
        <v>80.9972915649414</v>
      </c>
      <c r="K24" s="38">
        <v>151.52517700195312</v>
      </c>
      <c r="L24" s="38">
        <v>248.7584991455078</v>
      </c>
      <c r="M24" s="38">
        <v>892.154296875</v>
      </c>
      <c r="N24" s="80">
        <f>VLOOKUP('Hide - Control'!B$3,'All practice data'!A:CA,A24+29,FALSE)</f>
        <v>210.7746755800236</v>
      </c>
      <c r="O24" s="80">
        <f>VLOOKUP('Hide - Control'!C$3,'All practice data'!A:CA,A24+29,FALSE)</f>
        <v>323.23046266988894</v>
      </c>
      <c r="P24" s="38">
        <f>VLOOKUP('Hide - Control'!$B$4,'All practice data'!B:BC,A24+2,FALSE)</f>
        <v>804</v>
      </c>
      <c r="Q24" s="38">
        <f>VLOOKUP('Hide - Control'!$B$4,'All practice data'!B:BC,3,FALSE)</f>
        <v>381450</v>
      </c>
      <c r="R24" s="38">
        <f t="shared" si="21"/>
        <v>196.4548439072163</v>
      </c>
      <c r="S24" s="38">
        <f t="shared" si="22"/>
        <v>225.86228624943</v>
      </c>
      <c r="T24" s="53">
        <f t="shared" si="19"/>
        <v>892.154296875</v>
      </c>
      <c r="U24" s="51">
        <f t="shared" si="20"/>
        <v>27.3076171875</v>
      </c>
      <c r="V24" s="7"/>
      <c r="W24" s="27">
        <f t="shared" si="2"/>
        <v>-589.1039428710938</v>
      </c>
      <c r="X24" s="27">
        <f t="shared" si="3"/>
        <v>892.154296875</v>
      </c>
      <c r="Y24" s="27">
        <f t="shared" si="4"/>
        <v>-589.1039428710938</v>
      </c>
      <c r="Z24" s="27">
        <f t="shared" si="5"/>
        <v>892.154296875</v>
      </c>
      <c r="AA24" s="32">
        <f t="shared" si="6"/>
        <v>0.41614051049211676</v>
      </c>
      <c r="AB24" s="33">
        <f t="shared" si="7"/>
        <v>0.4523865025391514</v>
      </c>
      <c r="AC24" s="33">
        <v>0.5</v>
      </c>
      <c r="AD24" s="33">
        <f t="shared" si="8"/>
        <v>0.5656423839777065</v>
      </c>
      <c r="AE24" s="33">
        <f t="shared" si="9"/>
        <v>1</v>
      </c>
      <c r="AF24" s="33">
        <f t="shared" si="10"/>
        <v>-999</v>
      </c>
      <c r="AG24" s="33">
        <f t="shared" si="11"/>
        <v>-999</v>
      </c>
      <c r="AH24" s="33">
        <f t="shared" si="12"/>
        <v>0.8366172273200904</v>
      </c>
      <c r="AI24" s="34">
        <f t="shared" si="13"/>
        <v>0.6159185353779827</v>
      </c>
      <c r="AJ24" s="4">
        <v>20.99397352393159</v>
      </c>
      <c r="AK24" s="32">
        <f t="shared" si="14"/>
        <v>-999</v>
      </c>
      <c r="AL24" s="34">
        <f t="shared" si="15"/>
        <v>0.8366172273200904</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21</v>
      </c>
      <c r="E25" s="38">
        <f>IF(LEFT(VLOOKUP($B25,'Indicator chart'!$D$1:$J$36,5,FALSE),1)=" "," ",VLOOKUP($B25,'Indicator chart'!$D$1:$J$36,5,FALSE))</f>
        <v>853.3116619260463</v>
      </c>
      <c r="F25" s="38">
        <f>IF(LEFT(VLOOKUP($B25,'Indicator chart'!$D$1:$J$36,6,FALSE),1)=" "," ",VLOOKUP($B25,'Indicator chart'!$D$1:$J$36,6,FALSE))</f>
        <v>528.007991152018</v>
      </c>
      <c r="G25" s="38">
        <f>IF(LEFT(VLOOKUP($B25,'Indicator chart'!$D$1:$J$36,7,FALSE),1)=" "," ",VLOOKUP($B25,'Indicator chart'!$D$1:$J$36,7,FALSE))</f>
        <v>1304.4476880981604</v>
      </c>
      <c r="H25" s="50">
        <f t="shared" si="0"/>
        <v>2</v>
      </c>
      <c r="I25" s="38">
        <v>185.5142822265625</v>
      </c>
      <c r="J25" s="38">
        <v>705.1332397460938</v>
      </c>
      <c r="K25" s="38">
        <v>885.8577270507812</v>
      </c>
      <c r="L25" s="38">
        <v>1115.740966796875</v>
      </c>
      <c r="M25" s="38">
        <v>2519.440185546875</v>
      </c>
      <c r="N25" s="80">
        <f>VLOOKUP('Hide - Control'!B$3,'All practice data'!A:CA,A25+29,FALSE)</f>
        <v>936.4267925022939</v>
      </c>
      <c r="O25" s="80">
        <f>VLOOKUP('Hide - Control'!C$3,'All practice data'!A:CA,A25+29,FALSE)</f>
        <v>562.6134400960308</v>
      </c>
      <c r="P25" s="38">
        <f>VLOOKUP('Hide - Control'!$B$4,'All practice data'!B:BC,A25+2,FALSE)</f>
        <v>3572</v>
      </c>
      <c r="Q25" s="38">
        <f>VLOOKUP('Hide - Control'!$B$4,'All practice data'!B:BC,3,FALSE)</f>
        <v>381450</v>
      </c>
      <c r="R25" s="38">
        <f t="shared" si="21"/>
        <v>905.9661864210607</v>
      </c>
      <c r="S25" s="38">
        <f t="shared" si="22"/>
        <v>967.6504704211854</v>
      </c>
      <c r="T25" s="53">
        <f t="shared" si="19"/>
        <v>2519.440185546875</v>
      </c>
      <c r="U25" s="51">
        <f t="shared" si="20"/>
        <v>185.5142822265625</v>
      </c>
      <c r="V25" s="7"/>
      <c r="W25" s="27">
        <f t="shared" si="2"/>
        <v>-747.7247314453125</v>
      </c>
      <c r="X25" s="27">
        <f t="shared" si="3"/>
        <v>2519.440185546875</v>
      </c>
      <c r="Y25" s="27">
        <f t="shared" si="4"/>
        <v>-747.7247314453125</v>
      </c>
      <c r="Z25" s="27">
        <f t="shared" si="5"/>
        <v>2519.440185546875</v>
      </c>
      <c r="AA25" s="32">
        <f t="shared" si="6"/>
        <v>0.285641844651978</v>
      </c>
      <c r="AB25" s="33">
        <f t="shared" si="7"/>
        <v>0.4446846143686356</v>
      </c>
      <c r="AC25" s="33">
        <v>0.5</v>
      </c>
      <c r="AD25" s="33">
        <f t="shared" si="8"/>
        <v>0.5703616883710078</v>
      </c>
      <c r="AE25" s="33">
        <f t="shared" si="9"/>
        <v>1</v>
      </c>
      <c r="AF25" s="33">
        <f t="shared" si="10"/>
        <v>-999</v>
      </c>
      <c r="AG25" s="33">
        <f t="shared" si="11"/>
        <v>0.49003843823265053</v>
      </c>
      <c r="AH25" s="33">
        <f t="shared" si="12"/>
        <v>-999</v>
      </c>
      <c r="AI25" s="34">
        <f t="shared" si="13"/>
        <v>0.40106275772196553</v>
      </c>
      <c r="AJ25" s="4">
        <v>22.06996894931352</v>
      </c>
      <c r="AK25" s="32">
        <f t="shared" si="14"/>
        <v>-999</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8</v>
      </c>
      <c r="E26" s="38">
        <f>IF(LEFT(VLOOKUP($B26,'Indicator chart'!$D$1:$J$36,5,FALSE),1)=" "," ",VLOOKUP($B26,'Indicator chart'!$D$1:$J$36,5,FALSE))</f>
        <v>325.0711093051605</v>
      </c>
      <c r="F26" s="38">
        <f>IF(LEFT(VLOOKUP($B26,'Indicator chart'!$D$1:$J$36,6,FALSE),1)=" "," ",VLOOKUP($B26,'Indicator chart'!$D$1:$J$36,6,FALSE))</f>
        <v>139.96881607719277</v>
      </c>
      <c r="G26" s="38">
        <f>IF(LEFT(VLOOKUP($B26,'Indicator chart'!$D$1:$J$36,7,FALSE),1)=" "," ",VLOOKUP($B26,'Indicator chart'!$D$1:$J$36,7,FALSE))</f>
        <v>640.5590203974498</v>
      </c>
      <c r="H26" s="50">
        <f t="shared" si="0"/>
        <v>2</v>
      </c>
      <c r="I26" s="38">
        <v>96.6910171508789</v>
      </c>
      <c r="J26" s="38">
        <v>168.54112243652344</v>
      </c>
      <c r="K26" s="38">
        <v>230.2022247314453</v>
      </c>
      <c r="L26" s="38">
        <v>295.98370361328125</v>
      </c>
      <c r="M26" s="38">
        <v>537.2733154296875</v>
      </c>
      <c r="N26" s="80">
        <f>VLOOKUP('Hide - Control'!B$3,'All practice data'!A:CA,A26+29,FALSE)</f>
        <v>235.15532835233975</v>
      </c>
      <c r="O26" s="80">
        <f>VLOOKUP('Hide - Control'!C$3,'All practice data'!A:CA,A26+29,FALSE)</f>
        <v>405.57105879375996</v>
      </c>
      <c r="P26" s="38">
        <f>VLOOKUP('Hide - Control'!$B$4,'All practice data'!B:BC,A26+2,FALSE)</f>
        <v>897</v>
      </c>
      <c r="Q26" s="38">
        <f>VLOOKUP('Hide - Control'!$B$4,'All practice data'!B:BC,3,FALSE)</f>
        <v>381450</v>
      </c>
      <c r="R26" s="38">
        <f t="shared" si="21"/>
        <v>220.0158330299713</v>
      </c>
      <c r="S26" s="38">
        <f t="shared" si="22"/>
        <v>251.06212751891846</v>
      </c>
      <c r="T26" s="53">
        <f t="shared" si="19"/>
        <v>537.2733154296875</v>
      </c>
      <c r="U26" s="51">
        <f t="shared" si="20"/>
        <v>96.6910171508789</v>
      </c>
      <c r="V26" s="7"/>
      <c r="W26" s="27">
        <f t="shared" si="2"/>
        <v>-76.86886596679688</v>
      </c>
      <c r="X26" s="27">
        <f t="shared" si="3"/>
        <v>537.2733154296875</v>
      </c>
      <c r="Y26" s="27">
        <f t="shared" si="4"/>
        <v>-76.86886596679688</v>
      </c>
      <c r="Z26" s="27">
        <f t="shared" si="5"/>
        <v>537.2733154296875</v>
      </c>
      <c r="AA26" s="32">
        <f t="shared" si="6"/>
        <v>0.282605377671701</v>
      </c>
      <c r="AB26" s="33">
        <f t="shared" si="7"/>
        <v>0.39959800163097076</v>
      </c>
      <c r="AC26" s="33">
        <v>0.5</v>
      </c>
      <c r="AD26" s="33">
        <f t="shared" si="8"/>
        <v>0.6071111558112763</v>
      </c>
      <c r="AE26" s="33">
        <f t="shared" si="9"/>
        <v>1</v>
      </c>
      <c r="AF26" s="33">
        <f t="shared" si="10"/>
        <v>-999</v>
      </c>
      <c r="AG26" s="33">
        <f t="shared" si="11"/>
        <v>0.6544738131453451</v>
      </c>
      <c r="AH26" s="33">
        <f t="shared" si="12"/>
        <v>-999</v>
      </c>
      <c r="AI26" s="34">
        <f t="shared" si="13"/>
        <v>0.7855508697734249</v>
      </c>
      <c r="AJ26" s="4">
        <v>23.145964374695435</v>
      </c>
      <c r="AK26" s="32">
        <f t="shared" si="14"/>
        <v>-999</v>
      </c>
      <c r="AL26" s="34">
        <f t="shared" si="15"/>
        <v>-999</v>
      </c>
      <c r="AY26" s="103" t="s">
        <v>120</v>
      </c>
      <c r="AZ26" s="103" t="s">
        <v>417</v>
      </c>
      <c r="BA26" s="103" t="s">
        <v>343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1015.8472165786266</v>
      </c>
      <c r="F27" s="38">
        <f>IF(LEFT(VLOOKUP($B27,'Indicator chart'!$D$1:$J$36,6,FALSE),1)=" "," ",VLOOKUP($B27,'Indicator chart'!$D$1:$J$36,6,FALSE))</f>
        <v>657.2178471173628</v>
      </c>
      <c r="G27" s="38">
        <f>IF(LEFT(VLOOKUP($B27,'Indicator chart'!$D$1:$J$36,7,FALSE),1)=" "," ",VLOOKUP($B27,'Indicator chart'!$D$1:$J$36,7,FALSE))</f>
        <v>1499.6620334402955</v>
      </c>
      <c r="H27" s="50">
        <f t="shared" si="0"/>
        <v>2</v>
      </c>
      <c r="I27" s="38">
        <v>529.500732421875</v>
      </c>
      <c r="J27" s="38">
        <v>927.5128784179688</v>
      </c>
      <c r="K27" s="38">
        <v>1077.525634765625</v>
      </c>
      <c r="L27" s="38">
        <v>1281.79345703125</v>
      </c>
      <c r="M27" s="38">
        <v>1653.109375</v>
      </c>
      <c r="N27" s="80">
        <f>VLOOKUP('Hide - Control'!B$3,'All practice data'!A:CA,A27+29,FALSE)</f>
        <v>1095.8185869707695</v>
      </c>
      <c r="O27" s="80">
        <f>VLOOKUP('Hide - Control'!C$3,'All practice data'!A:CA,A27+29,FALSE)</f>
        <v>1059.3522061277838</v>
      </c>
      <c r="P27" s="38">
        <f>VLOOKUP('Hide - Control'!$B$4,'All practice data'!B:BC,A27+2,FALSE)</f>
        <v>4180</v>
      </c>
      <c r="Q27" s="38">
        <f>VLOOKUP('Hide - Control'!$B$4,'All practice data'!B:BC,3,FALSE)</f>
        <v>381450</v>
      </c>
      <c r="R27" s="38">
        <f t="shared" si="21"/>
        <v>1062.8469985507206</v>
      </c>
      <c r="S27" s="38">
        <f t="shared" si="22"/>
        <v>1129.552924609464</v>
      </c>
      <c r="T27" s="53">
        <f t="shared" si="19"/>
        <v>1653.109375</v>
      </c>
      <c r="U27" s="51">
        <f t="shared" si="20"/>
        <v>529.500732421875</v>
      </c>
      <c r="V27" s="7"/>
      <c r="W27" s="27">
        <f t="shared" si="2"/>
        <v>501.94189453125</v>
      </c>
      <c r="X27" s="27">
        <f t="shared" si="3"/>
        <v>1653.109375</v>
      </c>
      <c r="Y27" s="27">
        <f t="shared" si="4"/>
        <v>501.94189453125</v>
      </c>
      <c r="Z27" s="27">
        <f t="shared" si="5"/>
        <v>1653.109375</v>
      </c>
      <c r="AA27" s="32">
        <f t="shared" si="6"/>
        <v>0.023939903062066323</v>
      </c>
      <c r="AB27" s="33">
        <f t="shared" si="7"/>
        <v>0.36968641931530954</v>
      </c>
      <c r="AC27" s="33">
        <v>0.5</v>
      </c>
      <c r="AD27" s="33">
        <f t="shared" si="8"/>
        <v>0.6774440520005378</v>
      </c>
      <c r="AE27" s="33">
        <f t="shared" si="9"/>
        <v>1</v>
      </c>
      <c r="AF27" s="33">
        <f t="shared" si="10"/>
        <v>-999</v>
      </c>
      <c r="AG27" s="33">
        <f t="shared" si="11"/>
        <v>0.4464209863174008</v>
      </c>
      <c r="AH27" s="33">
        <f t="shared" si="12"/>
        <v>-999</v>
      </c>
      <c r="AI27" s="34">
        <f t="shared" si="13"/>
        <v>0.48421304549843514</v>
      </c>
      <c r="AJ27" s="4">
        <v>24.221959800077364</v>
      </c>
      <c r="AK27" s="32">
        <f t="shared" si="14"/>
        <v>-999</v>
      </c>
      <c r="AL27" s="34">
        <f t="shared" si="15"/>
        <v>-999</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812.6777732629013</v>
      </c>
      <c r="F28" s="38">
        <f>IF(LEFT(VLOOKUP($B28,'Indicator chart'!$D$1:$J$36,6,FALSE),1)=" "," ",VLOOKUP($B28,'Indicator chart'!$D$1:$J$36,6,FALSE))</f>
        <v>496.19312939356143</v>
      </c>
      <c r="G28" s="38">
        <f>IF(LEFT(VLOOKUP($B28,'Indicator chart'!$D$1:$J$36,7,FALSE),1)=" "," ",VLOOKUP($B28,'Indicator chart'!$D$1:$J$36,7,FALSE))</f>
        <v>1255.1846337372162</v>
      </c>
      <c r="H28" s="50">
        <f t="shared" si="0"/>
        <v>3</v>
      </c>
      <c r="I28" s="38">
        <v>155.9251708984375</v>
      </c>
      <c r="J28" s="38">
        <v>312.8529357910156</v>
      </c>
      <c r="K28" s="38">
        <v>392.68072509765625</v>
      </c>
      <c r="L28" s="38">
        <v>529.9373779296875</v>
      </c>
      <c r="M28" s="38">
        <v>1024.4049072265625</v>
      </c>
      <c r="N28" s="80">
        <f>VLOOKUP('Hide - Control'!B$3,'All practice data'!A:CA,A28+29,FALSE)</f>
        <v>432.03565342771003</v>
      </c>
      <c r="O28" s="80">
        <f>VLOOKUP('Hide - Control'!C$3,'All practice data'!A:CA,A28+29,FALSE)</f>
        <v>582.9390489900089</v>
      </c>
      <c r="P28" s="38">
        <f>VLOOKUP('Hide - Control'!$B$4,'All practice data'!B:BC,A28+2,FALSE)</f>
        <v>1648</v>
      </c>
      <c r="Q28" s="38">
        <f>VLOOKUP('Hide - Control'!$B$4,'All practice data'!B:BC,3,FALSE)</f>
        <v>381450</v>
      </c>
      <c r="R28" s="38">
        <f>100000*(P28*(1-1/(9*P28)-1.96/(3*SQRT(P28)))^3)/Q28</f>
        <v>411.4257925115294</v>
      </c>
      <c r="S28" s="38">
        <f>100000*((P28+1)*(1-1/(9*(P28+1))+1.96/(3*SQRT(P28+1)))^3)/Q28</f>
        <v>453.41059768124705</v>
      </c>
      <c r="T28" s="53">
        <f t="shared" si="19"/>
        <v>1024.4049072265625</v>
      </c>
      <c r="U28" s="51">
        <f t="shared" si="20"/>
        <v>155.9251708984375</v>
      </c>
      <c r="V28" s="7"/>
      <c r="W28" s="27">
        <f t="shared" si="2"/>
        <v>-239.04345703125</v>
      </c>
      <c r="X28" s="27">
        <f t="shared" si="3"/>
        <v>1024.4049072265625</v>
      </c>
      <c r="Y28" s="27">
        <f t="shared" si="4"/>
        <v>-239.04345703125</v>
      </c>
      <c r="Z28" s="27">
        <f t="shared" si="5"/>
        <v>1024.4049072265625</v>
      </c>
      <c r="AA28" s="32">
        <f t="shared" si="6"/>
        <v>0.31261161049640834</v>
      </c>
      <c r="AB28" s="33">
        <f t="shared" si="7"/>
        <v>0.43681752925966716</v>
      </c>
      <c r="AC28" s="33">
        <v>0.5</v>
      </c>
      <c r="AD28" s="33">
        <f t="shared" si="8"/>
        <v>0.6086365353068148</v>
      </c>
      <c r="AE28" s="33">
        <f t="shared" si="9"/>
        <v>1</v>
      </c>
      <c r="AF28" s="33">
        <f t="shared" si="10"/>
        <v>-999</v>
      </c>
      <c r="AG28" s="33">
        <f t="shared" si="11"/>
        <v>-999</v>
      </c>
      <c r="AH28" s="33">
        <f t="shared" si="12"/>
        <v>0.8324212211964545</v>
      </c>
      <c r="AI28" s="34">
        <f t="shared" si="13"/>
        <v>0.6505865449468654</v>
      </c>
      <c r="AJ28" s="4">
        <v>25.297955225459287</v>
      </c>
      <c r="AK28" s="32">
        <f t="shared" si="14"/>
        <v>-999</v>
      </c>
      <c r="AL28" s="34">
        <f t="shared" si="15"/>
        <v>0.8324212211964545</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343</v>
      </c>
      <c r="BB34" s="10">
        <v>532801</v>
      </c>
      <c r="BE34" s="77"/>
      <c r="BF34" s="253"/>
    </row>
    <row r="35" spans="2:58" ht="12.75">
      <c r="B35" s="17" t="s">
        <v>41</v>
      </c>
      <c r="C35" s="18"/>
      <c r="H35" s="290" t="s">
        <v>596</v>
      </c>
      <c r="I35" s="291"/>
      <c r="Y35" s="43"/>
      <c r="Z35" s="44"/>
      <c r="AA35" s="44"/>
      <c r="AB35" s="43"/>
      <c r="AC35" s="43"/>
      <c r="AY35" s="103" t="s">
        <v>159</v>
      </c>
      <c r="AZ35" s="103" t="s">
        <v>432</v>
      </c>
      <c r="BA35" s="103" t="s">
        <v>343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343</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343</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343</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343</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343</v>
      </c>
      <c r="BB65" s="10">
        <v>1169302</v>
      </c>
      <c r="BE65" s="70"/>
      <c r="BF65" s="241"/>
    </row>
    <row r="66" spans="1:58" ht="12.75">
      <c r="A66" s="3"/>
      <c r="B66" s="12"/>
      <c r="C66" s="3"/>
      <c r="E66" s="2"/>
      <c r="F66" s="2"/>
      <c r="G66" s="2"/>
      <c r="V66" s="2"/>
      <c r="AY66" s="103" t="s">
        <v>200</v>
      </c>
      <c r="AZ66" s="103" t="s">
        <v>443</v>
      </c>
      <c r="BA66" s="103" t="s">
        <v>343</v>
      </c>
      <c r="BB66" s="10">
        <v>217916</v>
      </c>
      <c r="BE66" s="70"/>
      <c r="BF66" s="239"/>
    </row>
    <row r="67" spans="1:58" ht="12.75">
      <c r="A67" s="3"/>
      <c r="B67" s="12"/>
      <c r="C67" s="3"/>
      <c r="AY67" s="103" t="s">
        <v>69</v>
      </c>
      <c r="AZ67" s="103" t="s">
        <v>70</v>
      </c>
      <c r="BA67" s="103" t="s">
        <v>343</v>
      </c>
      <c r="BB67" s="10">
        <v>270842</v>
      </c>
      <c r="BE67" s="70"/>
      <c r="BF67" s="239"/>
    </row>
    <row r="68" spans="1:58" ht="12.75">
      <c r="A68" s="3"/>
      <c r="B68" s="12"/>
      <c r="C68" s="3"/>
      <c r="AY68" s="103" t="s">
        <v>109</v>
      </c>
      <c r="AZ68" s="103" t="s">
        <v>110</v>
      </c>
      <c r="BA68" s="103" t="s">
        <v>343</v>
      </c>
      <c r="BB68" s="10">
        <v>251613</v>
      </c>
      <c r="BF68" s="252"/>
    </row>
    <row r="69" spans="1:58" ht="12.75">
      <c r="A69" s="3"/>
      <c r="B69" s="12"/>
      <c r="C69" s="3"/>
      <c r="AY69" s="103" t="s">
        <v>209</v>
      </c>
      <c r="AZ69" s="103" t="s">
        <v>210</v>
      </c>
      <c r="BA69" s="103" t="s">
        <v>343</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343</v>
      </c>
      <c r="BB71" s="10">
        <v>213326</v>
      </c>
      <c r="BE71" s="70"/>
      <c r="BF71" s="239"/>
    </row>
    <row r="72" spans="1:58" ht="12.75">
      <c r="A72" s="3"/>
      <c r="B72" s="12"/>
      <c r="C72" s="3"/>
      <c r="AY72" s="103" t="s">
        <v>136</v>
      </c>
      <c r="AZ72" s="103" t="s">
        <v>137</v>
      </c>
      <c r="BA72" s="103" t="s">
        <v>343</v>
      </c>
      <c r="BB72" s="10">
        <v>183220</v>
      </c>
      <c r="BE72" s="250"/>
      <c r="BF72" s="239"/>
    </row>
    <row r="73" spans="1:58" ht="12.75">
      <c r="A73" s="3"/>
      <c r="B73" s="12"/>
      <c r="C73" s="3"/>
      <c r="AY73" s="103" t="s">
        <v>64</v>
      </c>
      <c r="AZ73" s="103" t="s">
        <v>395</v>
      </c>
      <c r="BA73" s="103" t="s">
        <v>343</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343</v>
      </c>
      <c r="BB75" s="10">
        <v>158106</v>
      </c>
      <c r="BE75" s="70"/>
      <c r="BF75" s="241"/>
    </row>
    <row r="76" spans="1:58" ht="12.75">
      <c r="A76" s="3"/>
      <c r="B76" s="12"/>
      <c r="C76" s="3"/>
      <c r="AY76" s="103" t="s">
        <v>140</v>
      </c>
      <c r="AZ76" s="103" t="s">
        <v>141</v>
      </c>
      <c r="BA76" s="103" t="s">
        <v>343</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343</v>
      </c>
      <c r="BB78" s="10">
        <v>362638</v>
      </c>
      <c r="BE78" s="70"/>
      <c r="BF78" s="239"/>
    </row>
    <row r="79" spans="1:58" ht="12.75">
      <c r="A79" s="3"/>
      <c r="B79" s="12"/>
      <c r="C79" s="3"/>
      <c r="AY79" s="103" t="s">
        <v>223</v>
      </c>
      <c r="AZ79" s="103" t="s">
        <v>448</v>
      </c>
      <c r="BA79" s="103" t="s">
        <v>343</v>
      </c>
      <c r="BB79" s="10">
        <v>678998</v>
      </c>
      <c r="BF79" s="239"/>
    </row>
    <row r="80" spans="1:58" ht="12.75">
      <c r="A80" s="3"/>
      <c r="B80" s="12"/>
      <c r="C80" s="3"/>
      <c r="AY80" s="103" t="s">
        <v>144</v>
      </c>
      <c r="AZ80" s="103" t="s">
        <v>145</v>
      </c>
      <c r="BA80" s="103" t="s">
        <v>343</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343</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343</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343</v>
      </c>
      <c r="BB89" s="10">
        <v>283085</v>
      </c>
      <c r="BE89" s="70"/>
      <c r="BF89" s="241"/>
    </row>
    <row r="90" spans="1:58" ht="12.75">
      <c r="A90" s="3"/>
      <c r="B90" s="12"/>
      <c r="C90" s="3"/>
      <c r="AY90" s="103" t="s">
        <v>76</v>
      </c>
      <c r="AZ90" s="103" t="s">
        <v>401</v>
      </c>
      <c r="BA90" s="103" t="s">
        <v>343</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343</v>
      </c>
      <c r="BB93" s="10">
        <v>165284</v>
      </c>
      <c r="BF93" s="252"/>
    </row>
    <row r="94" spans="1:58" ht="12.75">
      <c r="A94" s="3"/>
      <c r="B94" s="12"/>
      <c r="C94" s="3"/>
      <c r="AY94" s="103" t="s">
        <v>186</v>
      </c>
      <c r="AZ94" s="103" t="s">
        <v>439</v>
      </c>
      <c r="BA94" s="103" t="s">
        <v>343</v>
      </c>
      <c r="BB94" s="10">
        <v>339272</v>
      </c>
      <c r="BE94" s="70"/>
      <c r="BF94" s="241"/>
    </row>
    <row r="95" spans="1:58" ht="12.75">
      <c r="A95" s="3"/>
      <c r="B95" s="12"/>
      <c r="C95" s="3"/>
      <c r="AY95" s="103" t="s">
        <v>86</v>
      </c>
      <c r="AZ95" s="103" t="s">
        <v>87</v>
      </c>
      <c r="BA95" s="103" t="s">
        <v>343</v>
      </c>
      <c r="BB95" s="10">
        <v>165642</v>
      </c>
      <c r="BE95" s="247"/>
      <c r="BF95" s="249"/>
    </row>
    <row r="96" spans="1:58" ht="12.75">
      <c r="A96" s="3"/>
      <c r="B96" s="12"/>
      <c r="C96" s="3"/>
      <c r="AY96" s="103" t="s">
        <v>157</v>
      </c>
      <c r="AZ96" s="103" t="s">
        <v>158</v>
      </c>
      <c r="BA96" s="103" t="s">
        <v>343</v>
      </c>
      <c r="BB96" s="10">
        <v>208351</v>
      </c>
      <c r="BE96" s="243"/>
      <c r="BF96" s="238"/>
    </row>
    <row r="97" spans="1:58" ht="12.75">
      <c r="A97" s="3"/>
      <c r="B97" s="12"/>
      <c r="C97" s="3"/>
      <c r="AY97" s="103" t="s">
        <v>231</v>
      </c>
      <c r="AZ97" s="103" t="s">
        <v>232</v>
      </c>
      <c r="BA97" s="103" t="s">
        <v>343</v>
      </c>
      <c r="BB97" s="10">
        <v>203178</v>
      </c>
      <c r="BE97" s="243"/>
      <c r="BF97" s="238"/>
    </row>
    <row r="98" spans="1:58" ht="12.75">
      <c r="A98" s="3"/>
      <c r="B98" s="12"/>
      <c r="C98" s="3"/>
      <c r="AY98" s="103" t="s">
        <v>82</v>
      </c>
      <c r="AZ98" s="103" t="s">
        <v>405</v>
      </c>
      <c r="BA98" s="103" t="s">
        <v>343</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343</v>
      </c>
      <c r="BB100" s="10">
        <v>648340</v>
      </c>
      <c r="BE100" s="70"/>
      <c r="BF100" s="249"/>
    </row>
    <row r="101" spans="51:58" ht="12.75">
      <c r="AY101" s="103" t="s">
        <v>51</v>
      </c>
      <c r="AZ101" s="103" t="s">
        <v>52</v>
      </c>
      <c r="BA101" s="103" t="s">
        <v>343</v>
      </c>
      <c r="BB101" s="10">
        <v>320818</v>
      </c>
      <c r="BE101" s="237"/>
      <c r="BF101" s="238"/>
    </row>
    <row r="102" spans="51:58" ht="12.75">
      <c r="AY102" s="103" t="s">
        <v>88</v>
      </c>
      <c r="AZ102" s="103" t="s">
        <v>89</v>
      </c>
      <c r="BA102" s="103" t="s">
        <v>343</v>
      </c>
      <c r="BB102" s="10">
        <v>339920</v>
      </c>
      <c r="BE102" s="237"/>
      <c r="BF102" s="238"/>
    </row>
    <row r="103" spans="51:58" ht="12.75">
      <c r="AY103" s="103" t="s">
        <v>177</v>
      </c>
      <c r="AZ103" s="103" t="s">
        <v>436</v>
      </c>
      <c r="BA103" s="103" t="s">
        <v>343</v>
      </c>
      <c r="BB103" s="10">
        <v>656875</v>
      </c>
      <c r="BE103" s="70"/>
      <c r="BF103" s="239"/>
    </row>
    <row r="104" spans="51:58" ht="12.75">
      <c r="AY104" s="103" t="s">
        <v>114</v>
      </c>
      <c r="AZ104" s="103" t="s">
        <v>415</v>
      </c>
      <c r="BA104" s="103" t="s">
        <v>343</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343</v>
      </c>
      <c r="BB107" s="10">
        <v>274443</v>
      </c>
      <c r="BF107" s="252"/>
    </row>
    <row r="108" spans="51:58" ht="12.75">
      <c r="AY108" s="103" t="s">
        <v>95</v>
      </c>
      <c r="AZ108" s="103" t="s">
        <v>410</v>
      </c>
      <c r="BA108" s="103" t="s">
        <v>343</v>
      </c>
      <c r="BB108" s="10">
        <v>213174</v>
      </c>
      <c r="BE108" s="70"/>
      <c r="BF108" s="239"/>
    </row>
    <row r="109" spans="51:58" ht="12.75">
      <c r="AY109" s="103" t="s">
        <v>179</v>
      </c>
      <c r="AZ109" s="103" t="s">
        <v>180</v>
      </c>
      <c r="BA109" s="103" t="s">
        <v>343</v>
      </c>
      <c r="BB109" s="10">
        <v>278950</v>
      </c>
      <c r="BE109" s="237"/>
      <c r="BF109" s="238"/>
    </row>
    <row r="110" spans="51:58" ht="12.75">
      <c r="AY110" s="103" t="s">
        <v>273</v>
      </c>
      <c r="AZ110" s="103" t="s">
        <v>274</v>
      </c>
      <c r="BA110" s="103" t="s">
        <v>343</v>
      </c>
      <c r="BB110" s="10">
        <v>133304</v>
      </c>
      <c r="BE110" s="70"/>
      <c r="BF110" s="249"/>
    </row>
    <row r="111" spans="51:58" ht="12.75">
      <c r="AY111" s="103" t="s">
        <v>155</v>
      </c>
      <c r="AZ111" s="103" t="s">
        <v>430</v>
      </c>
      <c r="BA111" s="103" t="s">
        <v>343</v>
      </c>
      <c r="BB111" s="10">
        <v>197060</v>
      </c>
      <c r="BE111" s="70"/>
      <c r="BF111" s="239"/>
    </row>
    <row r="112" spans="51:58" ht="12.75">
      <c r="AY112" s="103" t="s">
        <v>100</v>
      </c>
      <c r="AZ112" s="103" t="s">
        <v>101</v>
      </c>
      <c r="BA112" s="103" t="s">
        <v>343</v>
      </c>
      <c r="BB112" s="10">
        <v>253140</v>
      </c>
      <c r="BE112" s="250"/>
      <c r="BF112" s="249"/>
    </row>
    <row r="113" spans="51:58" ht="12.75">
      <c r="AY113" s="103" t="s">
        <v>92</v>
      </c>
      <c r="AZ113" s="103" t="s">
        <v>93</v>
      </c>
      <c r="BA113" s="103" t="s">
        <v>343</v>
      </c>
      <c r="BB113" s="10">
        <v>240983</v>
      </c>
      <c r="BE113" s="70"/>
      <c r="BF113" s="241"/>
    </row>
    <row r="114" spans="51:58" ht="12.75">
      <c r="AY114" s="103" t="s">
        <v>228</v>
      </c>
      <c r="AZ114" s="103" t="s">
        <v>451</v>
      </c>
      <c r="BA114" s="103" t="s">
        <v>343</v>
      </c>
      <c r="BB114" s="10">
        <v>340451</v>
      </c>
      <c r="BF114" s="241"/>
    </row>
    <row r="115" spans="51:58" ht="12.75">
      <c r="AY115" s="103" t="s">
        <v>189</v>
      </c>
      <c r="AZ115" s="103" t="s">
        <v>190</v>
      </c>
      <c r="BA115" s="103" t="s">
        <v>343</v>
      </c>
      <c r="BB115" s="10">
        <v>280673</v>
      </c>
      <c r="BE115" s="248"/>
      <c r="BF115" s="241"/>
    </row>
    <row r="116" spans="51:58" ht="12.75">
      <c r="AY116" s="103" t="s">
        <v>169</v>
      </c>
      <c r="AZ116" s="103" t="s">
        <v>170</v>
      </c>
      <c r="BA116" s="103" t="s">
        <v>343</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343</v>
      </c>
      <c r="BB118" s="10">
        <v>217094</v>
      </c>
      <c r="BE118" s="70"/>
      <c r="BF118" s="239"/>
    </row>
    <row r="119" spans="51:58" ht="12.75">
      <c r="AY119" s="103" t="s">
        <v>268</v>
      </c>
      <c r="AZ119" s="103" t="s">
        <v>461</v>
      </c>
      <c r="BA119" s="103" t="s">
        <v>343</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343</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343</v>
      </c>
      <c r="BB124" s="10">
        <v>150179</v>
      </c>
      <c r="BF124" s="252"/>
    </row>
    <row r="125" spans="51:58" ht="12.75">
      <c r="AY125" s="103" t="s">
        <v>253</v>
      </c>
      <c r="AZ125" s="103" t="s">
        <v>254</v>
      </c>
      <c r="BA125" s="103" t="s">
        <v>343</v>
      </c>
      <c r="BB125" s="10">
        <v>420503</v>
      </c>
      <c r="BE125" s="70"/>
      <c r="BF125" s="249"/>
    </row>
    <row r="126" spans="51:58" ht="12.75">
      <c r="AY126" s="103" t="s">
        <v>134</v>
      </c>
      <c r="AZ126" s="103" t="s">
        <v>425</v>
      </c>
      <c r="BA126" s="103" t="s">
        <v>343</v>
      </c>
      <c r="BB126" s="10">
        <v>263936</v>
      </c>
      <c r="BE126" s="70"/>
      <c r="BF126" s="239"/>
    </row>
    <row r="127" spans="51:58" ht="12.75">
      <c r="AY127" s="103" t="s">
        <v>142</v>
      </c>
      <c r="AZ127" s="103" t="s">
        <v>143</v>
      </c>
      <c r="BA127" s="103" t="s">
        <v>343</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343</v>
      </c>
      <c r="BB129" s="10">
        <v>191885</v>
      </c>
      <c r="BE129" s="70"/>
      <c r="BF129" s="249"/>
    </row>
    <row r="130" spans="51:58" ht="12.75">
      <c r="AY130" s="103" t="s">
        <v>233</v>
      </c>
      <c r="AZ130" s="103" t="s">
        <v>452</v>
      </c>
      <c r="BA130" s="103" t="s">
        <v>343</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343</v>
      </c>
      <c r="BB132" s="10">
        <v>283991</v>
      </c>
      <c r="BE132" s="247"/>
      <c r="BF132" s="249"/>
    </row>
    <row r="133" spans="51:58" ht="12.75">
      <c r="AY133" s="103" t="s">
        <v>216</v>
      </c>
      <c r="AZ133" s="103" t="s">
        <v>217</v>
      </c>
      <c r="BA133" s="103" t="s">
        <v>343</v>
      </c>
      <c r="BB133" s="10">
        <v>1156805</v>
      </c>
      <c r="BE133" s="247"/>
      <c r="BF133" s="251"/>
    </row>
    <row r="134" spans="51:58" ht="12.75">
      <c r="AY134" s="103" t="s">
        <v>156</v>
      </c>
      <c r="AZ134" s="103" t="s">
        <v>431</v>
      </c>
      <c r="BA134" s="103" t="s">
        <v>343</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343</v>
      </c>
      <c r="BB138" s="10">
        <v>145889</v>
      </c>
      <c r="BE138" s="70"/>
      <c r="BF138" s="239"/>
    </row>
    <row r="139" spans="51:58" ht="12.75">
      <c r="AY139" s="103" t="s">
        <v>75</v>
      </c>
      <c r="AZ139" s="103" t="s">
        <v>400</v>
      </c>
      <c r="BA139" s="103" t="s">
        <v>343</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343</v>
      </c>
      <c r="BB142" s="10">
        <v>265654</v>
      </c>
      <c r="BE142" s="70"/>
      <c r="BF142" s="241"/>
    </row>
    <row r="143" spans="51:58" ht="12.75">
      <c r="AY143" s="103" t="s">
        <v>181</v>
      </c>
      <c r="AZ143" s="103" t="s">
        <v>182</v>
      </c>
      <c r="BA143" s="103" t="s">
        <v>343</v>
      </c>
      <c r="BB143" s="10">
        <v>284466</v>
      </c>
      <c r="BE143" s="70"/>
      <c r="BF143" s="249"/>
    </row>
    <row r="144" spans="51:58" ht="12.75">
      <c r="AY144" s="103" t="s">
        <v>146</v>
      </c>
      <c r="AZ144" s="103" t="s">
        <v>147</v>
      </c>
      <c r="BA144" s="103" t="s">
        <v>343</v>
      </c>
      <c r="BB144" s="10">
        <v>319933</v>
      </c>
      <c r="BE144" s="70"/>
      <c r="BF144" s="241"/>
    </row>
    <row r="145" spans="51:58" ht="12.75">
      <c r="AY145" s="103" t="s">
        <v>111</v>
      </c>
      <c r="AZ145" s="103" t="s">
        <v>112</v>
      </c>
      <c r="BA145" s="103" t="s">
        <v>343</v>
      </c>
      <c r="BB145" s="10">
        <v>192336</v>
      </c>
      <c r="BE145" s="248"/>
      <c r="BF145" s="249"/>
    </row>
    <row r="146" spans="51:58" ht="12.75">
      <c r="AY146" s="103" t="s">
        <v>237</v>
      </c>
      <c r="AZ146" s="103" t="s">
        <v>238</v>
      </c>
      <c r="BA146" s="103" t="s">
        <v>343</v>
      </c>
      <c r="BB146" s="10">
        <v>548313</v>
      </c>
      <c r="BF146" s="252"/>
    </row>
    <row r="147" spans="51:58" ht="12.75">
      <c r="AY147" s="103" t="s">
        <v>247</v>
      </c>
      <c r="AZ147" s="103" t="s">
        <v>248</v>
      </c>
      <c r="BA147" s="103" t="s">
        <v>343</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343</v>
      </c>
      <c r="BB150" s="10">
        <v>259945</v>
      </c>
      <c r="BF150" s="252"/>
    </row>
    <row r="151" spans="51:58" ht="12.75">
      <c r="AY151" s="103" t="s">
        <v>138</v>
      </c>
      <c r="AZ151" s="103" t="s">
        <v>139</v>
      </c>
      <c r="BA151" s="103" t="s">
        <v>343</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343</v>
      </c>
      <c r="BB153" s="10">
        <v>332176</v>
      </c>
      <c r="BF153" s="252"/>
    </row>
    <row r="154" spans="51:58" ht="12.75">
      <c r="AY154" s="103" t="s">
        <v>161</v>
      </c>
      <c r="AZ154" s="103" t="s">
        <v>434</v>
      </c>
      <c r="BA154" s="103" t="s">
        <v>343</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557</v>
      </c>
      <c r="B3" s="56" t="s">
        <v>421</v>
      </c>
      <c r="C3" s="56" t="s">
        <v>24</v>
      </c>
    </row>
    <row r="4" spans="1:2" ht="12.75">
      <c r="A4" s="76">
        <v>1</v>
      </c>
      <c r="B4" s="78" t="s">
        <v>128</v>
      </c>
    </row>
    <row r="5" ht="12.75">
      <c r="A5" s="280" t="s">
        <v>557</v>
      </c>
    </row>
    <row r="6" ht="12.75">
      <c r="A6" s="280" t="s">
        <v>560</v>
      </c>
    </row>
    <row r="7" ht="12.75">
      <c r="A7" s="280" t="s">
        <v>583</v>
      </c>
    </row>
    <row r="8" ht="12.75">
      <c r="A8" s="280" t="s">
        <v>572</v>
      </c>
    </row>
    <row r="9" ht="12.75">
      <c r="A9" s="280" t="s">
        <v>573</v>
      </c>
    </row>
    <row r="10" ht="12.75">
      <c r="A10" s="280" t="s">
        <v>543</v>
      </c>
    </row>
    <row r="11" ht="12.75">
      <c r="A11" s="280" t="s">
        <v>555</v>
      </c>
    </row>
    <row r="12" ht="12.75">
      <c r="A12" s="280" t="s">
        <v>581</v>
      </c>
    </row>
    <row r="13" ht="12.75">
      <c r="A13" s="280" t="s">
        <v>577</v>
      </c>
    </row>
    <row r="14" ht="12.75">
      <c r="A14" s="280" t="s">
        <v>568</v>
      </c>
    </row>
    <row r="15" ht="12.75">
      <c r="A15" s="280" t="s">
        <v>597</v>
      </c>
    </row>
    <row r="16" ht="12.75">
      <c r="A16" s="280" t="s">
        <v>566</v>
      </c>
    </row>
    <row r="17" ht="12.75">
      <c r="A17" s="280" t="s">
        <v>546</v>
      </c>
    </row>
    <row r="18" ht="12.75">
      <c r="A18" s="280" t="s">
        <v>580</v>
      </c>
    </row>
    <row r="19" ht="12.75">
      <c r="A19" s="280" t="s">
        <v>567</v>
      </c>
    </row>
    <row r="20" ht="12.75">
      <c r="A20" s="280" t="s">
        <v>545</v>
      </c>
    </row>
    <row r="21" ht="12.75">
      <c r="A21" s="280" t="s">
        <v>584</v>
      </c>
    </row>
    <row r="22" ht="12.75">
      <c r="A22" s="280" t="s">
        <v>554</v>
      </c>
    </row>
    <row r="23" ht="12.75">
      <c r="A23" s="280" t="s">
        <v>569</v>
      </c>
    </row>
    <row r="24" ht="12.75">
      <c r="A24" s="280" t="s">
        <v>529</v>
      </c>
    </row>
    <row r="25" ht="12.75">
      <c r="A25" s="280" t="s">
        <v>542</v>
      </c>
    </row>
    <row r="26" ht="12.75">
      <c r="A26" s="280" t="s">
        <v>564</v>
      </c>
    </row>
    <row r="27" ht="12.75">
      <c r="A27" s="280" t="s">
        <v>547</v>
      </c>
    </row>
    <row r="28" ht="12.75">
      <c r="A28" s="280" t="s">
        <v>574</v>
      </c>
    </row>
    <row r="29" ht="12.75">
      <c r="A29" s="280" t="s">
        <v>562</v>
      </c>
    </row>
    <row r="30" ht="12.75">
      <c r="A30" s="280" t="s">
        <v>549</v>
      </c>
    </row>
    <row r="31" ht="12.75">
      <c r="A31" s="280" t="s">
        <v>535</v>
      </c>
    </row>
    <row r="32" ht="12.75">
      <c r="A32" s="280" t="s">
        <v>537</v>
      </c>
    </row>
    <row r="33" ht="12.75">
      <c r="A33" s="280" t="s">
        <v>539</v>
      </c>
    </row>
    <row r="34" ht="12.75">
      <c r="A34" s="280" t="s">
        <v>541</v>
      </c>
    </row>
    <row r="35" ht="12.75">
      <c r="A35" s="280" t="s">
        <v>552</v>
      </c>
    </row>
    <row r="36" ht="12.75">
      <c r="A36" s="280" t="s">
        <v>532</v>
      </c>
    </row>
    <row r="37" ht="12.75">
      <c r="A37" s="280" t="s">
        <v>553</v>
      </c>
    </row>
    <row r="38" ht="12.75">
      <c r="A38" s="280" t="s">
        <v>528</v>
      </c>
    </row>
    <row r="39" ht="12.75">
      <c r="A39" s="280" t="s">
        <v>576</v>
      </c>
    </row>
    <row r="40" ht="12.75">
      <c r="A40" s="280" t="s">
        <v>540</v>
      </c>
    </row>
    <row r="41" ht="12.75">
      <c r="A41" s="280" t="s">
        <v>575</v>
      </c>
    </row>
    <row r="42" ht="12.75">
      <c r="A42" s="280" t="s">
        <v>544</v>
      </c>
    </row>
    <row r="43" ht="12.75">
      <c r="A43" s="280" t="s">
        <v>565</v>
      </c>
    </row>
    <row r="44" ht="12.75">
      <c r="A44" s="280" t="s">
        <v>579</v>
      </c>
    </row>
    <row r="45" ht="12.75">
      <c r="A45" s="280" t="s">
        <v>536</v>
      </c>
    </row>
    <row r="46" ht="12.75">
      <c r="A46" s="280" t="s">
        <v>563</v>
      </c>
    </row>
    <row r="47" ht="12.75">
      <c r="A47" s="280" t="s">
        <v>578</v>
      </c>
    </row>
    <row r="48" ht="12.75">
      <c r="A48" s="280" t="s">
        <v>559</v>
      </c>
    </row>
    <row r="49" ht="12.75">
      <c r="A49" s="280" t="s">
        <v>538</v>
      </c>
    </row>
    <row r="50" ht="12.75">
      <c r="A50" s="280" t="s">
        <v>561</v>
      </c>
    </row>
    <row r="51" ht="12.75">
      <c r="A51" s="280" t="s">
        <v>534</v>
      </c>
    </row>
    <row r="52" ht="12.75">
      <c r="A52" s="280" t="s">
        <v>530</v>
      </c>
    </row>
    <row r="53" ht="12.75">
      <c r="A53" s="280" t="s">
        <v>556</v>
      </c>
    </row>
    <row r="54" ht="12.75">
      <c r="A54" s="280" t="s">
        <v>570</v>
      </c>
    </row>
    <row r="55" ht="12.75">
      <c r="A55" s="280" t="s">
        <v>558</v>
      </c>
    </row>
    <row r="56" ht="12.75">
      <c r="A56" s="280" t="s">
        <v>550</v>
      </c>
    </row>
    <row r="57" ht="12.75">
      <c r="A57" s="280" t="s">
        <v>548</v>
      </c>
    </row>
    <row r="58" ht="12.75">
      <c r="A58" s="280" t="s">
        <v>571</v>
      </c>
    </row>
    <row r="59" ht="12.75">
      <c r="A59" s="280" t="s">
        <v>531</v>
      </c>
    </row>
    <row r="60" ht="12.75">
      <c r="A60" s="280" t="s">
        <v>585</v>
      </c>
    </row>
    <row r="61" ht="12.75">
      <c r="A61" s="280" t="s">
        <v>533</v>
      </c>
    </row>
    <row r="62" ht="12.75">
      <c r="A62" s="280" t="s">
        <v>551</v>
      </c>
    </row>
    <row r="63" ht="12.75">
      <c r="A63" s="280" t="s">
        <v>582</v>
      </c>
    </row>
    <row r="64" ht="12.75">
      <c r="A64" s="280" t="s">
        <v>586</v>
      </c>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