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<sst xmlns="http://schemas.openxmlformats.org/spreadsheetml/2006/main" count="1507" uniqueCount="567">
  <si>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</si>
  <si>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</si>
  <si>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</si>
  <si>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</si>
  <si>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</si>
  <si>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</si>
  <si>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</si>
  <si>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</si>
  <si>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</si>
  <si>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</si>
  <si>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</si>
  <si>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</si>
  <si>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</si>
  <si>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</si>
  <si>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</si>
  <si>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</si>
  <si>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</si>
  <si>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</si>
  <si>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</si>
  <si>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</si>
  <si>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</si>
  <si>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</si>
  <si>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</si>
  <si>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</si>
  <si>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</si>
  <si>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</si>
  <si>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</si>
  <si>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</si>
  <si>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</si>
  <si>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</si>
  <si>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</si>
  <si>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</si>
  <si>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</si>
  <si>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</si>
  <si>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</si>
  <si>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</si>
  <si>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</si>
  <si>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</si>
  <si>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</si>
  <si>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</si>
  <si>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</si>
  <si>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</si>
  <si>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</si>
  <si>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</si>
  <si>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</si>
  <si>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</si>
  <si>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</si>
  <si>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</si>
  <si>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</si>
  <si>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</si>
  <si>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</si>
  <si>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</si>
  <si>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</si>
  <si>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</si>
  <si>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</si>
  <si>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</si>
  <si>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</si>
  <si>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</si>
  <si>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</si>
  <si>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</si>
  <si>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</si>
  <si>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</si>
  <si>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</si>
  <si>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</si>
  <si>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</si>
  <si>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</si>
  <si>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</si>
  <si>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</si>
  <si>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</si>
  <si>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</si>
  <si>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</si>
  <si>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</si>
  <si>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</si>
  <si>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</si>
  <si>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</si>
  <si>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</si>
  <si>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</si>
  <si>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</si>
  <si>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</si>
  <si>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</si>
  <si>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</si>
  <si>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</si>
  <si>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</si>
  <si>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</si>
  <si>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</si>
  <si>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</si>
  <si>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</si>
  <si>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</si>
  <si>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</si>
  <si>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</si>
  <si>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</si>
  <si>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</si>
  <si>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</si>
  <si>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</si>
  <si>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</si>
  <si>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</si>
  <si>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</si>
  <si>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</si>
  <si>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</si>
  <si>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</si>
  <si>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</si>
  <si>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</si>
  <si>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</si>
  <si>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</si>
  <si>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</si>
  <si>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</si>
  <si>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</si>
  <si>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</si>
  <si>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</si>
  <si>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</si>
  <si>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</si>
  <si>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</si>
  <si>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</si>
  <si>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</si>
  <si>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</si>
  <si>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</si>
  <si>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</si>
  <si>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</si>
  <si>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</si>
  <si>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</si>
  <si>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</si>
  <si>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</si>
  <si>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</si>
  <si>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</si>
  <si>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</si>
  <si>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</si>
  <si>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</si>
  <si>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</si>
  <si>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</si>
  <si>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</si>
  <si>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</si>
  <si>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</si>
  <si>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</si>
  <si>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</si>
  <si>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</si>
  <si>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</si>
  <si>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</si>
  <si>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</si>
  <si>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</si>
  <si>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</si>
  <si>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</si>
  <si>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</si>
  <si>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</si>
  <si>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</si>
  <si>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</si>
  <si>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</si>
  <si>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</si>
  <si>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</si>
  <si>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</si>
  <si>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</si>
  <si>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</si>
  <si>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</si>
  <si>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</si>
  <si>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</si>
  <si>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</si>
  <si>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</si>
  <si>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</si>
  <si>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</si>
  <si>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</si>
  <si>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</si>
  <si>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</si>
  <si>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</si>
  <si>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</si>
  <si>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</si>
  <si>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</si>
  <si>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</si>
  <si>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</si>
  <si>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</si>
  <si>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</si>
  <si>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</si>
  <si>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</si>
  <si>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</si>
  <si>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</si>
  <si>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</si>
  <si>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</si>
  <si>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</si>
  <si>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</si>
  <si>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</si>
  <si>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</si>
  <si>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</si>
  <si>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</si>
  <si>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</si>
  <si>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</si>
  <si>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</si>
  <si>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</si>
  <si>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</si>
  <si>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</si>
  <si>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</si>
  <si>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</si>
  <si>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</si>
  <si>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</si>
  <si>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</si>
  <si>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</si>
  <si>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</si>
  <si>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</si>
  <si>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</si>
  <si>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</si>
  <si>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</si>
  <si>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</si>
  <si>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</si>
  <si>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</si>
  <si>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</si>
  <si>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</si>
  <si>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</si>
  <si>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</si>
  <si>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</si>
  <si>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</si>
  <si>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</si>
  <si>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</si>
  <si>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</si>
  <si>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</si>
  <si>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</si>
  <si>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</si>
  <si>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</si>
  <si>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</si>
  <si>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</si>
  <si>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</si>
  <si>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</si>
  <si>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</si>
  <si>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</si>
  <si>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</si>
  <si>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</si>
  <si>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</si>
  <si>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</si>
  <si>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</si>
  <si>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</si>
  <si>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</si>
  <si>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</si>
  <si>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</si>
  <si>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</si>
  <si>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</si>
  <si>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</si>
  <si>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</si>
  <si>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</si>
  <si>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</si>
  <si>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</si>
  <si>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</si>
  <si>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</si>
  <si>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</si>
  <si>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</si>
  <si>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</si>
  <si>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</si>
  <si>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</si>
  <si>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</si>
  <si>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</si>
  <si>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</si>
  <si>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</si>
  <si>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</si>
  <si>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</si>
  <si>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</si>
  <si>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</si>
  <si>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</si>
  <si>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</si>
  <si>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</si>
  <si>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</si>
  <si>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</si>
  <si>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</si>
  <si>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</si>
  <si>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</si>
  <si>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</si>
  <si>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</si>
  <si>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</si>
  <si>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</si>
  <si>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</si>
  <si>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</si>
  <si>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</si>
  <si>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</si>
  <si>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</si>
  <si>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</si>
  <si>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</si>
  <si>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</si>
  <si>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</si>
  <si>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</si>
  <si>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</si>
  <si>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</si>
  <si>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</si>
  <si>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</si>
  <si>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</si>
  <si>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</si>
  <si>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</si>
  <si>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</si>
  <si>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</si>
  <si>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G85001</t>
  </si>
  <si>
    <t>G85006</t>
  </si>
  <si>
    <t>G85007</t>
  </si>
  <si>
    <t>G85009</t>
  </si>
  <si>
    <t>G85012</t>
  </si>
  <si>
    <t>G85013</t>
  </si>
  <si>
    <t>G85019</t>
  </si>
  <si>
    <t>G85029</t>
  </si>
  <si>
    <t>G85030</t>
  </si>
  <si>
    <t>G85031</t>
  </si>
  <si>
    <t>G85034</t>
  </si>
  <si>
    <t>G85042</t>
  </si>
  <si>
    <t>G85050</t>
  </si>
  <si>
    <t>G85051</t>
  </si>
  <si>
    <t>G85052</t>
  </si>
  <si>
    <t>G85082</t>
  </si>
  <si>
    <t>G85084</t>
  </si>
  <si>
    <t>G85087</t>
  </si>
  <si>
    <t>G85091</t>
  </si>
  <si>
    <t>G85094</t>
  </si>
  <si>
    <t>G85095</t>
  </si>
  <si>
    <t>G85097</t>
  </si>
  <si>
    <t>G85106</t>
  </si>
  <si>
    <t>G85112</t>
  </si>
  <si>
    <t>G85119</t>
  </si>
  <si>
    <t>G85125</t>
  </si>
  <si>
    <t>G85132</t>
  </si>
  <si>
    <t>G85134</t>
  </si>
  <si>
    <t>G85138</t>
  </si>
  <si>
    <t>G85632</t>
  </si>
  <si>
    <t>G85642</t>
  </si>
  <si>
    <t>G85644</t>
  </si>
  <si>
    <t>G85651</t>
  </si>
  <si>
    <t>G85681</t>
  </si>
  <si>
    <t>G85685</t>
  </si>
  <si>
    <t>G85692</t>
  </si>
  <si>
    <t>G85705</t>
  </si>
  <si>
    <t>G85707</t>
  </si>
  <si>
    <t>G85712</t>
  </si>
  <si>
    <t>G85715</t>
  </si>
  <si>
    <t>G85721</t>
  </si>
  <si>
    <t>G85723</t>
  </si>
  <si>
    <t>G85726</t>
  </si>
  <si>
    <t>5CC</t>
  </si>
  <si>
    <t>Y00454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</si>
  <si>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</si>
  <si>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</si>
  <si>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</si>
  <si>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</si>
  <si>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</si>
  <si>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</si>
  <si>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</si>
  <si>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</si>
  <si>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</si>
  <si>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</si>
  <si>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</si>
  <si>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</si>
  <si>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</si>
  <si>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</si>
  <si>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</si>
  <si>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</si>
  <si>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</si>
  <si>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</si>
  <si>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</si>
  <si>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</si>
  <si>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</si>
  <si>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</si>
  <si>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</si>
  <si>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</si>
  <si>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</si>
  <si>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</si>
  <si>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</si>
  <si>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</si>
  <si>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</si>
  <si>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</si>
  <si>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</si>
  <si>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</si>
  <si>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</si>
  <si>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</si>
  <si>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</si>
  <si>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</si>
  <si>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</si>
  <si>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</si>
  <si>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</si>
  <si>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</si>
  <si>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</si>
  <si>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</si>
  <si>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</si>
  <si>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</si>
  <si>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</si>
  <si>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</si>
  <si>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</si>
  <si>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</si>
  <si>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</si>
  <si>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</si>
  <si>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</si>
  <si>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</si>
  <si>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</si>
  <si>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</si>
  <si>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</si>
  <si>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</si>
  <si>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</si>
  <si>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</si>
  <si>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</si>
  <si>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</si>
  <si>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</si>
  <si>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</si>
  <si>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</si>
  <si>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</si>
  <si>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</si>
  <si>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</si>
  <si>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</si>
  <si>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</si>
  <si>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</si>
  <si>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</si>
  <si>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</si>
  <si>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</si>
  <si>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</si>
  <si>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</si>
  <si>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</si>
  <si>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</si>
  <si>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</si>
  <si>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</si>
  <si>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</si>
  <si>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</si>
  <si>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</si>
  <si>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</si>
  <si>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</si>
  <si>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</si>
  <si>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</si>
  <si>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</si>
  <si>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</si>
  <si>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</si>
  <si>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</si>
  <si>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</si>
  <si>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</si>
  <si>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</si>
  <si>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</si>
  <si>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</si>
  <si>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</si>
  <si>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</si>
  <si>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</si>
  <si>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</si>
  <si>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</si>
  <si>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</si>
  <si>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</si>
  <si>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</si>
  <si>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</si>
  <si>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</si>
  <si>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</si>
  <si>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</si>
  <si>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</si>
  <si>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</si>
  <si>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</si>
  <si>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</si>
  <si>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</si>
  <si>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</si>
  <si>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</si>
  <si>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</si>
  <si>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</si>
  <si>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</si>
  <si>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</si>
  <si>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</si>
  <si>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</si>
  <si>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</si>
  <si>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</si>
  <si>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</si>
  <si>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</si>
  <si>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</si>
  <si>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</si>
  <si>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</si>
  <si>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</si>
  <si>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</si>
  <si>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</si>
  <si>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</si>
  <si>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</si>
  <si>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</si>
  <si>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</si>
  <si>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</si>
  <si>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</si>
  <si>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</si>
  <si>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</si>
  <si>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</si>
  <si>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</si>
  <si>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</si>
  <si>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</si>
  <si>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</si>
  <si>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</si>
  <si>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</si>
  <si>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</si>
  <si>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</si>
  <si>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</si>
  <si>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</si>
  <si>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</si>
  <si>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</si>
  <si>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</si>
  <si>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</si>
  <si>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</si>
  <si>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</si>
  <si>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</si>
  <si>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</si>
  <si>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</si>
  <si>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</si>
  <si>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</si>
  <si>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</si>
  <si>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</si>
  <si>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</si>
  <si>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</si>
  <si>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</si>
  <si>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</si>
  <si>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</si>
  <si>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</si>
  <si>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</si>
  <si>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</si>
  <si>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</si>
  <si>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</si>
  <si>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</si>
  <si>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</si>
  <si>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</si>
  <si>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</si>
  <si>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</si>
  <si>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</si>
  <si>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</si>
  <si>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</si>
  <si>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</si>
  <si>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</si>
  <si>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</si>
  <si>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</si>
  <si>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</si>
  <si>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(G85001) FOREST HILL GROUP PRACTICE</t>
  </si>
  <si>
    <t>(G85006) DR I SALAU'S PRACTICE</t>
  </si>
  <si>
    <t>(G85007) DR A ULLAH'S PRACTICE</t>
  </si>
  <si>
    <t>(G85009) ST. JAMES CHURCH SURGERY</t>
  </si>
  <si>
    <t>(G85012) AYLESBURY PARTNERSHIP - THURLOW ST.</t>
  </si>
  <si>
    <t>(G85013) DR RS DURSTON'S PRACTICE</t>
  </si>
  <si>
    <t>(G85019) TRAFALGAR SURGERY</t>
  </si>
  <si>
    <t>(G85029) FALMOUTH ROAD GROUP PRACTICE</t>
  </si>
  <si>
    <t>(G85030) CONCORDIA PARKSIDE</t>
  </si>
  <si>
    <t>(G85031) DMC CHADWICK ROAD</t>
  </si>
  <si>
    <t>(G85034) PRINCESS STREET GROUP PRACTICE</t>
  </si>
  <si>
    <t>(G85042) DR AAN VIRJI'S PRACTICE</t>
  </si>
  <si>
    <t>(G85050) SIR JOHN KIRK CLOSE SURGERY</t>
  </si>
  <si>
    <t>(G85051) ELM LODGE SURGERY</t>
  </si>
  <si>
    <t>(G85052) OLD KENT ROAD SURGERY</t>
  </si>
  <si>
    <t>(G85082) DR RHK SINHA'S PRACTICE</t>
  </si>
  <si>
    <t>(G85084) PENROSE SURGERY</t>
  </si>
  <si>
    <t>(G85087) DMC SILVERLOCK</t>
  </si>
  <si>
    <t>(G85091) DR H DEWJI'S PRACTICE</t>
  </si>
  <si>
    <t>(G85094) BERMONDSEY AND LANSDOWNE MEDICAL MISSION</t>
  </si>
  <si>
    <t>(G85095) MANOR PLACE SURGERY</t>
  </si>
  <si>
    <t>(G85097) THE GRANGE ROAD PRACTICE</t>
  </si>
  <si>
    <t>(G85106) DR KK MISRA'S PRACTICE</t>
  </si>
  <si>
    <t>(G85112) THE HAMBLEDEN CLINIC</t>
  </si>
  <si>
    <t>(G85119) STERNHALL LANE SURGERY</t>
  </si>
  <si>
    <t>(G85125) PARK MEDICAL CENTRE</t>
  </si>
  <si>
    <t>(G85132) MELBOURNE GROVE</t>
  </si>
  <si>
    <t>(G85134) DR P ARUMUGARAASAH'S PRACTICE</t>
  </si>
  <si>
    <t>(G85138) ALBION STREET GROUP PRACTICE</t>
  </si>
  <si>
    <t>(G85632) THE VILLA STREET MEDICAL CENTRE</t>
  </si>
  <si>
    <t>(G85642) DR SS CHUDHA'S PRACTICE</t>
  </si>
  <si>
    <t>(G85644) THE GARDENS SURGERY</t>
  </si>
  <si>
    <t>(G85651) THE DULWICH MEDICAL CENTRE</t>
  </si>
  <si>
    <t>(G85681) THE LORDSHIP LANE SURGERY</t>
  </si>
  <si>
    <t>(G85685) THE NUNHEAD SURGERY</t>
  </si>
  <si>
    <t>(G85692) SURREY DOCKS HEALTH CENTRE</t>
  </si>
  <si>
    <t>(G85705) THE NEW MILL STREET SURGERY</t>
  </si>
  <si>
    <t>(G85707) DR R SARMA'S PRACTICE</t>
  </si>
  <si>
    <t>(G85712) DR R KADHIM'S PRACTICE</t>
  </si>
  <si>
    <t>(G85715) LISTER GP WALK-IN HC</t>
  </si>
  <si>
    <t>(G85721) DR AT BRADFORD'S PRACTICE</t>
  </si>
  <si>
    <t>(G85723) DR SMS HOSSAIN'S PRACTICE</t>
  </si>
  <si>
    <t>(G85726) ST. GILES SURGERY</t>
  </si>
  <si>
    <t>(Y00454) DR R SHARMA'S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</si>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</sst>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0.6666666666666666</c:v>
                </c:pt>
                <c:pt idx="4">
                  <c:v>1</c:v>
                </c:pt>
                <c:pt idx="5">
                  <c:v>1</c:v>
                </c:pt>
                <c:pt idx="6">
                  <c:v>1</c:v>
                </c:pt>
                <c:pt idx="7">
                  <c:v>0.9185003006364867</c:v>
                </c:pt>
                <c:pt idx="8">
                  <c:v>0.8071508774788384</c:v>
                </c:pt>
                <c:pt idx="9">
                  <c:v>0.8900128224169693</c:v>
                </c:pt>
                <c:pt idx="10">
                  <c:v>1</c:v>
                </c:pt>
                <c:pt idx="11">
                  <c:v>0.9538042960249071</c:v>
                </c:pt>
                <c:pt idx="12">
                  <c:v>1</c:v>
                </c:pt>
                <c:pt idx="13">
                  <c:v>0</c:v>
                </c:pt>
                <c:pt idx="14">
                  <c:v>1</c:v>
                </c:pt>
                <c:pt idx="15">
                  <c:v>1</c:v>
                </c:pt>
                <c:pt idx="16">
                  <c:v>0.9854549778223894</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0.5852032538279459</c:v>
                </c:pt>
                <c:pt idx="3">
                  <c:v>0.5666666567325586</c:v>
                </c:pt>
                <c:pt idx="4">
                  <c:v>0.6318638380609515</c:v>
                </c:pt>
                <c:pt idx="5">
                  <c:v>0.5556432536663352</c:v>
                </c:pt>
                <c:pt idx="6">
                  <c:v>0.625</c:v>
                </c:pt>
                <c:pt idx="7">
                  <c:v>0.6495601515860968</c:v>
                </c:pt>
                <c:pt idx="8">
                  <c:v>0.6628472453223454</c:v>
                </c:pt>
                <c:pt idx="9">
                  <c:v>0.6045395568476827</c:v>
                </c:pt>
                <c:pt idx="10">
                  <c:v>0.6934738399717906</c:v>
                </c:pt>
                <c:pt idx="11">
                  <c:v>0.6229123231735455</c:v>
                </c:pt>
                <c:pt idx="12">
                  <c:v>0.6348402807237891</c:v>
                </c:pt>
                <c:pt idx="13">
                  <c:v>0</c:v>
                </c:pt>
                <c:pt idx="14">
                  <c:v>0.569702083716688</c:v>
                </c:pt>
                <c:pt idx="15">
                  <c:v>0.5867035822264228</c:v>
                </c:pt>
                <c:pt idx="16">
                  <c:v>0.6216118793256351</c:v>
                </c:pt>
                <c:pt idx="17">
                  <c:v>0.6361500675807549</c:v>
                </c:pt>
                <c:pt idx="18">
                  <c:v>0.6373865789579354</c:v>
                </c:pt>
                <c:pt idx="19">
                  <c:v>0.5853946937180676</c:v>
                </c:pt>
                <c:pt idx="20">
                  <c:v>0.5722283554011625</c:v>
                </c:pt>
                <c:pt idx="21">
                  <c:v>0.6411972870785708</c:v>
                </c:pt>
                <c:pt idx="22">
                  <c:v>0.6365208559903259</c:v>
                </c:pt>
                <c:pt idx="23">
                  <c:v>0.5803644937114956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0.44099625444090096</c:v>
                </c:pt>
                <c:pt idx="3">
                  <c:v>0.30000002980232415</c:v>
                </c:pt>
                <c:pt idx="4">
                  <c:v>0.4447115756897603</c:v>
                </c:pt>
                <c:pt idx="5">
                  <c:v>0.4106005185282502</c:v>
                </c:pt>
                <c:pt idx="6">
                  <c:v>0.37500005820765137</c:v>
                </c:pt>
                <c:pt idx="7">
                  <c:v>0.3172557482240477</c:v>
                </c:pt>
                <c:pt idx="8">
                  <c:v>0.3587552435722508</c:v>
                </c:pt>
                <c:pt idx="9">
                  <c:v>0.3443027760841406</c:v>
                </c:pt>
                <c:pt idx="10">
                  <c:v>0.3694689566931901</c:v>
                </c:pt>
                <c:pt idx="11">
                  <c:v>0.29691642405476676</c:v>
                </c:pt>
                <c:pt idx="12">
                  <c:v>0.3970587580321721</c:v>
                </c:pt>
                <c:pt idx="13">
                  <c:v>0</c:v>
                </c:pt>
                <c:pt idx="14">
                  <c:v>0.4441479240668648</c:v>
                </c:pt>
                <c:pt idx="15">
                  <c:v>0.3602716666637387</c:v>
                </c:pt>
                <c:pt idx="16">
                  <c:v>0.27022109197674277</c:v>
                </c:pt>
                <c:pt idx="17">
                  <c:v>0.3249414756134709</c:v>
                </c:pt>
                <c:pt idx="18">
                  <c:v>0.4380149537240528</c:v>
                </c:pt>
                <c:pt idx="19">
                  <c:v>0.42986376867922993</c:v>
                </c:pt>
                <c:pt idx="20">
                  <c:v>0.4090460950416357</c:v>
                </c:pt>
                <c:pt idx="21">
                  <c:v>0.33033922139789573</c:v>
                </c:pt>
                <c:pt idx="22">
                  <c:v>0.4152920015690611</c:v>
                </c:pt>
                <c:pt idx="23">
                  <c:v>0.4277787447116504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0.35608385193960257</c:v>
                </c:pt>
                <c:pt idx="3">
                  <c:v>0</c:v>
                </c:pt>
                <c:pt idx="4">
                  <c:v>0.2819990114961553</c:v>
                </c:pt>
                <c:pt idx="5">
                  <c:v>0.30101589958180963</c:v>
                </c:pt>
                <c:pt idx="6">
                  <c:v>0.18750008731147705</c:v>
                </c:pt>
                <c:pt idx="7">
                  <c:v>0</c:v>
                </c:pt>
                <c:pt idx="8">
                  <c:v>0</c:v>
                </c:pt>
                <c:pt idx="9">
                  <c:v>0</c:v>
                </c:pt>
                <c:pt idx="10">
                  <c:v>0.029576357451430505</c:v>
                </c:pt>
                <c:pt idx="11">
                  <c:v>0</c:v>
                </c:pt>
                <c:pt idx="12">
                  <c:v>0.17041245128321614</c:v>
                </c:pt>
                <c:pt idx="13">
                  <c:v>0</c:v>
                </c:pt>
                <c:pt idx="14">
                  <c:v>0.38053779362907797</c:v>
                </c:pt>
                <c:pt idx="15">
                  <c:v>0.0983939886899251</c:v>
                </c:pt>
                <c:pt idx="16">
                  <c:v>0</c:v>
                </c:pt>
                <c:pt idx="17">
                  <c:v>0.20432322114867218</c:v>
                </c:pt>
                <c:pt idx="18">
                  <c:v>0.2876404533834588</c:v>
                </c:pt>
                <c:pt idx="19">
                  <c:v>0.3085208936935595</c:v>
                </c:pt>
                <c:pt idx="20">
                  <c:v>0.28693463955696813</c:v>
                </c:pt>
                <c:pt idx="21">
                  <c:v>0.30937681777058995</c:v>
                </c:pt>
                <c:pt idx="22">
                  <c:v>0.20175163642117597</c:v>
                </c:pt>
                <c:pt idx="23">
                  <c:v>0.3630177872595446</c:v>
                </c:pt>
                <c:pt idx="24">
                  <c:v>0</c:v>
                </c:pt>
                <c:pt idx="25">
                  <c:v>0</c:v>
                </c:pt>
                <c:pt idx="26">
                  <c:v>0</c:v>
                </c:pt>
              </c:numCache>
            </c:numRef>
          </c:val>
        </c:ser>
        <c:overlap val="100"/>
        <c:gapWidth val="100"/>
        <c:axId val="66761725"/>
        <c:axId val="6398461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0.8968042472455233</c:v>
                </c:pt>
                <c:pt idx="3">
                  <c:v>0.20036434310686163</c:v>
                </c:pt>
                <c:pt idx="4">
                  <c:v>0.8315269097658216</c:v>
                </c:pt>
                <c:pt idx="5">
                  <c:v>0.7094713621255007</c:v>
                </c:pt>
                <c:pt idx="6">
                  <c:v>0.9337953495177528</c:v>
                </c:pt>
                <c:pt idx="7">
                  <c:v>0.9393220035394365</c:v>
                </c:pt>
                <c:pt idx="8">
                  <c:v>0.854151736431186</c:v>
                </c:pt>
                <c:pt idx="9">
                  <c:v>0.6942567543632772</c:v>
                </c:pt>
                <c:pt idx="10">
                  <c:v>1.0984773438557338</c:v>
                </c:pt>
                <c:pt idx="11">
                  <c:v>1.035085399605616</c:v>
                </c:pt>
                <c:pt idx="12">
                  <c:v>0.7237713642091917</c:v>
                </c:pt>
                <c:pt idx="13">
                  <c:v>0.5</c:v>
                </c:pt>
                <c:pt idx="14">
                  <c:v>0.5455273141014533</c:v>
                </c:pt>
                <c:pt idx="15">
                  <c:v>0.5240736225346734</c:v>
                </c:pt>
                <c:pt idx="16">
                  <c:v>0.6364360516345674</c:v>
                </c:pt>
                <c:pt idx="17">
                  <c:v>0.8364106418653374</c:v>
                </c:pt>
                <c:pt idx="18">
                  <c:v>0.6049306185175541</c:v>
                </c:pt>
                <c:pt idx="19">
                  <c:v>0.5988337845426382</c:v>
                </c:pt>
                <c:pt idx="20">
                  <c:v>0.5925667211424153</c:v>
                </c:pt>
                <c:pt idx="21">
                  <c:v>0.9943403150853827</c:v>
                </c:pt>
                <c:pt idx="22">
                  <c:v>0.8103754508513747</c:v>
                </c:pt>
                <c:pt idx="23">
                  <c:v>0.7112418945040703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0.4937102880104982</c:v>
                </c:pt>
                <c:pt idx="3">
                  <c:v>-999</c:v>
                </c:pt>
                <c:pt idx="4">
                  <c:v>0.5690136658497047</c:v>
                </c:pt>
                <c:pt idx="5">
                  <c:v>0.6229530764245124</c:v>
                </c:pt>
                <c:pt idx="6">
                  <c:v>-999</c:v>
                </c:pt>
                <c:pt idx="7">
                  <c:v>0.5219016636826085</c:v>
                </c:pt>
                <c:pt idx="8">
                  <c:v>-999</c:v>
                </c:pt>
                <c:pt idx="9">
                  <c:v>0.5229700194068425</c:v>
                </c:pt>
                <c:pt idx="10">
                  <c:v>-999</c:v>
                </c:pt>
                <c:pt idx="11">
                  <c:v>0.6560403953607211</c:v>
                </c:pt>
                <c:pt idx="12">
                  <c:v>0.5835981455083268</c:v>
                </c:pt>
                <c:pt idx="13">
                  <c:v>0.5260758811510899</c:v>
                </c:pt>
                <c:pt idx="14">
                  <c:v>0.45161163261747667</c:v>
                </c:pt>
                <c:pt idx="15">
                  <c:v>0.43157896586071987</c:v>
                </c:pt>
                <c:pt idx="16">
                  <c:v>0.6009146079153903</c:v>
                </c:pt>
                <c:pt idx="17">
                  <c:v>0.5142999516212233</c:v>
                </c:pt>
                <c:pt idx="18">
                  <c:v>0.5773760680003402</c:v>
                </c:pt>
                <c:pt idx="19">
                  <c:v>0.6530978044256129</c:v>
                </c:pt>
                <c:pt idx="20">
                  <c:v>0.5123443688867356</c:v>
                </c:pt>
                <c:pt idx="21">
                  <c:v>0.4190453799581124</c:v>
                </c:pt>
                <c:pt idx="22">
                  <c:v>0.5402000128389312</c:v>
                </c:pt>
                <c:pt idx="23">
                  <c:v>0.4906925019381138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0.2666666706403099</c:v>
                </c:pt>
                <c:pt idx="4">
                  <c:v>-999</c:v>
                </c:pt>
                <c:pt idx="5">
                  <c:v>-999</c:v>
                </c:pt>
                <c:pt idx="6">
                  <c:v>0.6874999934807431</c:v>
                </c:pt>
                <c:pt idx="7">
                  <c:v>-999</c:v>
                </c:pt>
                <c:pt idx="8">
                  <c:v>0.3391916421973738</c:v>
                </c:pt>
                <c:pt idx="9">
                  <c:v>-999</c:v>
                </c:pt>
                <c:pt idx="10">
                  <c:v>0.776581600740029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990615"/>
        <c:axId val="15371216"/>
      </c:scatterChart>
      <c:catAx>
        <c:axId val="66761725"/>
        <c:scaling>
          <c:orientation val="maxMin"/>
        </c:scaling>
        <c:axPos val="l"/>
        <c:delete val="0"/>
        <c:numFmt formatCode="General" sourceLinked="1"/>
        <c:majorTickMark val="out"/>
        <c:minorTickMark val="none"/>
        <c:tickLblPos val="none"/>
        <c:spPr>
          <a:ln w="3175">
            <a:noFill/>
          </a:ln>
        </c:spPr>
        <c:crossAx val="63984614"/>
        <c:crosses val="autoZero"/>
        <c:auto val="1"/>
        <c:lblOffset val="100"/>
        <c:tickLblSkip val="1"/>
        <c:noMultiLvlLbl val="0"/>
      </c:catAx>
      <c:valAx>
        <c:axId val="63984614"/>
        <c:scaling>
          <c:orientation val="minMax"/>
          <c:max val="1"/>
          <c:min val="0"/>
        </c:scaling>
        <c:axPos val="t"/>
        <c:delete val="0"/>
        <c:numFmt formatCode="General" sourceLinked="1"/>
        <c:majorTickMark val="none"/>
        <c:minorTickMark val="none"/>
        <c:tickLblPos val="none"/>
        <c:spPr>
          <a:ln w="3175">
            <a:noFill/>
          </a:ln>
        </c:spPr>
        <c:crossAx val="66761725"/>
        <c:crossesAt val="1"/>
        <c:crossBetween val="between"/>
        <c:dispUnits/>
        <c:majorUnit val="1"/>
      </c:valAx>
      <c:valAx>
        <c:axId val="38990615"/>
        <c:scaling>
          <c:orientation val="minMax"/>
          <c:max val="1"/>
          <c:min val="0"/>
        </c:scaling>
        <c:axPos val="t"/>
        <c:delete val="0"/>
        <c:numFmt formatCode="General" sourceLinked="1"/>
        <c:majorTickMark val="none"/>
        <c:minorTickMark val="none"/>
        <c:tickLblPos val="none"/>
        <c:spPr>
          <a:ln w="3175">
            <a:noFill/>
          </a:ln>
        </c:spPr>
        <c:crossAx val="15371216"/>
        <c:crosses val="max"/>
        <c:crossBetween val="midCat"/>
        <c:dispUnits/>
        <c:majorUnit val="0.1"/>
        <c:minorUnit val="0.020000000000000004"/>
      </c:valAx>
      <c:valAx>
        <c:axId val="15371216"/>
        <c:scaling>
          <c:orientation val="maxMin"/>
          <c:max val="29"/>
          <c:min val="0"/>
        </c:scaling>
        <c:axPos val="l"/>
        <c:delete val="0"/>
        <c:numFmt formatCode="General" sourceLinked="1"/>
        <c:majorTickMark val="none"/>
        <c:minorTickMark val="none"/>
        <c:tickLblPos val="none"/>
        <c:spPr>
          <a:ln w="3175">
            <a:noFill/>
          </a:ln>
        </c:spPr>
        <c:crossAx val="3899061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(G85138) ALBION STREET GROUP PRACTICE, SOUTHWARK PCT (5LE)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558</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557</v>
      </c>
      <c r="C8" s="115"/>
      <c r="D8" s="115"/>
      <c r="E8" s="128">
        <f>VLOOKUP('Hide - Control'!A$3,'All practice data'!A:CA,4,FALSE)</f>
        <v>10831</v>
      </c>
      <c r="F8" s="310" t="str">
        <f>VLOOKUP('Hide - Control'!B4,'Hide - Calculation'!AY:BA,3,FALSE)</f>
        <v> </v>
      </c>
      <c r="G8" s="310"/>
      <c r="H8" s="310"/>
      <c r="I8" s="115"/>
      <c r="J8" s="115"/>
      <c r="K8" s="115"/>
      <c r="L8" s="115"/>
      <c r="M8" s="109"/>
      <c r="N8" s="314" t="s">
        <v>490</v>
      </c>
      <c r="O8" s="314"/>
      <c r="P8" s="314"/>
      <c r="Q8" s="314" t="s">
        <v>32</v>
      </c>
      <c r="R8" s="314"/>
      <c r="S8" s="314"/>
      <c r="T8" s="314" t="s">
        <v>561</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308593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336</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334</v>
      </c>
      <c r="C13" s="163">
        <v>1</v>
      </c>
      <c r="D13" s="312" t="s">
        <v>330</v>
      </c>
      <c r="E13" s="313"/>
      <c r="F13" s="313"/>
      <c r="G13" s="166">
        <f>IF(VLOOKUP('Hide - Control'!A$3,'All practice data'!A:CA,C13+4,FALSE)=" "," ",VLOOKUP('Hide - Control'!A$3,'All practice data'!A:CA,C13+4,FALSE))</f>
        <v>743</v>
      </c>
      <c r="H13" s="190">
        <f>IF(VLOOKUP('Hide - Control'!A$3,'All practice data'!A:CA,C13+30,FALSE)=" "," ",VLOOKUP('Hide - Control'!A$3,'All practice data'!A:CA,C13+30,FALSE))</f>
        <v>0.06859939063798356</v>
      </c>
      <c r="I13" s="191">
        <f>IF(LEFT(G13,1)=" "," n/a",+((2*G13+1.96^2-1.96*SQRT(1.96^2+4*G13*(1-G13/E$8)))/(2*(E$8+1.96^2))))</f>
        <v>0.06399026105590237</v>
      </c>
      <c r="J13" s="191">
        <f>IF(LEFT(G13,1)=" "," n/a",+((2*G13+1.96^2+1.96*SQRT(1.96^2+4*G13*(1-G13/E$8)))/(2*(E$8+1.96^2))))</f>
        <v>0.07351443490568879</v>
      </c>
      <c r="K13" s="190">
        <f>IF('Hide - Calculation'!N7="","",'Hide - Calculation'!N7)</f>
        <v>0.07209496002825729</v>
      </c>
      <c r="L13" s="192">
        <f>'Hide - Calculation'!O7</f>
        <v>0.1599882305185145</v>
      </c>
      <c r="M13" s="208">
        <f>IF(ISBLANK('Hide - Calculation'!K7),"",'Hide - Calculation'!U7)</f>
        <v>0.03739693760871887</v>
      </c>
      <c r="N13" s="173"/>
      <c r="O13" s="173"/>
      <c r="P13" s="173"/>
      <c r="Q13" s="173"/>
      <c r="R13" s="173"/>
      <c r="S13" s="173"/>
      <c r="T13" s="173"/>
      <c r="U13" s="173"/>
      <c r="V13" s="173"/>
      <c r="W13" s="173"/>
      <c r="X13" s="173"/>
      <c r="Y13" s="173"/>
      <c r="Z13" s="173"/>
      <c r="AA13" s="226">
        <f>IF(ISBLANK('Hide - Calculation'!K7),"",'Hide - Calculation'!T7)</f>
        <v>0.18338461220264435</v>
      </c>
      <c r="AB13" s="233" t="s">
        <v>555</v>
      </c>
      <c r="AC13" s="209" t="s">
        <v>556</v>
      </c>
    </row>
    <row r="14" spans="2:29" ht="33.75" customHeight="1">
      <c r="B14" s="306"/>
      <c r="C14" s="137">
        <v>2</v>
      </c>
      <c r="D14" s="132" t="s">
        <v>484</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0.17</v>
      </c>
      <c r="I14" s="120">
        <f>IF(LEFT(G14,1)=" "," n/a",+((2*H14*E8+1.96^2-1.96*SQRT(1.96^2+4*H14*E8*(1-H14*E8/E$8)))/(2*(E$8+1.96^2))))</f>
        <v>0.1630429615424516</v>
      </c>
      <c r="J14" s="120">
        <f>IF(LEFT(G14,1)=" "," n/a",+((2*H14*E8+1.96^2+1.96*SQRT(1.96^2+4*H14*E8*(1-H14*E8/E$8)))/(2*(E$8+1.96^2))))</f>
        <v>0.1771910479699718</v>
      </c>
      <c r="K14" s="119">
        <f>IF('Hide - Calculation'!N8="","",'Hide - Calculation'!N8)</f>
        <v>0.2115801719416837</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0.28999999165534973</v>
      </c>
      <c r="AB14" s="234" t="s">
        <v>39</v>
      </c>
      <c r="AC14" s="130" t="s">
        <v>556</v>
      </c>
    </row>
    <row r="15" spans="2:39" s="63" customFormat="1" ht="33.75" customHeight="1">
      <c r="B15" s="306"/>
      <c r="C15" s="137">
        <v>3</v>
      </c>
      <c r="D15" s="132" t="s">
        <v>339</v>
      </c>
      <c r="E15" s="85"/>
      <c r="F15" s="85"/>
      <c r="G15" s="121">
        <f>IF(VLOOKUP('Hide - Control'!A$3,'All practice data'!A:CA,C15+4,FALSE)=" "," ",VLOOKUP('Hide - Control'!A$3,'All practice data'!A:CA,C15+4,FALSE))</f>
        <v>30</v>
      </c>
      <c r="H15" s="122">
        <f>IF(VLOOKUP('Hide - Control'!A$3,'All practice data'!A:CA,C15+30,FALSE)=" "," ",VLOOKUP('Hide - Control'!A$3,'All practice data'!A:CA,C15+30,FALSE))</f>
        <v>276.9827347428677</v>
      </c>
      <c r="I15" s="123">
        <f>IF(LEFT(G15,1)=" "," n/a",IF(G15&lt;5,100000*VLOOKUP(G15,'Hide - Calculation'!AQ:AR,2,FALSE)/$E$8,100000*(G15*(1-1/(9*G15)-1.96/(3*SQRT(G15)))^3)/$E$8))</f>
        <v>186.8413568995921</v>
      </c>
      <c r="J15" s="123">
        <f>IF(LEFT(G15,1)=" "," n/a",IF(G15&lt;5,100000*VLOOKUP(G15,'Hide - Calculation'!AQ:AS,3,FALSE)/$E$8,100000*((G15+1)*(1-1/(9*(G15+1))+1.96/(3*SQRT(G15+1)))^3)/$E$8))</f>
        <v>395.4262827516089</v>
      </c>
      <c r="K15" s="122">
        <f>IF('Hide - Calculation'!N9="","",'Hide - Calculation'!N9)</f>
        <v>252.1120051329745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553.8461303710938</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21</v>
      </c>
      <c r="H16" s="122">
        <f>IF(VLOOKUP('Hide - Control'!A$3,'All practice data'!A:CA,C16+30,FALSE)=" "," ",VLOOKUP('Hide - Control'!A$3,'All practice data'!A:CA,C16+30,FALSE))</f>
        <v>193.88791432000738</v>
      </c>
      <c r="I16" s="123">
        <f>IF(LEFT(G16,1)=" "," n/a",IF(G16&lt;5,100000*VLOOKUP(G16,'Hide - Calculation'!AQ:AR,2,FALSE)/$E$8,100000*(G16*(1-1/(9*G16)-1.96/(3*SQRT(G16)))^3)/$E$8))</f>
        <v>119.97300953052499</v>
      </c>
      <c r="J16" s="123">
        <f>IF(LEFT(G16,1)=" "," n/a",IF(G16&lt;5,100000*VLOOKUP(G16,'Hide - Calculation'!AQ:AS,3,FALSE)/$E$8,100000*((G16+1)*(1-1/(9*(G16+1))+1.96/(3*SQRT(G16+1)))^3)/$E$8))</f>
        <v>296.3942166383134</v>
      </c>
      <c r="K16" s="122">
        <f>IF('Hide - Calculation'!N10="","",'Hide - Calculation'!N10)</f>
        <v>128.32436250984307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369.23077392578125</v>
      </c>
      <c r="AB16" s="234" t="s">
        <v>333</v>
      </c>
      <c r="AC16" s="131" t="s">
        <v>508</v>
      </c>
    </row>
    <row r="17" spans="2:29" s="63" customFormat="1" ht="33.75" customHeight="1" thickBot="1">
      <c r="B17" s="309"/>
      <c r="C17" s="180">
        <v>5</v>
      </c>
      <c r="D17" s="195" t="s">
        <v>338</v>
      </c>
      <c r="E17" s="182"/>
      <c r="F17" s="182"/>
      <c r="G17" s="140">
        <f>IF(VLOOKUP('Hide - Control'!A$3,'All practice data'!A:CA,C17+4,FALSE)=" "," ",VLOOKUP('Hide - Control'!A$3,'All practice data'!A:CA,C17+4,FALSE))</f>
        <v>129</v>
      </c>
      <c r="H17" s="141">
        <f>IF(VLOOKUP('Hide - Control'!A$3,'All practice data'!A:CA,C17+30,FALSE)=" "," ",VLOOKUP('Hide - Control'!A$3,'All practice data'!A:CA,C17+30,FALSE))</f>
        <v>0.012</v>
      </c>
      <c r="I17" s="142">
        <f>IF(LEFT(G17,1)=" "," n/a",+((2*G17+1.96^2-1.96*SQRT(1.96^2+4*G17*(1-G17/E$8)))/(2*(E$8+1.96^2))))</f>
        <v>0.010033301879465868</v>
      </c>
      <c r="J17" s="142">
        <f>IF(LEFT(G17,1)=" "," n/a",+((2*G17+1.96^2+1.96*SQRT(1.96^2+4*G17*(1-G17/E$8)))/(2*(E$8+1.96^2))))</f>
        <v>0.014133327377024598</v>
      </c>
      <c r="K17" s="141">
        <f>IF('Hide - Calculation'!N11="","",'Hide - Calculation'!N11)</f>
        <v>0.008940578691026692</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0.017000000923871994</v>
      </c>
      <c r="AB17" s="235" t="s">
        <v>477</v>
      </c>
      <c r="AC17" s="189" t="s">
        <v>508</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421</v>
      </c>
      <c r="H18" s="220">
        <f>IF(OR(VLOOKUP('Hide - Control'!A$3,'All practice data'!A:CA,C18+30,FALSE)=" ",VLOOKUP('Hide - Control'!A$3,'All practice data'!A:CA,C18+52,FALSE)=0)," n/a",VLOOKUP('Hide - Control'!A$3,'All practice data'!A:CA,C18+30,FALSE))</f>
        <v>0.601429</v>
      </c>
      <c r="I18" s="191">
        <f>IF(OR(LEFT(H18,1)=" ",VLOOKUP('Hide - Control'!A$3,'All practice data'!A:CA,C18+52,FALSE)=0)," n/a",+((2*G18+1.96^2-1.96*SQRT(1.96^2+4*G18*(1-G18/(VLOOKUP('Hide - Control'!A$3,'All practice data'!A:CA,C18+52,FALSE)))))/(2*(((VLOOKUP('Hide - Control'!A$3,'All practice data'!A:CA,C18+52,FALSE)))+1.96^2))))</f>
        <v>0.5646994669386651</v>
      </c>
      <c r="J18" s="191">
        <f>IF(OR(LEFT(H18,1)=" ",VLOOKUP('Hide - Control'!A$3,'All practice data'!A:CA,C18+52,FALSE)=0)," n/a",+((2*G18+1.96^2+1.96*SQRT(1.96^2+4*G18*(1-G18/(VLOOKUP('Hide - Control'!A$3,'All practice data'!A:CA,C18+52,FALSE)))))/(2*((VLOOKUP('Hide - Control'!A$3,'All practice data'!A:CA,C18+52,FALSE))+1.96^2))))</f>
        <v>0.6370504722521982</v>
      </c>
      <c r="K18" s="220">
        <f>IF('Hide - Calculation'!N12="","",'Hide - Calculation'!N12)</f>
        <v>0.6036223681231605</v>
      </c>
      <c r="L18" s="192">
        <f>'Hide - Calculation'!O12</f>
        <v>0.7248631360507991</v>
      </c>
      <c r="M18" s="193">
        <f>IF(ISBLANK('Hide - Calculation'!K12),"",'Hide - Calculation'!U12)</f>
        <v>0.4470990002155304</v>
      </c>
      <c r="N18" s="194"/>
      <c r="O18" s="173"/>
      <c r="P18" s="173"/>
      <c r="Q18" s="173"/>
      <c r="R18" s="173"/>
      <c r="S18" s="173"/>
      <c r="T18" s="173"/>
      <c r="U18" s="173"/>
      <c r="V18" s="173"/>
      <c r="W18" s="173"/>
      <c r="X18" s="173"/>
      <c r="Y18" s="173"/>
      <c r="Z18" s="174"/>
      <c r="AA18" s="193">
        <f>IF(ISBLANK('Hide - Calculation'!K12),"",'Hide - Calculation'!T12)</f>
        <v>0.7187060117721558</v>
      </c>
      <c r="AB18" s="233" t="s">
        <v>48</v>
      </c>
      <c r="AC18" s="175" t="s">
        <v>509</v>
      </c>
    </row>
    <row r="19" spans="2:29" s="63" customFormat="1" ht="33.75" customHeight="1">
      <c r="B19" s="306"/>
      <c r="C19" s="137">
        <v>7</v>
      </c>
      <c r="D19" s="132" t="s">
        <v>486</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0.36</v>
      </c>
      <c r="I19" s="120">
        <f>IF(OR(LEFT(H19,1)=" ",VLOOKUP('Hide - Control'!A$3,'All practice data'!A:CA,C19+52,FALSE)=0)," n/a",+((2*G19+1.96^2-1.96*SQRT(1.96^2+4*G19*(1-G19/(VLOOKUP('Hide - Control'!A$3,'All practice data'!A:CA,C19+52,FALSE)))))/(2*(((VLOOKUP('Hide - Control'!A$3,'All practice data'!A:CA,C19+52,FALSE)))+1.96^2))))</f>
        <v>0.20247656431735636</v>
      </c>
      <c r="J19" s="120">
        <f>IF(OR(LEFT(H19,1)=" ",VLOOKUP('Hide - Control'!A$3,'All practice data'!A:CA,C19+52,FALSE)=0)," n/a",+((2*G19+1.96^2+1.96*SQRT(1.96^2+4*G19*(1-G19/(VLOOKUP('Hide - Control'!A$3,'All practice data'!A:CA,C19+52,FALSE)))))/(2*((VLOOKUP('Hide - Control'!A$3,'All practice data'!A:CA,C19+52,FALSE))+1.96^2))))</f>
        <v>0.5548184539895337</v>
      </c>
      <c r="K19" s="218">
        <f>IF('Hide - Calculation'!N13="","",'Hide - Calculation'!N13)</f>
        <v>0.5941666666666666</v>
      </c>
      <c r="L19" s="155">
        <f>'Hide - Calculation'!O13</f>
        <v>0.7467412166569077</v>
      </c>
      <c r="M19" s="152">
        <f>IF(ISBLANK('Hide - Calculation'!K13),"",'Hide - Calculation'!U13)</f>
        <v>0.10526300221681595</v>
      </c>
      <c r="N19" s="160"/>
      <c r="O19" s="84"/>
      <c r="P19" s="84"/>
      <c r="Q19" s="84"/>
      <c r="R19" s="84"/>
      <c r="S19" s="84"/>
      <c r="T19" s="84"/>
      <c r="U19" s="84"/>
      <c r="V19" s="84"/>
      <c r="W19" s="84"/>
      <c r="X19" s="84"/>
      <c r="Y19" s="84"/>
      <c r="Z19" s="88"/>
      <c r="AA19" s="152">
        <f>IF(ISBLANK('Hide - Calculation'!K13),"",'Hide - Calculation'!T13)</f>
        <v>0.7114430069923401</v>
      </c>
      <c r="AB19" s="234" t="s">
        <v>48</v>
      </c>
      <c r="AC19" s="131" t="s">
        <v>508</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2412</v>
      </c>
      <c r="H20" s="218">
        <f>IF(OR(VLOOKUP('Hide - Control'!A$3,'All practice data'!A:CA,C20+30,FALSE)=" ",VLOOKUP('Hide - Control'!A$3,'All practice data'!A:CA,C20+52,FALSE)=0)," n/a",VLOOKUP('Hide - Control'!A$3,'All practice data'!A:CA,C20+30,FALSE))</f>
        <v>0.699739</v>
      </c>
      <c r="I20" s="120">
        <f>IF(OR(LEFT(H20,1)=" ",VLOOKUP('Hide - Control'!A$3,'All practice data'!A:CA,C20+52,FALSE)=0)," n/a",+((2*G20+1.96^2-1.96*SQRT(1.96^2+4*G20*(1-G20/(VLOOKUP('Hide - Control'!A$3,'All practice data'!A:CA,C20+52,FALSE)))))/(2*(((VLOOKUP('Hide - Control'!A$3,'All practice data'!A:CA,C20+52,FALSE)))+1.96^2))))</f>
        <v>0.6842212821485704</v>
      </c>
      <c r="J20" s="120">
        <f>IF(OR(LEFT(H20,1)=" ",VLOOKUP('Hide - Control'!A$3,'All practice data'!A:CA,C20+52,FALSE)=0)," n/a",+((2*G20+1.96^2+1.96*SQRT(1.96^2+4*G20*(1-G20/(VLOOKUP('Hide - Control'!A$3,'All practice data'!A:CA,C20+52,FALSE)))))/(2*((VLOOKUP('Hide - Control'!A$3,'All practice data'!A:CA,C20+52,FALSE))+1.96^2))))</f>
        <v>0.7148118116914944</v>
      </c>
      <c r="K20" s="218">
        <f>IF('Hide - Calculation'!N14="","",'Hide - Calculation'!N14)</f>
        <v>0.6994314849072779</v>
      </c>
      <c r="L20" s="155">
        <f>'Hide - Calculation'!O14</f>
        <v>0.7559681673907895</v>
      </c>
      <c r="M20" s="152">
        <f>IF(ISBLANK('Hide - Calculation'!K14),"",'Hide - Calculation'!U14)</f>
        <v>0.5280609726905823</v>
      </c>
      <c r="N20" s="160"/>
      <c r="O20" s="84"/>
      <c r="P20" s="84"/>
      <c r="Q20" s="84"/>
      <c r="R20" s="84"/>
      <c r="S20" s="84"/>
      <c r="T20" s="84"/>
      <c r="U20" s="84"/>
      <c r="V20" s="84"/>
      <c r="W20" s="84"/>
      <c r="X20" s="84"/>
      <c r="Y20" s="84"/>
      <c r="Z20" s="88"/>
      <c r="AA20" s="152">
        <f>IF(ISBLANK('Hide - Calculation'!K14),"",'Hide - Calculation'!T14)</f>
        <v>0.8202300071716309</v>
      </c>
      <c r="AB20" s="234" t="s">
        <v>48</v>
      </c>
      <c r="AC20" s="131" t="s">
        <v>510</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217</v>
      </c>
      <c r="H21" s="218">
        <f>IF(OR(VLOOKUP('Hide - Control'!A$3,'All practice data'!A:CA,C21+30,FALSE)=" ",VLOOKUP('Hide - Control'!A$3,'All practice data'!A:CA,C21+52,FALSE)=0)," n/a",VLOOKUP('Hide - Control'!A$3,'All practice data'!A:CA,C21+30,FALSE))</f>
        <v>0.420543</v>
      </c>
      <c r="I21" s="120">
        <f>IF(OR(LEFT(H21,1)=" ",VLOOKUP('Hide - Control'!A$3,'All practice data'!A:CA,C21+52,FALSE)=0)," n/a",+((2*G21+1.96^2-1.96*SQRT(1.96^2+4*G21*(1-G21/(VLOOKUP('Hide - Control'!A$3,'All practice data'!A:CA,C21+52,FALSE)))))/(2*(((VLOOKUP('Hide - Control'!A$3,'All practice data'!A:CA,C21+52,FALSE)))+1.96^2))))</f>
        <v>0.3786895756793286</v>
      </c>
      <c r="J21" s="120">
        <f>IF(OR(LEFT(H21,1)=" ",VLOOKUP('Hide - Control'!A$3,'All practice data'!A:CA,C21+52,FALSE)=0)," n/a",+((2*G21+1.96^2+1.96*SQRT(1.96^2+4*G21*(1-G21/(VLOOKUP('Hide - Control'!A$3,'All practice data'!A:CA,C21+52,FALSE)))))/(2*((VLOOKUP('Hide - Control'!A$3,'All practice data'!A:CA,C21+52,FALSE))+1.96^2))))</f>
        <v>0.4635700664885933</v>
      </c>
      <c r="K21" s="218">
        <f>IF('Hide - Calculation'!N15="","",'Hide - Calculation'!N15)</f>
        <v>0.3598142414860681</v>
      </c>
      <c r="L21" s="155">
        <f>'Hide - Calculation'!O15</f>
        <v>0.5147293797466616</v>
      </c>
      <c r="M21" s="152">
        <f>IF(ISBLANK('Hide - Calculation'!K15),"",'Hide - Calculation'!U15)</f>
        <v>0.20196999609470367</v>
      </c>
      <c r="N21" s="160"/>
      <c r="O21" s="84"/>
      <c r="P21" s="84"/>
      <c r="Q21" s="84"/>
      <c r="R21" s="84"/>
      <c r="S21" s="84"/>
      <c r="T21" s="84"/>
      <c r="U21" s="84"/>
      <c r="V21" s="84"/>
      <c r="W21" s="84"/>
      <c r="X21" s="84"/>
      <c r="Y21" s="84"/>
      <c r="Z21" s="88"/>
      <c r="AA21" s="152">
        <f>IF(ISBLANK('Hide - Calculation'!K15),"",'Hide - Calculation'!T15)</f>
        <v>0.48591500520706177</v>
      </c>
      <c r="AB21" s="234" t="s">
        <v>48</v>
      </c>
      <c r="AC21" s="131" t="s">
        <v>509</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88</v>
      </c>
      <c r="H22" s="223">
        <f>IF(OR(VLOOKUP('Hide - Control'!A$3,'All practice data'!A:CA,C22+30,FALSE)=" ",VLOOKUP('Hide - Control'!A$3,'All practice data'!A:CA,C22+52,FALSE)=0)," n/a",VLOOKUP('Hide - Control'!A$3,'All practice data'!A:CA,C22+30,FALSE))</f>
        <v>0.446701</v>
      </c>
      <c r="I22" s="196">
        <f>IF(OR(LEFT(H22,1)=" ",VLOOKUP('Hide - Control'!A$3,'All practice data'!A:CA,C22+52,FALSE)=0)," n/a",+((2*G22+1.96^2-1.96*SQRT(1.96^2+4*G22*(1-G22/(VLOOKUP('Hide - Control'!A$3,'All practice data'!A:CA,C22+52,FALSE)))))/(2*(((VLOOKUP('Hide - Control'!A$3,'All practice data'!A:CA,C22+52,FALSE)))+1.96^2))))</f>
        <v>0.3789553297185429</v>
      </c>
      <c r="J22" s="196">
        <f>IF(OR(LEFT(H22,1)=" ",VLOOKUP('Hide - Control'!A$3,'All practice data'!A:CA,C22+52,FALSE)=0)," n/a",+((2*G22+1.96^2+1.96*SQRT(1.96^2+4*G22*(1-G22/(VLOOKUP('Hide - Control'!A$3,'All practice data'!A:CA,C22+52,FALSE)))))/(2*((VLOOKUP('Hide - Control'!A$3,'All practice data'!A:CA,C22+52,FALSE))+1.96^2))))</f>
        <v>0.5164846588097302</v>
      </c>
      <c r="K22" s="223">
        <f>IF('Hide - Calculation'!N16="","",'Hide - Calculation'!N16)</f>
        <v>0.40320918592668925</v>
      </c>
      <c r="L22" s="197">
        <f>'Hide - Calculation'!O16</f>
        <v>0.5752927626212945</v>
      </c>
      <c r="M22" s="198">
        <f>IF(ISBLANK('Hide - Calculation'!K16),"",'Hide - Calculation'!U16)</f>
        <v>0.22413800656795502</v>
      </c>
      <c r="N22" s="199"/>
      <c r="O22" s="91"/>
      <c r="P22" s="91"/>
      <c r="Q22" s="91"/>
      <c r="R22" s="91"/>
      <c r="S22" s="91"/>
      <c r="T22" s="91"/>
      <c r="U22" s="91"/>
      <c r="V22" s="91"/>
      <c r="W22" s="91"/>
      <c r="X22" s="91"/>
      <c r="Y22" s="91"/>
      <c r="Z22" s="188"/>
      <c r="AA22" s="198">
        <f>IF(ISBLANK('Hide - Calculation'!K16),"",'Hide - Calculation'!T16)</f>
        <v>0.5477179884910583</v>
      </c>
      <c r="AB22" s="235" t="s">
        <v>48</v>
      </c>
      <c r="AC22" s="189" t="s">
        <v>508</v>
      </c>
    </row>
    <row r="23" spans="2:29" s="63" customFormat="1" ht="33.75" customHeight="1">
      <c r="B23" s="308" t="s">
        <v>328</v>
      </c>
      <c r="C23" s="163">
        <v>11</v>
      </c>
      <c r="D23" s="179" t="s">
        <v>340</v>
      </c>
      <c r="E23" s="165"/>
      <c r="F23" s="165"/>
      <c r="G23" s="118">
        <f>IF(VLOOKUP('Hide - Control'!A$3,'All practice data'!A:CA,C23+4,FALSE)=" "," ",VLOOKUP('Hide - Control'!A$3,'All practice data'!A:CA,C23+4,FALSE))</f>
        <v>153</v>
      </c>
      <c r="H23" s="216">
        <f>IF(VLOOKUP('Hide - Control'!A$3,'All practice data'!A:CA,C23+30,FALSE)=" "," ",VLOOKUP('Hide - Control'!A$3,'All practice data'!A:CA,C23+30,FALSE))</f>
        <v>1412.6119471886252</v>
      </c>
      <c r="I23" s="215">
        <f>IF(LEFT(G23,1)=" "," n/a",IF(G23&lt;5,100000*VLOOKUP(G23,'Hide - Calculation'!AQ:AR,2,FALSE)/$E$8,100000*(G23*(1-1/(9*G23)-1.96/(3*SQRT(G23)))^3)/$E$8))</f>
        <v>1197.630000399354</v>
      </c>
      <c r="J23" s="215">
        <f>IF(LEFT(G23,1)=" "," n/a",IF(G23&lt;5,100000*VLOOKUP(G23,'Hide - Calculation'!AQ:AS,3,FALSE)/$E$8,100000*((G23+1)*(1-1/(9*(G23+1))+1.96/(3*SQRT(G23+1)))^3)/$E$8))</f>
        <v>1655.035210044015</v>
      </c>
      <c r="K23" s="216">
        <f>IF('Hide - Calculation'!N17="","",'Hide - Calculation'!N17)</f>
        <v>1319.5373841921237</v>
      </c>
      <c r="L23" s="217">
        <f>'Hide - Calculation'!O17</f>
        <v>1812.1669120472948</v>
      </c>
      <c r="M23" s="170">
        <f>IF(ISBLANK('Hide - Calculation'!K17),"",'Hide - Calculation'!U17)</f>
        <v>234.85205078125</v>
      </c>
      <c r="N23" s="171"/>
      <c r="O23" s="172"/>
      <c r="P23" s="172"/>
      <c r="Q23" s="172"/>
      <c r="R23" s="173"/>
      <c r="S23" s="173"/>
      <c r="T23" s="173"/>
      <c r="U23" s="173"/>
      <c r="V23" s="173"/>
      <c r="W23" s="173"/>
      <c r="X23" s="173"/>
      <c r="Y23" s="173"/>
      <c r="Z23" s="174"/>
      <c r="AA23" s="170">
        <f>IF(ISBLANK('Hide - Calculation'!K17),"",'Hide - Calculation'!T17)</f>
        <v>2599.539306640625</v>
      </c>
      <c r="AB23" s="233" t="s">
        <v>26</v>
      </c>
      <c r="AC23" s="175" t="s">
        <v>508</v>
      </c>
    </row>
    <row r="24" spans="2:29" s="63" customFormat="1" ht="33.75" customHeight="1">
      <c r="B24" s="306"/>
      <c r="C24" s="137">
        <v>12</v>
      </c>
      <c r="D24" s="147" t="s">
        <v>495</v>
      </c>
      <c r="E24" s="85"/>
      <c r="F24" s="85"/>
      <c r="G24" s="118">
        <f>IF(VLOOKUP('Hide - Control'!A$3,'All practice data'!A:CA,C24+4,FALSE)=" "," ",VLOOKUP('Hide - Control'!A$3,'All practice data'!A:CA,C24+4,FALSE))</f>
        <v>153</v>
      </c>
      <c r="H24" s="119">
        <f>IF(VLOOKUP('Hide - Control'!A$3,'All practice data'!A:CA,C24+30,FALSE)=" "," ",VLOOKUP('Hide - Control'!A$3,'All practice data'!A:CA,C24+30,FALSE))</f>
        <v>1.056151428</v>
      </c>
      <c r="I24" s="212">
        <f>IF(LEFT(VLOOKUP('Hide - Control'!A$3,'All practice data'!A:CA,C24+44,FALSE),1)=" "," n/a",VLOOKUP('Hide - Control'!A$3,'All practice data'!A:CA,C24+44,FALSE))</f>
        <v>0.8954312134</v>
      </c>
      <c r="J24" s="212">
        <f>IF(LEFT(VLOOKUP('Hide - Control'!A$3,'All practice data'!A:CA,C24+45,FALSE),1)=" "," n/a",VLOOKUP('Hide - Control'!A$3,'All practice data'!A:CA,C24+45,FALSE))</f>
        <v>1.237391052</v>
      </c>
      <c r="K24" s="152" t="s">
        <v>560</v>
      </c>
      <c r="L24" s="213">
        <v>1</v>
      </c>
      <c r="M24" s="152">
        <f>IF(ISBLANK('Hide - Calculation'!K18),"",'Hide - Calculation'!U18)</f>
        <v>0.16080518066883087</v>
      </c>
      <c r="N24" s="86"/>
      <c r="O24" s="87"/>
      <c r="P24" s="87"/>
      <c r="Q24" s="87"/>
      <c r="R24" s="84"/>
      <c r="S24" s="84"/>
      <c r="T24" s="84"/>
      <c r="U24" s="84"/>
      <c r="V24" s="84"/>
      <c r="W24" s="84"/>
      <c r="X24" s="84"/>
      <c r="Y24" s="84"/>
      <c r="Z24" s="88"/>
      <c r="AA24" s="152">
        <f>IF(ISBLANK('Hide - Calculation'!K18),"",'Hide - Calculation'!T18)</f>
        <v>2.076692819595337</v>
      </c>
      <c r="AB24" s="234" t="s">
        <v>26</v>
      </c>
      <c r="AC24" s="131" t="s">
        <v>508</v>
      </c>
    </row>
    <row r="25" spans="2:29" s="63" customFormat="1" ht="33.75" customHeight="1">
      <c r="B25" s="306"/>
      <c r="C25" s="137">
        <v>13</v>
      </c>
      <c r="D25" s="147" t="s">
        <v>335</v>
      </c>
      <c r="E25" s="85"/>
      <c r="F25" s="85"/>
      <c r="G25" s="118">
        <f>IF(VLOOKUP('Hide - Control'!A$3,'All practice data'!A:CA,C25+4,FALSE)=" "," ",VLOOKUP('Hide - Control'!A$3,'All practice data'!A:CA,C25+4,FALSE))</f>
        <v>9</v>
      </c>
      <c r="H25" s="119">
        <f>IF(VLOOKUP('Hide - Control'!A$3,'All practice data'!A:CA,C25+30,FALSE)=" "," ",VLOOKUP('Hide - Control'!A$3,'All practice data'!A:CA,C25+30,FALSE))</f>
        <v>0.058823529411764705</v>
      </c>
      <c r="I25" s="120">
        <f>IF(LEFT(G25,1)=" "," n/a",IF(G25=0," n/a",+((2*G25+1.96^2-1.96*SQRT(1.96^2+4*G25*(1-G25/G23)))/(2*(G23+1.96^2)))))</f>
        <v>0.0312522751489112</v>
      </c>
      <c r="J25" s="120">
        <f>IF(LEFT(G25,1)=" "," n/a",IF(G25=0," n/a",+((2*G25+1.96^2+1.96*SQRT(1.96^2+4*G25*(1-G25/G23)))/(2*(G23+1.96^2)))))</f>
        <v>0.10800669696052914</v>
      </c>
      <c r="K25" s="125">
        <f>IF('Hide - Calculation'!N19="","",'Hide - Calculation'!N19)</f>
        <v>0.08055009823182711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0.3529411852359772</v>
      </c>
      <c r="AB25" s="234" t="s">
        <v>26</v>
      </c>
      <c r="AC25" s="131" t="s">
        <v>508</v>
      </c>
    </row>
    <row r="26" spans="2:29" s="63" customFormat="1" ht="33.75" customHeight="1">
      <c r="B26" s="306"/>
      <c r="C26" s="137">
        <v>14</v>
      </c>
      <c r="D26" s="147" t="s">
        <v>478</v>
      </c>
      <c r="E26" s="85"/>
      <c r="F26" s="85"/>
      <c r="G26" s="121">
        <f>IF(VLOOKUP('Hide - Control'!A$3,'All practice data'!A:CA,C26+4,FALSE)=" "," ",VLOOKUP('Hide - Control'!A$3,'All practice data'!A:CA,C26+4,FALSE))</f>
        <v>24</v>
      </c>
      <c r="H26" s="119">
        <f>IF(VLOOKUP('Hide - Control'!A$3,'All practice data'!A:CA,C26+30,FALSE)=" "," ",VLOOKUP('Hide - Control'!A$3,'All practice data'!A:CA,C26+30,FALSE))</f>
        <v>0.375</v>
      </c>
      <c r="I26" s="120">
        <f>IF(OR(LEFT(G26,1)=" ",LEFT(G25,1)=" ")," n/a",IF(G26=0," n/a",+((2*G25+1.96^2-1.96*SQRT(1.96^2+4*G25*(1-G25/G26)))/(2*(G26+1.96^2)))))</f>
        <v>0.21159133433631455</v>
      </c>
      <c r="J26" s="120">
        <f>IF(OR(LEFT(G26,1)=" ",LEFT(G25,1)=" ")," n/a",IF(G26=0," n/a",+((2*G25+1.96^2+1.96*SQRT(1.96^2+4*G25*(1-G25/G26)))/(2*(G26+1.96^2)))))</f>
        <v>0.5729038096209292</v>
      </c>
      <c r="K26" s="125">
        <f>IF('Hide - Calculation'!N20="","",'Hide - Calculation'!N20)</f>
        <v>0.4281984334203655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0.8571428656578064</v>
      </c>
      <c r="AB26" s="234" t="s">
        <v>26</v>
      </c>
      <c r="AC26" s="131" t="s">
        <v>508</v>
      </c>
    </row>
    <row r="27" spans="2:29" s="63" customFormat="1" ht="33.75" customHeight="1">
      <c r="B27" s="306"/>
      <c r="C27" s="137">
        <v>15</v>
      </c>
      <c r="D27" s="147" t="s">
        <v>465</v>
      </c>
      <c r="E27" s="85"/>
      <c r="F27" s="85"/>
      <c r="G27" s="121">
        <f>IF(VLOOKUP('Hide - Control'!A$3,'All practice data'!A:CA,C27+4,FALSE)=" "," ",VLOOKUP('Hide - Control'!A$3,'All practice data'!A:CA,C27+4,FALSE))</f>
        <v>39</v>
      </c>
      <c r="H27" s="122">
        <f>IF(VLOOKUP('Hide - Control'!A$3,'All practice data'!A:CA,C27+30,FALSE)=" "," ",VLOOKUP('Hide - Control'!A$3,'All practice data'!A:CA,C27+30,FALSE))</f>
        <v>360.07755516572803</v>
      </c>
      <c r="I27" s="123">
        <f>IF(LEFT(G27,1)=" "," n/a",IF(G27&lt;5,100000*VLOOKUP(G27,'Hide - Calculation'!AQ:AR,2,FALSE)/$E$8,100000*(G27*(1-1/(9*G27)-1.96/(3*SQRT(G27)))^3)/$E$8))</f>
        <v>256.0178616034127</v>
      </c>
      <c r="J27" s="123">
        <f>IF(LEFT(G27,1)=" "," n/a",IF(G27&lt;5,100000*VLOOKUP(G27,'Hide - Calculation'!AQ:AS,3,FALSE)/$E$8,100000*((G27+1)*(1-1/(9*(G27+1))+1.96/(3*SQRT(G27+1)))^3)/$E$8))</f>
        <v>492.2538843719712</v>
      </c>
      <c r="K27" s="122">
        <f>IF('Hide - Calculation'!N21="","",'Hide - Calculation'!N21)</f>
        <v>312.3855693421432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551.1681518554688</v>
      </c>
      <c r="AB27" s="234" t="s">
        <v>26</v>
      </c>
      <c r="AC27" s="131" t="s">
        <v>508</v>
      </c>
    </row>
    <row r="28" spans="2:29" s="63" customFormat="1" ht="33.75" customHeight="1">
      <c r="B28" s="306"/>
      <c r="C28" s="137">
        <v>16</v>
      </c>
      <c r="D28" s="147" t="s">
        <v>466</v>
      </c>
      <c r="E28" s="85"/>
      <c r="F28" s="85"/>
      <c r="G28" s="121">
        <f>IF(VLOOKUP('Hide - Control'!A$3,'All practice data'!A:CA,C28+4,FALSE)=" "," ",VLOOKUP('Hide - Control'!A$3,'All practice data'!A:CA,C28+4,FALSE))</f>
        <v>16</v>
      </c>
      <c r="H28" s="122">
        <f>IF(VLOOKUP('Hide - Control'!A$3,'All practice data'!A:CA,C28+30,FALSE)=" "," ",VLOOKUP('Hide - Control'!A$3,'All practice data'!A:CA,C28+30,FALSE))</f>
        <v>147.7241251961961</v>
      </c>
      <c r="I28" s="123">
        <f>IF(LEFT(G28,1)=" "," n/a",IF(G28&lt;5,100000*VLOOKUP(G28,'Hide - Calculation'!AQ:AR,2,FALSE)/$E$8,100000*(G28*(1-1/(9*G28)-1.96/(3*SQRT(G28)))^3)/$E$8))</f>
        <v>84.38195679436625</v>
      </c>
      <c r="J28" s="123">
        <f>IF(LEFT(G28,1)=" "," n/a",IF(G28&lt;5,100000*VLOOKUP(G28,'Hide - Calculation'!AQ:AS,3,FALSE)/$E$8,100000*((G28+1)*(1-1/(9*(G28+1))+1.96/(3*SQRT(G28+1)))^3)/$E$8))</f>
        <v>239.9098442937115</v>
      </c>
      <c r="K28" s="122">
        <f>IF('Hide - Calculation'!N22="","",'Hide - Calculation'!N22)</f>
        <v>148.41555057956597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350.877197265625</v>
      </c>
      <c r="AB28" s="234" t="s">
        <v>26</v>
      </c>
      <c r="AC28" s="131" t="s">
        <v>508</v>
      </c>
    </row>
    <row r="29" spans="2:29" s="63" customFormat="1" ht="33.75" customHeight="1">
      <c r="B29" s="306"/>
      <c r="C29" s="137">
        <v>17</v>
      </c>
      <c r="D29" s="147" t="s">
        <v>467</v>
      </c>
      <c r="E29" s="85"/>
      <c r="F29" s="85"/>
      <c r="G29" s="121">
        <f>IF(VLOOKUP('Hide - Control'!A$3,'All practice data'!A:CA,C29+4,FALSE)=" "," ",VLOOKUP('Hide - Control'!A$3,'All practice data'!A:CA,C29+4,FALSE))</f>
        <v>7</v>
      </c>
      <c r="H29" s="122">
        <f>IF(VLOOKUP('Hide - Control'!A$3,'All practice data'!A:CA,C29+30,FALSE)=" "," ",VLOOKUP('Hide - Control'!A$3,'All practice data'!A:CA,C29+30,FALSE))</f>
        <v>64.62930477333579</v>
      </c>
      <c r="I29" s="123">
        <f>IF(LEFT(G29,1)=" "," n/a",IF(G29&lt;5,100000*VLOOKUP(G29,'Hide - Calculation'!AQ:AR,2,FALSE)/$E$8,100000*(G29*(1-1/(9*G29)-1.96/(3*SQRT(G29)))^3)/$E$8))</f>
        <v>25.892151237913566</v>
      </c>
      <c r="J29" s="123">
        <f>IF(LEFT(G29,1)=" "," n/a",IF(G29&lt;5,100000*VLOOKUP(G29,'Hide - Calculation'!AQ:AS,3,FALSE)/$E$8,100000*((G29+1)*(1-1/(9*(G29+1))+1.96/(3*SQRT(G29+1)))^3)/$E$8))</f>
        <v>133.16788346679127</v>
      </c>
      <c r="K29" s="122">
        <f>IF('Hide - Calculation'!N23="","",'Hide - Calculation'!N23)</f>
        <v>56.708998583895294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154.16238403320312</v>
      </c>
      <c r="AB29" s="234" t="s">
        <v>26</v>
      </c>
      <c r="AC29" s="131" t="s">
        <v>508</v>
      </c>
    </row>
    <row r="30" spans="2:29" s="63" customFormat="1" ht="33.75" customHeight="1" thickBot="1">
      <c r="B30" s="309"/>
      <c r="C30" s="180">
        <v>18</v>
      </c>
      <c r="D30" s="181" t="s">
        <v>468</v>
      </c>
      <c r="E30" s="182"/>
      <c r="F30" s="182"/>
      <c r="G30" s="183">
        <f>IF(VLOOKUP('Hide - Control'!A$3,'All practice data'!A:CA,C30+4,FALSE)=" "," ",VLOOKUP('Hide - Control'!A$3,'All practice data'!A:CA,C30+4,FALSE))</f>
        <v>41</v>
      </c>
      <c r="H30" s="184">
        <f>IF(VLOOKUP('Hide - Control'!A$3,'All practice data'!A:CA,C30+30,FALSE)=" "," ",VLOOKUP('Hide - Control'!A$3,'All practice data'!A:CA,C30+30,FALSE))</f>
        <v>378.5430708152525</v>
      </c>
      <c r="I30" s="185">
        <f>IF(LEFT(G30,1)=" "," n/a",IF(G30&lt;5,100000*VLOOKUP(G30,'Hide - Calculation'!AQ:AR,2,FALSE)/$E$8,100000*(G30*(1-1/(9*G30)-1.96/(3*SQRT(G30)))^3)/$E$8))</f>
        <v>271.61745430985366</v>
      </c>
      <c r="J30" s="185">
        <f>IF(LEFT(G30,1)=" "," n/a",IF(G30&lt;5,100000*VLOOKUP(G30,'Hide - Calculation'!AQ:AS,3,FALSE)/$E$8,100000*((G30+1)*(1-1/(9*(G30+1))+1.96/(3*SQRT(G30+1)))^3)/$E$8))</f>
        <v>513.5523702979009</v>
      </c>
      <c r="K30" s="184">
        <f>IF('Hide - Calculation'!N24="","",'Hide - Calculation'!N24)</f>
        <v>278.68422161228546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732.1487426757812</v>
      </c>
      <c r="AB30" s="235" t="s">
        <v>26</v>
      </c>
      <c r="AC30" s="189" t="s">
        <v>508</v>
      </c>
    </row>
    <row r="31" spans="2:29" s="63" customFormat="1" ht="33.75" customHeight="1">
      <c r="B31" s="304" t="s">
        <v>337</v>
      </c>
      <c r="C31" s="163">
        <v>19</v>
      </c>
      <c r="D31" s="164" t="s">
        <v>341</v>
      </c>
      <c r="E31" s="165"/>
      <c r="F31" s="165"/>
      <c r="G31" s="166">
        <f>IF(VLOOKUP('Hide - Control'!A$3,'All practice data'!A:CA,C31+4,FALSE)=" "," ",VLOOKUP('Hide - Control'!A$3,'All practice data'!A:CA,C31+4,FALSE))</f>
        <v>48</v>
      </c>
      <c r="H31" s="167">
        <f>IF(VLOOKUP('Hide - Control'!A$3,'All practice data'!A:CA,C31+30,FALSE)=" "," ",VLOOKUP('Hide - Control'!A$3,'All practice data'!A:CA,C31+30,FALSE))</f>
        <v>443.1723755885883</v>
      </c>
      <c r="I31" s="168">
        <f>IF(LEFT(G31,1)=" "," n/a",IF(G31&lt;5,100000*VLOOKUP(G31,'Hide - Calculation'!AQ:AR,2,FALSE)/$E$8,100000*(G31*(1-1/(9*G31)-1.96/(3*SQRT(G31)))^3)/$E$8))</f>
        <v>326.7313367550449</v>
      </c>
      <c r="J31" s="168">
        <f>IF(LEFT(G31,1)=" "," n/a",IF(G31&lt;5,100000*VLOOKUP(G31,'Hide - Calculation'!AQ:AS,3,FALSE)/$E$8,100000*((G31+1)*(1-1/(9*(G31+1))+1.96/(3*SQRT(G31+1)))^3)/$E$8))</f>
        <v>587.5979939267255</v>
      </c>
      <c r="K31" s="167">
        <f>IF('Hide - Calculation'!N25="","",'Hide - Calculation'!N25)</f>
        <v>421.5908980437016</v>
      </c>
      <c r="L31" s="169">
        <f>'Hide - Calculation'!O25</f>
        <v>562.6134400960308</v>
      </c>
      <c r="M31" s="170">
        <f>IF(ISBLANK('Hide - Calculation'!K25),"",'Hide - Calculation'!U25)</f>
        <v>107.56543731689453</v>
      </c>
      <c r="N31" s="171"/>
      <c r="O31" s="172"/>
      <c r="P31" s="172"/>
      <c r="Q31" s="172"/>
      <c r="R31" s="173"/>
      <c r="S31" s="173"/>
      <c r="T31" s="173"/>
      <c r="U31" s="173"/>
      <c r="V31" s="173"/>
      <c r="W31" s="173"/>
      <c r="X31" s="173"/>
      <c r="Y31" s="173"/>
      <c r="Z31" s="174"/>
      <c r="AA31" s="170">
        <f>IF(ISBLANK('Hide - Calculation'!K25),"",'Hide - Calculation'!T25)</f>
        <v>1169.230712890625</v>
      </c>
      <c r="AB31" s="233" t="s">
        <v>47</v>
      </c>
      <c r="AC31" s="175" t="s">
        <v>508</v>
      </c>
    </row>
    <row r="32" spans="2:29" s="63" customFormat="1" ht="33.75" customHeight="1">
      <c r="B32" s="305"/>
      <c r="C32" s="137">
        <v>20</v>
      </c>
      <c r="D32" s="132" t="s">
        <v>342</v>
      </c>
      <c r="E32" s="85"/>
      <c r="F32" s="85"/>
      <c r="G32" s="121">
        <f>IF(VLOOKUP('Hide - Control'!A$3,'All practice data'!A:CA,C32+4,FALSE)=" "," ",VLOOKUP('Hide - Control'!A$3,'All practice data'!A:CA,C32+4,FALSE))</f>
        <v>16</v>
      </c>
      <c r="H32" s="122">
        <f>IF(VLOOKUP('Hide - Control'!A$3,'All practice data'!A:CA,C32+30,FALSE)=" "," ",VLOOKUP('Hide - Control'!A$3,'All practice data'!A:CA,C32+30,FALSE))</f>
        <v>147.7241251961961</v>
      </c>
      <c r="I32" s="123">
        <f>IF(LEFT(G32,1)=" "," n/a",IF(G32&lt;5,100000*VLOOKUP(G32,'Hide - Calculation'!AQ:AR,2,FALSE)/$E$8,100000*(G32*(1-1/(9*G32)-1.96/(3*SQRT(G32)))^3)/$E$8))</f>
        <v>84.38195679436625</v>
      </c>
      <c r="J32" s="123">
        <f>IF(LEFT(G32,1)=" "," n/a",IF(G32&lt;5,100000*VLOOKUP(G32,'Hide - Calculation'!AQ:AS,3,FALSE)/$E$8,100000*((G32+1)*(1-1/(9*(G32+1))+1.96/(3*SQRT(G32+1)))^3)/$E$8))</f>
        <v>239.9098442937115</v>
      </c>
      <c r="K32" s="122">
        <f>IF('Hide - Calculation'!N26="","",'Hide - Calculation'!N26)</f>
        <v>196.3751608105174</v>
      </c>
      <c r="L32" s="156">
        <f>'Hide - Calculation'!O26</f>
        <v>405.57105879375996</v>
      </c>
      <c r="M32" s="148">
        <f>IF(ISBLANK('Hide - Calculation'!K26),"",'Hide - Calculation'!U26)</f>
        <v>98.57072448730469</v>
      </c>
      <c r="N32" s="86"/>
      <c r="O32" s="87"/>
      <c r="P32" s="87"/>
      <c r="Q32" s="87"/>
      <c r="R32" s="84"/>
      <c r="S32" s="84"/>
      <c r="T32" s="84"/>
      <c r="U32" s="84"/>
      <c r="V32" s="84"/>
      <c r="W32" s="84"/>
      <c r="X32" s="84"/>
      <c r="Y32" s="84"/>
      <c r="Z32" s="88"/>
      <c r="AA32" s="148">
        <f>IF(ISBLANK('Hide - Calculation'!K26),"",'Hide - Calculation'!T26)</f>
        <v>408.10772705078125</v>
      </c>
      <c r="AB32" s="234" t="s">
        <v>47</v>
      </c>
      <c r="AC32" s="131" t="s">
        <v>508</v>
      </c>
    </row>
    <row r="33" spans="2:29" s="63" customFormat="1" ht="33.75" customHeight="1">
      <c r="B33" s="305"/>
      <c r="C33" s="137">
        <v>21</v>
      </c>
      <c r="D33" s="132" t="s">
        <v>344</v>
      </c>
      <c r="E33" s="85"/>
      <c r="F33" s="85"/>
      <c r="G33" s="121">
        <f>IF(VLOOKUP('Hide - Control'!A$3,'All practice data'!A:CA,C33+4,FALSE)=" "," ",VLOOKUP('Hide - Control'!A$3,'All practice data'!A:CA,C33+4,FALSE))</f>
        <v>76</v>
      </c>
      <c r="H33" s="122">
        <f>IF(VLOOKUP('Hide - Control'!A$3,'All practice data'!A:CA,C33+30,FALSE)=" "," ",VLOOKUP('Hide - Control'!A$3,'All practice data'!A:CA,C33+30,FALSE))</f>
        <v>701.6895946819315</v>
      </c>
      <c r="I33" s="123">
        <f>IF(LEFT(G33,1)=" "," n/a",IF(G33&lt;5,100000*VLOOKUP(G33,'Hide - Calculation'!AQ:AR,2,FALSE)/$E$8,100000*(G33*(1-1/(9*G33)-1.96/(3*SQRT(G33)))^3)/$E$8))</f>
        <v>552.8286165383162</v>
      </c>
      <c r="J33" s="123">
        <f>IF(LEFT(G33,1)=" "," n/a",IF(G33&lt;5,100000*VLOOKUP(G33,'Hide - Calculation'!AQ:AS,3,FALSE)/$E$8,100000*((G33+1)*(1-1/(9*(G33+1))+1.96/(3*SQRT(G33+1)))^3)/$E$8))</f>
        <v>878.2840290592573</v>
      </c>
      <c r="K33" s="122">
        <f>IF('Hide - Calculation'!N27="","",'Hide - Calculation'!N27)</f>
        <v>690.8776284620843</v>
      </c>
      <c r="L33" s="156">
        <f>'Hide - Calculation'!O27</f>
        <v>1059.3522061277838</v>
      </c>
      <c r="M33" s="148">
        <f>IF(ISBLANK('Hide - Calculation'!K27),"",'Hide - Calculation'!U27)</f>
        <v>253.6461639404297</v>
      </c>
      <c r="N33" s="86"/>
      <c r="O33" s="87"/>
      <c r="P33" s="87"/>
      <c r="Q33" s="87"/>
      <c r="R33" s="84"/>
      <c r="S33" s="84"/>
      <c r="T33" s="84"/>
      <c r="U33" s="84"/>
      <c r="V33" s="84"/>
      <c r="W33" s="84"/>
      <c r="X33" s="84"/>
      <c r="Y33" s="84"/>
      <c r="Z33" s="88"/>
      <c r="AA33" s="148">
        <f>IF(ISBLANK('Hide - Calculation'!K27),"",'Hide - Calculation'!T27)</f>
        <v>1310.3802490234375</v>
      </c>
      <c r="AB33" s="234" t="s">
        <v>47</v>
      </c>
      <c r="AC33" s="131" t="s">
        <v>508</v>
      </c>
    </row>
    <row r="34" spans="2:29" s="63" customFormat="1" ht="33.75" customHeight="1">
      <c r="B34" s="305"/>
      <c r="C34" s="137">
        <v>22</v>
      </c>
      <c r="D34" s="132" t="s">
        <v>343</v>
      </c>
      <c r="E34" s="85"/>
      <c r="F34" s="85"/>
      <c r="G34" s="118">
        <f>IF(VLOOKUP('Hide - Control'!A$3,'All practice data'!A:CA,C34+4,FALSE)=" "," ",VLOOKUP('Hide - Control'!A$3,'All practice data'!A:CA,C34+4,FALSE))</f>
        <v>35</v>
      </c>
      <c r="H34" s="122">
        <f>IF(VLOOKUP('Hide - Control'!A$3,'All practice data'!A:CA,C34+30,FALSE)=" "," ",VLOOKUP('Hide - Control'!A$3,'All practice data'!A:CA,C34+30,FALSE))</f>
        <v>323.146523866679</v>
      </c>
      <c r="I34" s="123">
        <f>IF(LEFT(G34,1)=" "," n/a",IF(G34&lt;5,100000*VLOOKUP(G34,'Hide - Calculation'!AQ:AR,2,FALSE)/$E$8,100000*(G34*(1-1/(9*G34)-1.96/(3*SQRT(G34)))^3)/$E$8))</f>
        <v>225.04886958896722</v>
      </c>
      <c r="J34" s="123">
        <f>IF(LEFT(G34,1)=" "," n/a",IF(G34&lt;5,100000*VLOOKUP(G34,'Hide - Calculation'!AQ:AS,3,FALSE)/$E$8,100000*((G34+1)*(1-1/(9*(G34+1))+1.96/(3*SQRT(G34+1)))^3)/$E$8))</f>
        <v>449.43471087678034</v>
      </c>
      <c r="K34" s="122">
        <f>IF('Hide - Calculation'!N28="","",'Hide - Calculation'!N28)</f>
        <v>337.66158013953657</v>
      </c>
      <c r="L34" s="156">
        <f>'Hide - Calculation'!O28</f>
        <v>582.9390489900089</v>
      </c>
      <c r="M34" s="148">
        <f>IF(ISBLANK('Hide - Calculation'!K28),"",'Hide - Calculation'!U28)</f>
        <v>172.7541961669922</v>
      </c>
      <c r="N34" s="86"/>
      <c r="O34" s="87"/>
      <c r="P34" s="87"/>
      <c r="Q34" s="87"/>
      <c r="R34" s="84"/>
      <c r="S34" s="84"/>
      <c r="T34" s="84"/>
      <c r="U34" s="84"/>
      <c r="V34" s="84"/>
      <c r="W34" s="84"/>
      <c r="X34" s="84"/>
      <c r="Y34" s="84"/>
      <c r="Z34" s="88"/>
      <c r="AA34" s="148">
        <f>IF(ISBLANK('Hide - Calculation'!K28),"",'Hide - Calculation'!T28)</f>
        <v>923.076904296875</v>
      </c>
      <c r="AB34" s="234" t="s">
        <v>47</v>
      </c>
      <c r="AC34" s="131" t="s">
        <v>508</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329</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329</v>
      </c>
      <c r="AC36" s="131">
        <v>2008</v>
      </c>
    </row>
    <row r="37" spans="2:29" ht="33.75" customHeight="1" thickBot="1">
      <c r="B37" s="307"/>
      <c r="C37" s="176">
        <v>25</v>
      </c>
      <c r="D37" s="177" t="s">
        <v>345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329</v>
      </c>
      <c r="AC37" s="149">
        <v>2008</v>
      </c>
    </row>
    <row r="38" spans="2:29" ht="16.5" customHeight="1">
      <c r="B38" s="69"/>
      <c r="C38" s="69"/>
      <c r="D38" s="65" t="s">
        <v>327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559</v>
      </c>
      <c r="C39" s="244"/>
      <c r="D39" s="244"/>
      <c r="E39" s="303" t="s">
        <v>563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539</v>
      </c>
      <c r="B4" s="79" t="s">
        <v>310</v>
      </c>
      <c r="C4" s="79" t="s">
        <v>142</v>
      </c>
      <c r="D4" s="99">
        <v>10831</v>
      </c>
      <c r="E4" s="99">
        <v>743</v>
      </c>
      <c r="F4" s="99" t="s">
        <v>350</v>
      </c>
      <c r="G4" s="99">
        <v>30</v>
      </c>
      <c r="H4" s="99">
        <v>21</v>
      </c>
      <c r="I4" s="99">
        <v>129</v>
      </c>
      <c r="J4" s="99">
        <v>421</v>
      </c>
      <c r="K4" s="99">
        <v>9</v>
      </c>
      <c r="L4" s="99">
        <v>2412</v>
      </c>
      <c r="M4" s="99">
        <v>217</v>
      </c>
      <c r="N4" s="99">
        <v>88</v>
      </c>
      <c r="O4" s="99">
        <v>153</v>
      </c>
      <c r="P4" s="159">
        <v>153</v>
      </c>
      <c r="Q4" s="99">
        <v>9</v>
      </c>
      <c r="R4" s="99">
        <v>24</v>
      </c>
      <c r="S4" s="99">
        <v>39</v>
      </c>
      <c r="T4" s="99">
        <v>16</v>
      </c>
      <c r="U4" s="99">
        <v>7</v>
      </c>
      <c r="V4" s="99">
        <v>41</v>
      </c>
      <c r="W4" s="99">
        <v>48</v>
      </c>
      <c r="X4" s="99">
        <v>16</v>
      </c>
      <c r="Y4" s="99">
        <v>76</v>
      </c>
      <c r="Z4" s="99">
        <v>35</v>
      </c>
      <c r="AA4" s="99" t="s">
        <v>562</v>
      </c>
      <c r="AB4" s="99" t="s">
        <v>562</v>
      </c>
      <c r="AC4" s="99" t="s">
        <v>562</v>
      </c>
      <c r="AD4" s="98" t="s">
        <v>327</v>
      </c>
      <c r="AE4" s="100">
        <v>0.06859939063798356</v>
      </c>
      <c r="AF4" s="100">
        <v>0.17</v>
      </c>
      <c r="AG4" s="98">
        <v>276.9827347428677</v>
      </c>
      <c r="AH4" s="98">
        <v>193.88791432000738</v>
      </c>
      <c r="AI4" s="100">
        <v>0.012</v>
      </c>
      <c r="AJ4" s="100">
        <v>0.601429</v>
      </c>
      <c r="AK4" s="100">
        <v>0.36</v>
      </c>
      <c r="AL4" s="100">
        <v>0.699739</v>
      </c>
      <c r="AM4" s="100">
        <v>0.420543</v>
      </c>
      <c r="AN4" s="100">
        <v>0.446701</v>
      </c>
      <c r="AO4" s="98">
        <v>1412.6119471886252</v>
      </c>
      <c r="AP4" s="158">
        <v>1.056151428</v>
      </c>
      <c r="AQ4" s="100">
        <v>0.058823529411764705</v>
      </c>
      <c r="AR4" s="100">
        <v>0.375</v>
      </c>
      <c r="AS4" s="98">
        <v>360.07755516572803</v>
      </c>
      <c r="AT4" s="98">
        <v>147.7241251961961</v>
      </c>
      <c r="AU4" s="98">
        <v>64.62930477333579</v>
      </c>
      <c r="AV4" s="98">
        <v>378.5430708152525</v>
      </c>
      <c r="AW4" s="98">
        <v>443.1723755885883</v>
      </c>
      <c r="AX4" s="98">
        <v>147.7241251961961</v>
      </c>
      <c r="AY4" s="98">
        <v>701.6895946819315</v>
      </c>
      <c r="AZ4" s="98">
        <v>323.146523866679</v>
      </c>
      <c r="BA4" s="100" t="s">
        <v>562</v>
      </c>
      <c r="BB4" s="100" t="s">
        <v>562</v>
      </c>
      <c r="BC4" s="100" t="s">
        <v>562</v>
      </c>
      <c r="BD4" s="158">
        <v>0.8954312134</v>
      </c>
      <c r="BE4" s="158">
        <v>1.237391052</v>
      </c>
      <c r="BF4" s="162">
        <v>700</v>
      </c>
      <c r="BG4" s="162">
        <v>25</v>
      </c>
      <c r="BH4" s="162">
        <v>3447</v>
      </c>
      <c r="BI4" s="162">
        <v>516</v>
      </c>
      <c r="BJ4" s="162">
        <v>197</v>
      </c>
      <c r="BK4" s="97"/>
      <c r="BL4" s="97"/>
      <c r="BM4" s="97"/>
      <c r="BN4" s="97"/>
    </row>
    <row r="5" spans="1:66" ht="12.75">
      <c r="A5" s="79" t="s">
        <v>515</v>
      </c>
      <c r="B5" s="79" t="s">
        <v>286</v>
      </c>
      <c r="C5" s="79" t="s">
        <v>142</v>
      </c>
      <c r="D5" s="99">
        <v>23073</v>
      </c>
      <c r="E5" s="99">
        <v>1600</v>
      </c>
      <c r="F5" s="99" t="s">
        <v>348</v>
      </c>
      <c r="G5" s="99">
        <v>63</v>
      </c>
      <c r="H5" s="99">
        <v>27</v>
      </c>
      <c r="I5" s="99">
        <v>216</v>
      </c>
      <c r="J5" s="99">
        <v>1026</v>
      </c>
      <c r="K5" s="99">
        <v>299</v>
      </c>
      <c r="L5" s="99">
        <v>4215</v>
      </c>
      <c r="M5" s="99">
        <v>384</v>
      </c>
      <c r="N5" s="99">
        <v>178</v>
      </c>
      <c r="O5" s="99">
        <v>283</v>
      </c>
      <c r="P5" s="159">
        <v>283</v>
      </c>
      <c r="Q5" s="99">
        <v>24</v>
      </c>
      <c r="R5" s="99">
        <v>52</v>
      </c>
      <c r="S5" s="99">
        <v>71</v>
      </c>
      <c r="T5" s="99">
        <v>30</v>
      </c>
      <c r="U5" s="99">
        <v>9</v>
      </c>
      <c r="V5" s="99">
        <v>48</v>
      </c>
      <c r="W5" s="99">
        <v>95</v>
      </c>
      <c r="X5" s="99">
        <v>50</v>
      </c>
      <c r="Y5" s="99">
        <v>152</v>
      </c>
      <c r="Z5" s="99">
        <v>97</v>
      </c>
      <c r="AA5" s="99" t="s">
        <v>562</v>
      </c>
      <c r="AB5" s="99" t="s">
        <v>562</v>
      </c>
      <c r="AC5" s="99" t="s">
        <v>562</v>
      </c>
      <c r="AD5" s="98" t="s">
        <v>327</v>
      </c>
      <c r="AE5" s="100">
        <v>0.06934512200407403</v>
      </c>
      <c r="AF5" s="100">
        <v>0.27</v>
      </c>
      <c r="AG5" s="98">
        <v>273.0464178910415</v>
      </c>
      <c r="AH5" s="98">
        <v>117.01989338187492</v>
      </c>
      <c r="AI5" s="100">
        <v>0.009000000000000001</v>
      </c>
      <c r="AJ5" s="100">
        <v>0.594783</v>
      </c>
      <c r="AK5" s="100">
        <v>0.599198</v>
      </c>
      <c r="AL5" s="100">
        <v>0.699469</v>
      </c>
      <c r="AM5" s="100">
        <v>0.300235</v>
      </c>
      <c r="AN5" s="100">
        <v>0.344961</v>
      </c>
      <c r="AO5" s="98">
        <v>1226.5418454470594</v>
      </c>
      <c r="AP5" s="158">
        <v>0.9118398285000001</v>
      </c>
      <c r="AQ5" s="100">
        <v>0.08480565371024736</v>
      </c>
      <c r="AR5" s="100">
        <v>0.46153846153846156</v>
      </c>
      <c r="AS5" s="98">
        <v>307.7189788930785</v>
      </c>
      <c r="AT5" s="98">
        <v>130.0221037576388</v>
      </c>
      <c r="AU5" s="98">
        <v>39.00663112729164</v>
      </c>
      <c r="AV5" s="98">
        <v>208.03536601222208</v>
      </c>
      <c r="AW5" s="98">
        <v>411.7366618991895</v>
      </c>
      <c r="AX5" s="98">
        <v>216.70350626273134</v>
      </c>
      <c r="AY5" s="98">
        <v>658.7786590387033</v>
      </c>
      <c r="AZ5" s="98">
        <v>420.4048021496988</v>
      </c>
      <c r="BA5" s="100" t="s">
        <v>562</v>
      </c>
      <c r="BB5" s="100" t="s">
        <v>562</v>
      </c>
      <c r="BC5" s="100" t="s">
        <v>562</v>
      </c>
      <c r="BD5" s="158">
        <v>0.8086873627</v>
      </c>
      <c r="BE5" s="158">
        <v>1.024504013</v>
      </c>
      <c r="BF5" s="162">
        <v>1725</v>
      </c>
      <c r="BG5" s="162">
        <v>499</v>
      </c>
      <c r="BH5" s="162">
        <v>6026</v>
      </c>
      <c r="BI5" s="162">
        <v>1279</v>
      </c>
      <c r="BJ5" s="162">
        <v>516</v>
      </c>
      <c r="BK5" s="97"/>
      <c r="BL5" s="97"/>
      <c r="BM5" s="97"/>
      <c r="BN5" s="97"/>
    </row>
    <row r="6" spans="1:66" ht="12.75">
      <c r="A6" s="79" t="s">
        <v>530</v>
      </c>
      <c r="B6" s="79" t="s">
        <v>301</v>
      </c>
      <c r="C6" s="79" t="s">
        <v>142</v>
      </c>
      <c r="D6" s="99">
        <v>14270</v>
      </c>
      <c r="E6" s="99">
        <v>688</v>
      </c>
      <c r="F6" s="99" t="s">
        <v>347</v>
      </c>
      <c r="G6" s="99">
        <v>24</v>
      </c>
      <c r="H6" s="99">
        <v>14</v>
      </c>
      <c r="I6" s="99">
        <v>61</v>
      </c>
      <c r="J6" s="99">
        <v>425</v>
      </c>
      <c r="K6" s="99">
        <v>15</v>
      </c>
      <c r="L6" s="99">
        <v>3248</v>
      </c>
      <c r="M6" s="99">
        <v>188</v>
      </c>
      <c r="N6" s="99">
        <v>100</v>
      </c>
      <c r="O6" s="99">
        <v>252</v>
      </c>
      <c r="P6" s="159">
        <v>252</v>
      </c>
      <c r="Q6" s="99">
        <v>11</v>
      </c>
      <c r="R6" s="99">
        <v>26</v>
      </c>
      <c r="S6" s="99">
        <v>56</v>
      </c>
      <c r="T6" s="99">
        <v>18</v>
      </c>
      <c r="U6" s="99">
        <v>7</v>
      </c>
      <c r="V6" s="99">
        <v>86</v>
      </c>
      <c r="W6" s="99">
        <v>69</v>
      </c>
      <c r="X6" s="99">
        <v>25</v>
      </c>
      <c r="Y6" s="99">
        <v>105</v>
      </c>
      <c r="Z6" s="99">
        <v>35</v>
      </c>
      <c r="AA6" s="99" t="s">
        <v>562</v>
      </c>
      <c r="AB6" s="99" t="s">
        <v>562</v>
      </c>
      <c r="AC6" s="99" t="s">
        <v>562</v>
      </c>
      <c r="AD6" s="98" t="s">
        <v>327</v>
      </c>
      <c r="AE6" s="100">
        <v>0.04821303433777155</v>
      </c>
      <c r="AF6" s="100">
        <v>0.19</v>
      </c>
      <c r="AG6" s="98">
        <v>168.18500350385423</v>
      </c>
      <c r="AH6" s="98">
        <v>98.10791871058164</v>
      </c>
      <c r="AI6" s="100">
        <v>0.004</v>
      </c>
      <c r="AJ6" s="100">
        <v>0.55483</v>
      </c>
      <c r="AK6" s="100">
        <v>0.394737</v>
      </c>
      <c r="AL6" s="100">
        <v>0.724676</v>
      </c>
      <c r="AM6" s="100">
        <v>0.335714</v>
      </c>
      <c r="AN6" s="100">
        <v>0.390625</v>
      </c>
      <c r="AO6" s="98">
        <v>1765.9425367904696</v>
      </c>
      <c r="AP6" s="158">
        <v>1.4544395449999998</v>
      </c>
      <c r="AQ6" s="100">
        <v>0.04365079365079365</v>
      </c>
      <c r="AR6" s="100">
        <v>0.4230769230769231</v>
      </c>
      <c r="AS6" s="98">
        <v>392.4316748423266</v>
      </c>
      <c r="AT6" s="98">
        <v>126.13875262789068</v>
      </c>
      <c r="AU6" s="98">
        <v>49.05395935529082</v>
      </c>
      <c r="AV6" s="98">
        <v>602.6629292221444</v>
      </c>
      <c r="AW6" s="98">
        <v>483.53188507358095</v>
      </c>
      <c r="AX6" s="98">
        <v>175.1927119831815</v>
      </c>
      <c r="AY6" s="98">
        <v>735.8093903293623</v>
      </c>
      <c r="AZ6" s="98">
        <v>245.2697967764541</v>
      </c>
      <c r="BA6" s="100" t="s">
        <v>562</v>
      </c>
      <c r="BB6" s="100" t="s">
        <v>562</v>
      </c>
      <c r="BC6" s="100" t="s">
        <v>562</v>
      </c>
      <c r="BD6" s="158">
        <v>1.280393066</v>
      </c>
      <c r="BE6" s="158">
        <v>1.645543823</v>
      </c>
      <c r="BF6" s="162">
        <v>766</v>
      </c>
      <c r="BG6" s="162">
        <v>38</v>
      </c>
      <c r="BH6" s="162">
        <v>4482</v>
      </c>
      <c r="BI6" s="162">
        <v>560</v>
      </c>
      <c r="BJ6" s="162">
        <v>256</v>
      </c>
      <c r="BK6" s="97"/>
      <c r="BL6" s="97"/>
      <c r="BM6" s="97"/>
      <c r="BN6" s="97"/>
    </row>
    <row r="7" spans="1:66" ht="12.75">
      <c r="A7" s="79" t="s">
        <v>519</v>
      </c>
      <c r="B7" s="79" t="s">
        <v>290</v>
      </c>
      <c r="C7" s="79" t="s">
        <v>142</v>
      </c>
      <c r="D7" s="99">
        <v>6323</v>
      </c>
      <c r="E7" s="99">
        <v>562</v>
      </c>
      <c r="F7" s="99" t="s">
        <v>348</v>
      </c>
      <c r="G7" s="99">
        <v>20</v>
      </c>
      <c r="H7" s="99">
        <v>11</v>
      </c>
      <c r="I7" s="99">
        <v>49</v>
      </c>
      <c r="J7" s="99">
        <v>220</v>
      </c>
      <c r="K7" s="99">
        <v>16</v>
      </c>
      <c r="L7" s="99">
        <v>1322</v>
      </c>
      <c r="M7" s="99">
        <v>109</v>
      </c>
      <c r="N7" s="99">
        <v>58</v>
      </c>
      <c r="O7" s="99">
        <v>91</v>
      </c>
      <c r="P7" s="159">
        <v>91</v>
      </c>
      <c r="Q7" s="99">
        <v>6</v>
      </c>
      <c r="R7" s="99">
        <v>17</v>
      </c>
      <c r="S7" s="99">
        <v>23</v>
      </c>
      <c r="T7" s="99">
        <v>11</v>
      </c>
      <c r="U7" s="99" t="s">
        <v>562</v>
      </c>
      <c r="V7" s="99">
        <v>15</v>
      </c>
      <c r="W7" s="99">
        <v>29</v>
      </c>
      <c r="X7" s="99" t="s">
        <v>562</v>
      </c>
      <c r="Y7" s="99">
        <v>31</v>
      </c>
      <c r="Z7" s="99">
        <v>22</v>
      </c>
      <c r="AA7" s="99" t="s">
        <v>562</v>
      </c>
      <c r="AB7" s="99" t="s">
        <v>562</v>
      </c>
      <c r="AC7" s="99" t="s">
        <v>562</v>
      </c>
      <c r="AD7" s="98" t="s">
        <v>327</v>
      </c>
      <c r="AE7" s="100">
        <v>0.08888185987664084</v>
      </c>
      <c r="AF7" s="100">
        <v>0.25</v>
      </c>
      <c r="AG7" s="98">
        <v>316.3055511624229</v>
      </c>
      <c r="AH7" s="98">
        <v>173.9680531393326</v>
      </c>
      <c r="AI7" s="100">
        <v>0.008</v>
      </c>
      <c r="AJ7" s="100">
        <v>0.52381</v>
      </c>
      <c r="AK7" s="100">
        <v>0.363636</v>
      </c>
      <c r="AL7" s="100">
        <v>0.751991</v>
      </c>
      <c r="AM7" s="100">
        <v>0.304469</v>
      </c>
      <c r="AN7" s="100">
        <v>0.384106</v>
      </c>
      <c r="AO7" s="98">
        <v>1439.1902577890241</v>
      </c>
      <c r="AP7" s="158">
        <v>1.021943741</v>
      </c>
      <c r="AQ7" s="100">
        <v>0.06593406593406594</v>
      </c>
      <c r="AR7" s="100">
        <v>0.35294117647058826</v>
      </c>
      <c r="AS7" s="98">
        <v>363.7513838367863</v>
      </c>
      <c r="AT7" s="98">
        <v>173.9680531393326</v>
      </c>
      <c r="AU7" s="98" t="s">
        <v>562</v>
      </c>
      <c r="AV7" s="98">
        <v>237.22916337181718</v>
      </c>
      <c r="AW7" s="98">
        <v>458.6430491855132</v>
      </c>
      <c r="AX7" s="98" t="s">
        <v>562</v>
      </c>
      <c r="AY7" s="98">
        <v>490.2736043017555</v>
      </c>
      <c r="AZ7" s="98">
        <v>347.9361062786652</v>
      </c>
      <c r="BA7" s="100" t="s">
        <v>562</v>
      </c>
      <c r="BB7" s="100" t="s">
        <v>562</v>
      </c>
      <c r="BC7" s="100" t="s">
        <v>562</v>
      </c>
      <c r="BD7" s="158">
        <v>0.8228053284000001</v>
      </c>
      <c r="BE7" s="158">
        <v>1.254720459</v>
      </c>
      <c r="BF7" s="162">
        <v>420</v>
      </c>
      <c r="BG7" s="162">
        <v>44</v>
      </c>
      <c r="BH7" s="162">
        <v>1758</v>
      </c>
      <c r="BI7" s="162">
        <v>358</v>
      </c>
      <c r="BJ7" s="162">
        <v>151</v>
      </c>
      <c r="BK7" s="97"/>
      <c r="BL7" s="97"/>
      <c r="BM7" s="97"/>
      <c r="BN7" s="97"/>
    </row>
    <row r="8" spans="1:66" ht="12.75">
      <c r="A8" s="79" t="s">
        <v>520</v>
      </c>
      <c r="B8" s="79" t="s">
        <v>291</v>
      </c>
      <c r="C8" s="79" t="s">
        <v>142</v>
      </c>
      <c r="D8" s="99">
        <v>7454</v>
      </c>
      <c r="E8" s="99">
        <v>594</v>
      </c>
      <c r="F8" s="99" t="s">
        <v>347</v>
      </c>
      <c r="G8" s="99">
        <v>28</v>
      </c>
      <c r="H8" s="99">
        <v>10</v>
      </c>
      <c r="I8" s="99">
        <v>91</v>
      </c>
      <c r="J8" s="99">
        <v>366</v>
      </c>
      <c r="K8" s="99">
        <v>183</v>
      </c>
      <c r="L8" s="99">
        <v>1654</v>
      </c>
      <c r="M8" s="99">
        <v>173</v>
      </c>
      <c r="N8" s="99">
        <v>82</v>
      </c>
      <c r="O8" s="99">
        <v>122</v>
      </c>
      <c r="P8" s="159">
        <v>122</v>
      </c>
      <c r="Q8" s="99">
        <v>6</v>
      </c>
      <c r="R8" s="99">
        <v>25</v>
      </c>
      <c r="S8" s="99">
        <v>24</v>
      </c>
      <c r="T8" s="99">
        <v>21</v>
      </c>
      <c r="U8" s="99" t="s">
        <v>562</v>
      </c>
      <c r="V8" s="99">
        <v>22</v>
      </c>
      <c r="W8" s="99">
        <v>26</v>
      </c>
      <c r="X8" s="99">
        <v>14</v>
      </c>
      <c r="Y8" s="99">
        <v>40</v>
      </c>
      <c r="Z8" s="99">
        <v>25</v>
      </c>
      <c r="AA8" s="99" t="s">
        <v>562</v>
      </c>
      <c r="AB8" s="99" t="s">
        <v>562</v>
      </c>
      <c r="AC8" s="99" t="s">
        <v>562</v>
      </c>
      <c r="AD8" s="98" t="s">
        <v>327</v>
      </c>
      <c r="AE8" s="100">
        <v>0.07968875771397907</v>
      </c>
      <c r="AF8" s="100">
        <v>0.2</v>
      </c>
      <c r="AG8" s="98">
        <v>375.6372417493963</v>
      </c>
      <c r="AH8" s="98">
        <v>134.15615776764153</v>
      </c>
      <c r="AI8" s="100">
        <v>0.012</v>
      </c>
      <c r="AJ8" s="100">
        <v>0.667883</v>
      </c>
      <c r="AK8" s="100">
        <v>0.620339</v>
      </c>
      <c r="AL8" s="100">
        <v>0.748416</v>
      </c>
      <c r="AM8" s="100">
        <v>0.395881</v>
      </c>
      <c r="AN8" s="100">
        <v>0.414141</v>
      </c>
      <c r="AO8" s="98">
        <v>1636.7051247652266</v>
      </c>
      <c r="AP8" s="158">
        <v>1.131177826</v>
      </c>
      <c r="AQ8" s="100">
        <v>0.04918032786885246</v>
      </c>
      <c r="AR8" s="100">
        <v>0.24</v>
      </c>
      <c r="AS8" s="98">
        <v>321.9747786423397</v>
      </c>
      <c r="AT8" s="98">
        <v>281.72793131204725</v>
      </c>
      <c r="AU8" s="98" t="s">
        <v>562</v>
      </c>
      <c r="AV8" s="98">
        <v>295.1435470888114</v>
      </c>
      <c r="AW8" s="98">
        <v>348.806010195868</v>
      </c>
      <c r="AX8" s="98">
        <v>187.81862087469815</v>
      </c>
      <c r="AY8" s="98">
        <v>536.6246310705661</v>
      </c>
      <c r="AZ8" s="98">
        <v>335.3903944191038</v>
      </c>
      <c r="BA8" s="100" t="s">
        <v>562</v>
      </c>
      <c r="BB8" s="100" t="s">
        <v>562</v>
      </c>
      <c r="BC8" s="100" t="s">
        <v>562</v>
      </c>
      <c r="BD8" s="158">
        <v>0.9393748474</v>
      </c>
      <c r="BE8" s="158">
        <v>1.350627899</v>
      </c>
      <c r="BF8" s="162">
        <v>548</v>
      </c>
      <c r="BG8" s="162">
        <v>295</v>
      </c>
      <c r="BH8" s="162">
        <v>2210</v>
      </c>
      <c r="BI8" s="162">
        <v>437</v>
      </c>
      <c r="BJ8" s="162">
        <v>198</v>
      </c>
      <c r="BK8" s="97"/>
      <c r="BL8" s="97"/>
      <c r="BM8" s="97"/>
      <c r="BN8" s="97"/>
    </row>
    <row r="9" spans="1:66" ht="12.75">
      <c r="A9" s="79" t="s">
        <v>528</v>
      </c>
      <c r="B9" s="79" t="s">
        <v>299</v>
      </c>
      <c r="C9" s="79" t="s">
        <v>142</v>
      </c>
      <c r="D9" s="99">
        <v>3892</v>
      </c>
      <c r="E9" s="99">
        <v>343</v>
      </c>
      <c r="F9" s="99" t="s">
        <v>348</v>
      </c>
      <c r="G9" s="99">
        <v>9</v>
      </c>
      <c r="H9" s="99">
        <v>10</v>
      </c>
      <c r="I9" s="99">
        <v>44</v>
      </c>
      <c r="J9" s="99">
        <v>141</v>
      </c>
      <c r="K9" s="99" t="s">
        <v>562</v>
      </c>
      <c r="L9" s="99">
        <v>766</v>
      </c>
      <c r="M9" s="99">
        <v>58</v>
      </c>
      <c r="N9" s="99">
        <v>23</v>
      </c>
      <c r="O9" s="99">
        <v>70</v>
      </c>
      <c r="P9" s="159">
        <v>70</v>
      </c>
      <c r="Q9" s="99">
        <v>7</v>
      </c>
      <c r="R9" s="99">
        <v>16</v>
      </c>
      <c r="S9" s="99">
        <v>10</v>
      </c>
      <c r="T9" s="99">
        <v>8</v>
      </c>
      <c r="U9" s="99">
        <v>6</v>
      </c>
      <c r="V9" s="99">
        <v>12</v>
      </c>
      <c r="W9" s="99">
        <v>21</v>
      </c>
      <c r="X9" s="99" t="s">
        <v>562</v>
      </c>
      <c r="Y9" s="99">
        <v>51</v>
      </c>
      <c r="Z9" s="99">
        <v>22</v>
      </c>
      <c r="AA9" s="99" t="s">
        <v>562</v>
      </c>
      <c r="AB9" s="99" t="s">
        <v>562</v>
      </c>
      <c r="AC9" s="99" t="s">
        <v>562</v>
      </c>
      <c r="AD9" s="98" t="s">
        <v>327</v>
      </c>
      <c r="AE9" s="100">
        <v>0.08812949640287769</v>
      </c>
      <c r="AF9" s="100">
        <v>0.29</v>
      </c>
      <c r="AG9" s="98">
        <v>231.24357656731758</v>
      </c>
      <c r="AH9" s="98">
        <v>256.9373072970195</v>
      </c>
      <c r="AI9" s="100">
        <v>0.011000000000000001</v>
      </c>
      <c r="AJ9" s="100">
        <v>0.532075</v>
      </c>
      <c r="AK9" s="100" t="s">
        <v>562</v>
      </c>
      <c r="AL9" s="100">
        <v>0.690712</v>
      </c>
      <c r="AM9" s="100">
        <v>0.302083</v>
      </c>
      <c r="AN9" s="100">
        <v>0.294872</v>
      </c>
      <c r="AO9" s="98">
        <v>1798.5611510791366</v>
      </c>
      <c r="AP9" s="158">
        <v>1.2972805790000002</v>
      </c>
      <c r="AQ9" s="100">
        <v>0.1</v>
      </c>
      <c r="AR9" s="100">
        <v>0.4375</v>
      </c>
      <c r="AS9" s="98">
        <v>256.9373072970195</v>
      </c>
      <c r="AT9" s="98">
        <v>205.54984583761563</v>
      </c>
      <c r="AU9" s="98">
        <v>154.16238437821173</v>
      </c>
      <c r="AV9" s="98">
        <v>308.32476875642345</v>
      </c>
      <c r="AW9" s="98">
        <v>539.568345323741</v>
      </c>
      <c r="AX9" s="98" t="s">
        <v>562</v>
      </c>
      <c r="AY9" s="98">
        <v>1310.3802672147997</v>
      </c>
      <c r="AZ9" s="98">
        <v>565.2620760534429</v>
      </c>
      <c r="BA9" s="100" t="s">
        <v>562</v>
      </c>
      <c r="BB9" s="100" t="s">
        <v>562</v>
      </c>
      <c r="BC9" s="100" t="s">
        <v>562</v>
      </c>
      <c r="BD9" s="158">
        <v>1.011293869</v>
      </c>
      <c r="BE9" s="158">
        <v>1.639036102</v>
      </c>
      <c r="BF9" s="162">
        <v>265</v>
      </c>
      <c r="BG9" s="162" t="s">
        <v>562</v>
      </c>
      <c r="BH9" s="162">
        <v>1109</v>
      </c>
      <c r="BI9" s="162">
        <v>192</v>
      </c>
      <c r="BJ9" s="162">
        <v>78</v>
      </c>
      <c r="BK9" s="97"/>
      <c r="BL9" s="97"/>
      <c r="BM9" s="97"/>
      <c r="BN9" s="97"/>
    </row>
    <row r="10" spans="1:66" ht="12.75">
      <c r="A10" s="79" t="s">
        <v>513</v>
      </c>
      <c r="B10" s="79" t="s">
        <v>284</v>
      </c>
      <c r="C10" s="79" t="s">
        <v>142</v>
      </c>
      <c r="D10" s="99">
        <v>3154</v>
      </c>
      <c r="E10" s="99">
        <v>159</v>
      </c>
      <c r="F10" s="99" t="s">
        <v>348</v>
      </c>
      <c r="G10" s="99" t="s">
        <v>562</v>
      </c>
      <c r="H10" s="99" t="s">
        <v>562</v>
      </c>
      <c r="I10" s="99">
        <v>19</v>
      </c>
      <c r="J10" s="99">
        <v>103</v>
      </c>
      <c r="K10" s="99">
        <v>45</v>
      </c>
      <c r="L10" s="99">
        <v>585</v>
      </c>
      <c r="M10" s="99">
        <v>37</v>
      </c>
      <c r="N10" s="99">
        <v>13</v>
      </c>
      <c r="O10" s="99">
        <v>21</v>
      </c>
      <c r="P10" s="159">
        <v>21</v>
      </c>
      <c r="Q10" s="99" t="s">
        <v>562</v>
      </c>
      <c r="R10" s="99" t="s">
        <v>562</v>
      </c>
      <c r="S10" s="99">
        <v>13</v>
      </c>
      <c r="T10" s="99" t="s">
        <v>562</v>
      </c>
      <c r="U10" s="99" t="s">
        <v>562</v>
      </c>
      <c r="V10" s="99" t="s">
        <v>562</v>
      </c>
      <c r="W10" s="99" t="s">
        <v>562</v>
      </c>
      <c r="X10" s="99" t="s">
        <v>562</v>
      </c>
      <c r="Y10" s="99">
        <v>8</v>
      </c>
      <c r="Z10" s="99">
        <v>11</v>
      </c>
      <c r="AA10" s="99" t="s">
        <v>562</v>
      </c>
      <c r="AB10" s="99" t="s">
        <v>562</v>
      </c>
      <c r="AC10" s="99" t="s">
        <v>562</v>
      </c>
      <c r="AD10" s="98" t="s">
        <v>327</v>
      </c>
      <c r="AE10" s="100">
        <v>0.050412175015852885</v>
      </c>
      <c r="AF10" s="100">
        <v>0.27</v>
      </c>
      <c r="AG10" s="98" t="s">
        <v>562</v>
      </c>
      <c r="AH10" s="98" t="s">
        <v>562</v>
      </c>
      <c r="AI10" s="100">
        <v>0.006</v>
      </c>
      <c r="AJ10" s="100">
        <v>0.492823</v>
      </c>
      <c r="AK10" s="100">
        <v>0.445545</v>
      </c>
      <c r="AL10" s="100">
        <v>0.681818</v>
      </c>
      <c r="AM10" s="100">
        <v>0.264286</v>
      </c>
      <c r="AN10" s="100">
        <v>0.224138</v>
      </c>
      <c r="AO10" s="98">
        <v>665.8211794546608</v>
      </c>
      <c r="AP10" s="158">
        <v>0.5310102462999999</v>
      </c>
      <c r="AQ10" s="100" t="s">
        <v>562</v>
      </c>
      <c r="AR10" s="100" t="s">
        <v>562</v>
      </c>
      <c r="AS10" s="98">
        <v>412.1750158528852</v>
      </c>
      <c r="AT10" s="98" t="s">
        <v>562</v>
      </c>
      <c r="AU10" s="98" t="s">
        <v>562</v>
      </c>
      <c r="AV10" s="98" t="s">
        <v>562</v>
      </c>
      <c r="AW10" s="98" t="s">
        <v>562</v>
      </c>
      <c r="AX10" s="98" t="s">
        <v>562</v>
      </c>
      <c r="AY10" s="98">
        <v>253.64616360177553</v>
      </c>
      <c r="AZ10" s="98">
        <v>348.76347495244136</v>
      </c>
      <c r="BA10" s="100" t="s">
        <v>562</v>
      </c>
      <c r="BB10" s="100" t="s">
        <v>562</v>
      </c>
      <c r="BC10" s="100" t="s">
        <v>562</v>
      </c>
      <c r="BD10" s="158">
        <v>0.3287037277</v>
      </c>
      <c r="BE10" s="158">
        <v>0.8117055511</v>
      </c>
      <c r="BF10" s="162">
        <v>209</v>
      </c>
      <c r="BG10" s="162">
        <v>101</v>
      </c>
      <c r="BH10" s="162">
        <v>858</v>
      </c>
      <c r="BI10" s="162">
        <v>140</v>
      </c>
      <c r="BJ10" s="162">
        <v>58</v>
      </c>
      <c r="BK10" s="97"/>
      <c r="BL10" s="97"/>
      <c r="BM10" s="97"/>
      <c r="BN10" s="97"/>
    </row>
    <row r="11" spans="1:66" ht="12.75">
      <c r="A11" s="79" t="s">
        <v>522</v>
      </c>
      <c r="B11" s="79" t="s">
        <v>293</v>
      </c>
      <c r="C11" s="79" t="s">
        <v>142</v>
      </c>
      <c r="D11" s="99">
        <v>5016</v>
      </c>
      <c r="E11" s="99">
        <v>322</v>
      </c>
      <c r="F11" s="99" t="s">
        <v>348</v>
      </c>
      <c r="G11" s="99">
        <v>11</v>
      </c>
      <c r="H11" s="99" t="s">
        <v>562</v>
      </c>
      <c r="I11" s="99">
        <v>47</v>
      </c>
      <c r="J11" s="99">
        <v>264</v>
      </c>
      <c r="K11" s="99">
        <v>108</v>
      </c>
      <c r="L11" s="99">
        <v>895</v>
      </c>
      <c r="M11" s="99">
        <v>87</v>
      </c>
      <c r="N11" s="99">
        <v>46</v>
      </c>
      <c r="O11" s="99">
        <v>58</v>
      </c>
      <c r="P11" s="159">
        <v>58</v>
      </c>
      <c r="Q11" s="99" t="s">
        <v>562</v>
      </c>
      <c r="R11" s="99">
        <v>11</v>
      </c>
      <c r="S11" s="99">
        <v>11</v>
      </c>
      <c r="T11" s="99">
        <v>8</v>
      </c>
      <c r="U11" s="99" t="s">
        <v>562</v>
      </c>
      <c r="V11" s="99">
        <v>15</v>
      </c>
      <c r="W11" s="99">
        <v>24</v>
      </c>
      <c r="X11" s="99">
        <v>9</v>
      </c>
      <c r="Y11" s="99">
        <v>26</v>
      </c>
      <c r="Z11" s="99">
        <v>12</v>
      </c>
      <c r="AA11" s="99" t="s">
        <v>562</v>
      </c>
      <c r="AB11" s="99" t="s">
        <v>562</v>
      </c>
      <c r="AC11" s="99" t="s">
        <v>562</v>
      </c>
      <c r="AD11" s="98" t="s">
        <v>327</v>
      </c>
      <c r="AE11" s="100">
        <v>0.0641945773524721</v>
      </c>
      <c r="AF11" s="100">
        <v>0.25</v>
      </c>
      <c r="AG11" s="98">
        <v>219.2982456140351</v>
      </c>
      <c r="AH11" s="98" t="s">
        <v>562</v>
      </c>
      <c r="AI11" s="100">
        <v>0.009000000000000001</v>
      </c>
      <c r="AJ11" s="100">
        <v>0.639225</v>
      </c>
      <c r="AK11" s="100">
        <v>0.705882</v>
      </c>
      <c r="AL11" s="100">
        <v>0.641117</v>
      </c>
      <c r="AM11" s="100">
        <v>0.318681</v>
      </c>
      <c r="AN11" s="100">
        <v>0.393162</v>
      </c>
      <c r="AO11" s="98">
        <v>1156.2998405103667</v>
      </c>
      <c r="AP11" s="158">
        <v>0.8655500793</v>
      </c>
      <c r="AQ11" s="100" t="s">
        <v>562</v>
      </c>
      <c r="AR11" s="100" t="s">
        <v>562</v>
      </c>
      <c r="AS11" s="98">
        <v>219.2982456140351</v>
      </c>
      <c r="AT11" s="98">
        <v>159.4896331738437</v>
      </c>
      <c r="AU11" s="98" t="s">
        <v>562</v>
      </c>
      <c r="AV11" s="98">
        <v>299.0430622009569</v>
      </c>
      <c r="AW11" s="98">
        <v>478.4688995215311</v>
      </c>
      <c r="AX11" s="98">
        <v>179.42583732057417</v>
      </c>
      <c r="AY11" s="98">
        <v>518.341307814992</v>
      </c>
      <c r="AZ11" s="98">
        <v>239.23444976076556</v>
      </c>
      <c r="BA11" s="100" t="s">
        <v>562</v>
      </c>
      <c r="BB11" s="100" t="s">
        <v>562</v>
      </c>
      <c r="BC11" s="100" t="s">
        <v>562</v>
      </c>
      <c r="BD11" s="158">
        <v>0.6572484588999999</v>
      </c>
      <c r="BE11" s="158">
        <v>1.118924255</v>
      </c>
      <c r="BF11" s="162">
        <v>413</v>
      </c>
      <c r="BG11" s="162">
        <v>153</v>
      </c>
      <c r="BH11" s="162">
        <v>1396</v>
      </c>
      <c r="BI11" s="162">
        <v>273</v>
      </c>
      <c r="BJ11" s="162">
        <v>117</v>
      </c>
      <c r="BK11" s="97"/>
      <c r="BL11" s="97"/>
      <c r="BM11" s="97"/>
      <c r="BN11" s="97"/>
    </row>
    <row r="12" spans="1:66" ht="12.75">
      <c r="A12" s="79" t="s">
        <v>551</v>
      </c>
      <c r="B12" s="79" t="s">
        <v>322</v>
      </c>
      <c r="C12" s="79" t="s">
        <v>142</v>
      </c>
      <c r="D12" s="99">
        <v>6600</v>
      </c>
      <c r="E12" s="99">
        <v>462</v>
      </c>
      <c r="F12" s="99" t="s">
        <v>348</v>
      </c>
      <c r="G12" s="99">
        <v>15</v>
      </c>
      <c r="H12" s="99" t="s">
        <v>562</v>
      </c>
      <c r="I12" s="99">
        <v>54</v>
      </c>
      <c r="J12" s="99">
        <v>222</v>
      </c>
      <c r="K12" s="99">
        <v>23</v>
      </c>
      <c r="L12" s="99">
        <v>1174</v>
      </c>
      <c r="M12" s="99">
        <v>105</v>
      </c>
      <c r="N12" s="99">
        <v>44</v>
      </c>
      <c r="O12" s="99">
        <v>61</v>
      </c>
      <c r="P12" s="159">
        <v>61</v>
      </c>
      <c r="Q12" s="99">
        <v>8</v>
      </c>
      <c r="R12" s="99">
        <v>18</v>
      </c>
      <c r="S12" s="99">
        <v>11</v>
      </c>
      <c r="T12" s="99" t="s">
        <v>562</v>
      </c>
      <c r="U12" s="99" t="s">
        <v>562</v>
      </c>
      <c r="V12" s="99">
        <v>12</v>
      </c>
      <c r="W12" s="99">
        <v>18</v>
      </c>
      <c r="X12" s="99">
        <v>7</v>
      </c>
      <c r="Y12" s="99">
        <v>41</v>
      </c>
      <c r="Z12" s="99">
        <v>18</v>
      </c>
      <c r="AA12" s="99" t="s">
        <v>562</v>
      </c>
      <c r="AB12" s="99" t="s">
        <v>562</v>
      </c>
      <c r="AC12" s="99" t="s">
        <v>562</v>
      </c>
      <c r="AD12" s="98" t="s">
        <v>327</v>
      </c>
      <c r="AE12" s="100">
        <v>0.07</v>
      </c>
      <c r="AF12" s="100">
        <v>0.26</v>
      </c>
      <c r="AG12" s="98">
        <v>227.27272727272728</v>
      </c>
      <c r="AH12" s="98" t="s">
        <v>562</v>
      </c>
      <c r="AI12" s="100">
        <v>0.008</v>
      </c>
      <c r="AJ12" s="100">
        <v>0.490066</v>
      </c>
      <c r="AK12" s="100">
        <v>0.46</v>
      </c>
      <c r="AL12" s="100">
        <v>0.648261</v>
      </c>
      <c r="AM12" s="100">
        <v>0.288462</v>
      </c>
      <c r="AN12" s="100">
        <v>0.330827</v>
      </c>
      <c r="AO12" s="98">
        <v>924.2424242424242</v>
      </c>
      <c r="AP12" s="158">
        <v>0.6778717041</v>
      </c>
      <c r="AQ12" s="100">
        <v>0.13114754098360656</v>
      </c>
      <c r="AR12" s="100">
        <v>0.4444444444444444</v>
      </c>
      <c r="AS12" s="98">
        <v>166.66666666666666</v>
      </c>
      <c r="AT12" s="98" t="s">
        <v>562</v>
      </c>
      <c r="AU12" s="98" t="s">
        <v>562</v>
      </c>
      <c r="AV12" s="98">
        <v>181.8181818181818</v>
      </c>
      <c r="AW12" s="98">
        <v>272.72727272727275</v>
      </c>
      <c r="AX12" s="98">
        <v>106.06060606060606</v>
      </c>
      <c r="AY12" s="98">
        <v>621.2121212121212</v>
      </c>
      <c r="AZ12" s="98">
        <v>272.72727272727275</v>
      </c>
      <c r="BA12" s="100" t="s">
        <v>562</v>
      </c>
      <c r="BB12" s="100" t="s">
        <v>562</v>
      </c>
      <c r="BC12" s="100" t="s">
        <v>562</v>
      </c>
      <c r="BD12" s="158">
        <v>0.5185181808</v>
      </c>
      <c r="BE12" s="158">
        <v>0.8707546234</v>
      </c>
      <c r="BF12" s="162">
        <v>453</v>
      </c>
      <c r="BG12" s="162">
        <v>50</v>
      </c>
      <c r="BH12" s="162">
        <v>1811</v>
      </c>
      <c r="BI12" s="162">
        <v>364</v>
      </c>
      <c r="BJ12" s="162">
        <v>133</v>
      </c>
      <c r="BK12" s="97"/>
      <c r="BL12" s="97"/>
      <c r="BM12" s="97"/>
      <c r="BN12" s="97"/>
    </row>
    <row r="13" spans="1:66" ht="12.75">
      <c r="A13" s="79" t="s">
        <v>529</v>
      </c>
      <c r="B13" s="79" t="s">
        <v>300</v>
      </c>
      <c r="C13" s="79" t="s">
        <v>142</v>
      </c>
      <c r="D13" s="99">
        <v>2808</v>
      </c>
      <c r="E13" s="99">
        <v>301</v>
      </c>
      <c r="F13" s="99" t="s">
        <v>350</v>
      </c>
      <c r="G13" s="99">
        <v>9</v>
      </c>
      <c r="H13" s="99" t="s">
        <v>562</v>
      </c>
      <c r="I13" s="99">
        <v>37</v>
      </c>
      <c r="J13" s="99">
        <v>124</v>
      </c>
      <c r="K13" s="99">
        <v>14</v>
      </c>
      <c r="L13" s="99">
        <v>546</v>
      </c>
      <c r="M13" s="99">
        <v>78</v>
      </c>
      <c r="N13" s="99">
        <v>24</v>
      </c>
      <c r="O13" s="99">
        <v>16</v>
      </c>
      <c r="P13" s="159">
        <v>16</v>
      </c>
      <c r="Q13" s="99" t="s">
        <v>562</v>
      </c>
      <c r="R13" s="99" t="s">
        <v>562</v>
      </c>
      <c r="S13" s="99" t="s">
        <v>562</v>
      </c>
      <c r="T13" s="99" t="s">
        <v>562</v>
      </c>
      <c r="U13" s="99" t="s">
        <v>562</v>
      </c>
      <c r="V13" s="99" t="s">
        <v>562</v>
      </c>
      <c r="W13" s="99" t="s">
        <v>562</v>
      </c>
      <c r="X13" s="99">
        <v>8</v>
      </c>
      <c r="Y13" s="99">
        <v>14</v>
      </c>
      <c r="Z13" s="99">
        <v>8</v>
      </c>
      <c r="AA13" s="99" t="s">
        <v>562</v>
      </c>
      <c r="AB13" s="99" t="s">
        <v>562</v>
      </c>
      <c r="AC13" s="99" t="s">
        <v>562</v>
      </c>
      <c r="AD13" s="98" t="s">
        <v>327</v>
      </c>
      <c r="AE13" s="100">
        <v>0.1071937321937322</v>
      </c>
      <c r="AF13" s="100">
        <v>0.15</v>
      </c>
      <c r="AG13" s="98">
        <v>320.5128205128205</v>
      </c>
      <c r="AH13" s="98" t="s">
        <v>562</v>
      </c>
      <c r="AI13" s="100">
        <v>0.013000000000000001</v>
      </c>
      <c r="AJ13" s="100">
        <v>0.54386</v>
      </c>
      <c r="AK13" s="100">
        <v>0.378378</v>
      </c>
      <c r="AL13" s="100">
        <v>0.640845</v>
      </c>
      <c r="AM13" s="100">
        <v>0.384236</v>
      </c>
      <c r="AN13" s="100">
        <v>0.303797</v>
      </c>
      <c r="AO13" s="98">
        <v>569.8005698005697</v>
      </c>
      <c r="AP13" s="158">
        <v>0.3512086105</v>
      </c>
      <c r="AQ13" s="100" t="s">
        <v>562</v>
      </c>
      <c r="AR13" s="100" t="s">
        <v>562</v>
      </c>
      <c r="AS13" s="98" t="s">
        <v>562</v>
      </c>
      <c r="AT13" s="98" t="s">
        <v>562</v>
      </c>
      <c r="AU13" s="98" t="s">
        <v>562</v>
      </c>
      <c r="AV13" s="98" t="s">
        <v>562</v>
      </c>
      <c r="AW13" s="98" t="s">
        <v>562</v>
      </c>
      <c r="AX13" s="98">
        <v>284.9002849002849</v>
      </c>
      <c r="AY13" s="98">
        <v>498.57549857549856</v>
      </c>
      <c r="AZ13" s="98">
        <v>284.9002849002849</v>
      </c>
      <c r="BA13" s="100" t="s">
        <v>562</v>
      </c>
      <c r="BB13" s="100" t="s">
        <v>562</v>
      </c>
      <c r="BC13" s="100" t="s">
        <v>562</v>
      </c>
      <c r="BD13" s="158">
        <v>0.2007460594</v>
      </c>
      <c r="BE13" s="158">
        <v>0.5703407669</v>
      </c>
      <c r="BF13" s="162">
        <v>228</v>
      </c>
      <c r="BG13" s="162">
        <v>37</v>
      </c>
      <c r="BH13" s="162">
        <v>852</v>
      </c>
      <c r="BI13" s="162">
        <v>203</v>
      </c>
      <c r="BJ13" s="162">
        <v>79</v>
      </c>
      <c r="BK13" s="97"/>
      <c r="BL13" s="97"/>
      <c r="BM13" s="97"/>
      <c r="BN13" s="97"/>
    </row>
    <row r="14" spans="1:66" ht="12.75">
      <c r="A14" s="79" t="s">
        <v>512</v>
      </c>
      <c r="B14" s="79" t="s">
        <v>283</v>
      </c>
      <c r="C14" s="79" t="s">
        <v>142</v>
      </c>
      <c r="D14" s="99">
        <v>12533</v>
      </c>
      <c r="E14" s="99">
        <v>807</v>
      </c>
      <c r="F14" s="99" t="s">
        <v>348</v>
      </c>
      <c r="G14" s="99">
        <v>30</v>
      </c>
      <c r="H14" s="99">
        <v>12</v>
      </c>
      <c r="I14" s="99">
        <v>50</v>
      </c>
      <c r="J14" s="99">
        <v>519</v>
      </c>
      <c r="K14" s="99">
        <v>347</v>
      </c>
      <c r="L14" s="99">
        <v>2614</v>
      </c>
      <c r="M14" s="99">
        <v>163</v>
      </c>
      <c r="N14" s="99">
        <v>90</v>
      </c>
      <c r="O14" s="99">
        <v>113</v>
      </c>
      <c r="P14" s="159">
        <v>113</v>
      </c>
      <c r="Q14" s="99" t="s">
        <v>562</v>
      </c>
      <c r="R14" s="99">
        <v>25</v>
      </c>
      <c r="S14" s="99">
        <v>38</v>
      </c>
      <c r="T14" s="99">
        <v>16</v>
      </c>
      <c r="U14" s="99" t="s">
        <v>562</v>
      </c>
      <c r="V14" s="99">
        <v>7</v>
      </c>
      <c r="W14" s="99">
        <v>26</v>
      </c>
      <c r="X14" s="99">
        <v>25</v>
      </c>
      <c r="Y14" s="99">
        <v>74</v>
      </c>
      <c r="Z14" s="99">
        <v>28</v>
      </c>
      <c r="AA14" s="99" t="s">
        <v>562</v>
      </c>
      <c r="AB14" s="99" t="s">
        <v>562</v>
      </c>
      <c r="AC14" s="99" t="s">
        <v>562</v>
      </c>
      <c r="AD14" s="98" t="s">
        <v>327</v>
      </c>
      <c r="AE14" s="100">
        <v>0.0643900103726163</v>
      </c>
      <c r="AF14" s="100">
        <v>0.29</v>
      </c>
      <c r="AG14" s="98">
        <v>239.36806829968882</v>
      </c>
      <c r="AH14" s="98">
        <v>95.74722731987553</v>
      </c>
      <c r="AI14" s="100">
        <v>0.004</v>
      </c>
      <c r="AJ14" s="100">
        <v>0.639163</v>
      </c>
      <c r="AK14" s="100">
        <v>0.599309</v>
      </c>
      <c r="AL14" s="100">
        <v>0.753966</v>
      </c>
      <c r="AM14" s="100">
        <v>0.301852</v>
      </c>
      <c r="AN14" s="100">
        <v>0.386266</v>
      </c>
      <c r="AO14" s="98">
        <v>901.6197239288279</v>
      </c>
      <c r="AP14" s="158">
        <v>0.7083097076</v>
      </c>
      <c r="AQ14" s="100" t="s">
        <v>562</v>
      </c>
      <c r="AR14" s="100" t="s">
        <v>562</v>
      </c>
      <c r="AS14" s="98">
        <v>303.19955317960586</v>
      </c>
      <c r="AT14" s="98">
        <v>127.66296975983404</v>
      </c>
      <c r="AU14" s="98" t="s">
        <v>562</v>
      </c>
      <c r="AV14" s="98">
        <v>55.852549269927394</v>
      </c>
      <c r="AW14" s="98">
        <v>207.4523258597303</v>
      </c>
      <c r="AX14" s="98">
        <v>199.47339024974067</v>
      </c>
      <c r="AY14" s="98">
        <v>590.4412351392324</v>
      </c>
      <c r="AZ14" s="98">
        <v>223.41019707970958</v>
      </c>
      <c r="BA14" s="100" t="s">
        <v>562</v>
      </c>
      <c r="BB14" s="100" t="s">
        <v>562</v>
      </c>
      <c r="BC14" s="100" t="s">
        <v>562</v>
      </c>
      <c r="BD14" s="158">
        <v>0.5837474442</v>
      </c>
      <c r="BE14" s="158">
        <v>0.8515836334</v>
      </c>
      <c r="BF14" s="162">
        <v>812</v>
      </c>
      <c r="BG14" s="162">
        <v>579</v>
      </c>
      <c r="BH14" s="162">
        <v>3467</v>
      </c>
      <c r="BI14" s="162">
        <v>540</v>
      </c>
      <c r="BJ14" s="162">
        <v>233</v>
      </c>
      <c r="BK14" s="97"/>
      <c r="BL14" s="97"/>
      <c r="BM14" s="97"/>
      <c r="BN14" s="97"/>
    </row>
    <row r="15" spans="1:66" ht="12.75">
      <c r="A15" s="79" t="s">
        <v>533</v>
      </c>
      <c r="B15" s="79" t="s">
        <v>304</v>
      </c>
      <c r="C15" s="79" t="s">
        <v>142</v>
      </c>
      <c r="D15" s="99">
        <v>2694</v>
      </c>
      <c r="E15" s="99">
        <v>283</v>
      </c>
      <c r="F15" s="99" t="s">
        <v>347</v>
      </c>
      <c r="G15" s="99">
        <v>9</v>
      </c>
      <c r="H15" s="99" t="s">
        <v>562</v>
      </c>
      <c r="I15" s="99">
        <v>25</v>
      </c>
      <c r="J15" s="99">
        <v>94</v>
      </c>
      <c r="K15" s="99">
        <v>6</v>
      </c>
      <c r="L15" s="99">
        <v>394</v>
      </c>
      <c r="M15" s="99">
        <v>47</v>
      </c>
      <c r="N15" s="99">
        <v>28</v>
      </c>
      <c r="O15" s="99">
        <v>13</v>
      </c>
      <c r="P15" s="159">
        <v>13</v>
      </c>
      <c r="Q15" s="99" t="s">
        <v>562</v>
      </c>
      <c r="R15" s="99" t="s">
        <v>562</v>
      </c>
      <c r="S15" s="99" t="s">
        <v>562</v>
      </c>
      <c r="T15" s="99" t="s">
        <v>562</v>
      </c>
      <c r="U15" s="99" t="s">
        <v>562</v>
      </c>
      <c r="V15" s="99" t="s">
        <v>562</v>
      </c>
      <c r="W15" s="99">
        <v>22</v>
      </c>
      <c r="X15" s="99" t="s">
        <v>562</v>
      </c>
      <c r="Y15" s="99">
        <v>33</v>
      </c>
      <c r="Z15" s="99">
        <v>15</v>
      </c>
      <c r="AA15" s="99" t="s">
        <v>562</v>
      </c>
      <c r="AB15" s="99" t="s">
        <v>562</v>
      </c>
      <c r="AC15" s="99" t="s">
        <v>562</v>
      </c>
      <c r="AD15" s="98" t="s">
        <v>327</v>
      </c>
      <c r="AE15" s="100">
        <v>0.1050482553823311</v>
      </c>
      <c r="AF15" s="100">
        <v>0.19</v>
      </c>
      <c r="AG15" s="98">
        <v>334.07572383073494</v>
      </c>
      <c r="AH15" s="98" t="s">
        <v>562</v>
      </c>
      <c r="AI15" s="100">
        <v>0.009000000000000001</v>
      </c>
      <c r="AJ15" s="100">
        <v>0.467662</v>
      </c>
      <c r="AK15" s="100">
        <v>0.428571</v>
      </c>
      <c r="AL15" s="100">
        <v>0.624406</v>
      </c>
      <c r="AM15" s="100">
        <v>0.254054</v>
      </c>
      <c r="AN15" s="100">
        <v>0.394366</v>
      </c>
      <c r="AO15" s="98">
        <v>482.5538233110616</v>
      </c>
      <c r="AP15" s="158">
        <v>0.33175354</v>
      </c>
      <c r="AQ15" s="100" t="s">
        <v>562</v>
      </c>
      <c r="AR15" s="100" t="s">
        <v>562</v>
      </c>
      <c r="AS15" s="98" t="s">
        <v>562</v>
      </c>
      <c r="AT15" s="98" t="s">
        <v>562</v>
      </c>
      <c r="AU15" s="98" t="s">
        <v>562</v>
      </c>
      <c r="AV15" s="98" t="s">
        <v>562</v>
      </c>
      <c r="AW15" s="98">
        <v>816.6295471417966</v>
      </c>
      <c r="AX15" s="98" t="s">
        <v>562</v>
      </c>
      <c r="AY15" s="98">
        <v>1224.944320712695</v>
      </c>
      <c r="AZ15" s="98">
        <v>556.7928730512249</v>
      </c>
      <c r="BA15" s="100" t="s">
        <v>562</v>
      </c>
      <c r="BB15" s="100" t="s">
        <v>562</v>
      </c>
      <c r="BC15" s="100" t="s">
        <v>562</v>
      </c>
      <c r="BD15" s="158">
        <v>0.176644783</v>
      </c>
      <c r="BE15" s="158">
        <v>0.5673086548</v>
      </c>
      <c r="BF15" s="162">
        <v>201</v>
      </c>
      <c r="BG15" s="162">
        <v>14</v>
      </c>
      <c r="BH15" s="162">
        <v>631</v>
      </c>
      <c r="BI15" s="162">
        <v>185</v>
      </c>
      <c r="BJ15" s="162">
        <v>71</v>
      </c>
      <c r="BK15" s="97"/>
      <c r="BL15" s="97"/>
      <c r="BM15" s="97"/>
      <c r="BN15" s="97"/>
    </row>
    <row r="16" spans="1:66" ht="12.75">
      <c r="A16" s="79" t="s">
        <v>538</v>
      </c>
      <c r="B16" s="79" t="s">
        <v>309</v>
      </c>
      <c r="C16" s="79" t="s">
        <v>142</v>
      </c>
      <c r="D16" s="99">
        <v>5578</v>
      </c>
      <c r="E16" s="99">
        <v>279</v>
      </c>
      <c r="F16" s="99" t="s">
        <v>348</v>
      </c>
      <c r="G16" s="99">
        <v>8</v>
      </c>
      <c r="H16" s="99" t="s">
        <v>562</v>
      </c>
      <c r="I16" s="99">
        <v>29</v>
      </c>
      <c r="J16" s="99">
        <v>183</v>
      </c>
      <c r="K16" s="99">
        <v>90</v>
      </c>
      <c r="L16" s="99">
        <v>1024</v>
      </c>
      <c r="M16" s="99">
        <v>58</v>
      </c>
      <c r="N16" s="99">
        <v>22</v>
      </c>
      <c r="O16" s="99">
        <v>30</v>
      </c>
      <c r="P16" s="159">
        <v>30</v>
      </c>
      <c r="Q16" s="99" t="s">
        <v>562</v>
      </c>
      <c r="R16" s="99">
        <v>8</v>
      </c>
      <c r="S16" s="99">
        <v>11</v>
      </c>
      <c r="T16" s="99" t="s">
        <v>562</v>
      </c>
      <c r="U16" s="99" t="s">
        <v>562</v>
      </c>
      <c r="V16" s="99" t="s">
        <v>562</v>
      </c>
      <c r="W16" s="99">
        <v>6</v>
      </c>
      <c r="X16" s="99" t="s">
        <v>562</v>
      </c>
      <c r="Y16" s="99">
        <v>20</v>
      </c>
      <c r="Z16" s="99">
        <v>10</v>
      </c>
      <c r="AA16" s="99" t="s">
        <v>562</v>
      </c>
      <c r="AB16" s="99" t="s">
        <v>562</v>
      </c>
      <c r="AC16" s="99" t="s">
        <v>562</v>
      </c>
      <c r="AD16" s="98" t="s">
        <v>327</v>
      </c>
      <c r="AE16" s="100">
        <v>0.05001792757260667</v>
      </c>
      <c r="AF16" s="100">
        <v>0.28</v>
      </c>
      <c r="AG16" s="98">
        <v>143.42058085335245</v>
      </c>
      <c r="AH16" s="98" t="s">
        <v>562</v>
      </c>
      <c r="AI16" s="100">
        <v>0.005</v>
      </c>
      <c r="AJ16" s="100">
        <v>0.575472</v>
      </c>
      <c r="AK16" s="100">
        <v>0.505618</v>
      </c>
      <c r="AL16" s="100">
        <v>0.663642</v>
      </c>
      <c r="AM16" s="100">
        <v>0.31016</v>
      </c>
      <c r="AN16" s="100">
        <v>0.275</v>
      </c>
      <c r="AO16" s="98">
        <v>537.8271782000717</v>
      </c>
      <c r="AP16" s="158">
        <v>0.4435449982</v>
      </c>
      <c r="AQ16" s="100" t="s">
        <v>562</v>
      </c>
      <c r="AR16" s="100" t="s">
        <v>562</v>
      </c>
      <c r="AS16" s="98">
        <v>197.20329867335963</v>
      </c>
      <c r="AT16" s="98" t="s">
        <v>562</v>
      </c>
      <c r="AU16" s="98" t="s">
        <v>562</v>
      </c>
      <c r="AV16" s="98" t="s">
        <v>562</v>
      </c>
      <c r="AW16" s="98">
        <v>107.56543564001434</v>
      </c>
      <c r="AX16" s="98" t="s">
        <v>562</v>
      </c>
      <c r="AY16" s="98">
        <v>358.55145213338113</v>
      </c>
      <c r="AZ16" s="98">
        <v>179.27572606669057</v>
      </c>
      <c r="BA16" s="100" t="s">
        <v>562</v>
      </c>
      <c r="BB16" s="100" t="s">
        <v>562</v>
      </c>
      <c r="BC16" s="100" t="s">
        <v>562</v>
      </c>
      <c r="BD16" s="158">
        <v>0.299257946</v>
      </c>
      <c r="BE16" s="158">
        <v>0.6331880569</v>
      </c>
      <c r="BF16" s="162">
        <v>318</v>
      </c>
      <c r="BG16" s="162">
        <v>178</v>
      </c>
      <c r="BH16" s="162">
        <v>1543</v>
      </c>
      <c r="BI16" s="162">
        <v>187</v>
      </c>
      <c r="BJ16" s="162">
        <v>80</v>
      </c>
      <c r="BK16" s="97"/>
      <c r="BL16" s="97"/>
      <c r="BM16" s="97"/>
      <c r="BN16" s="97"/>
    </row>
    <row r="17" spans="1:66" ht="12.75">
      <c r="A17" s="79" t="s">
        <v>549</v>
      </c>
      <c r="B17" s="79" t="s">
        <v>320</v>
      </c>
      <c r="C17" s="79" t="s">
        <v>142</v>
      </c>
      <c r="D17" s="99">
        <v>4787</v>
      </c>
      <c r="E17" s="99">
        <v>275</v>
      </c>
      <c r="F17" s="99" t="s">
        <v>348</v>
      </c>
      <c r="G17" s="99">
        <v>18</v>
      </c>
      <c r="H17" s="99">
        <v>7</v>
      </c>
      <c r="I17" s="99">
        <v>34</v>
      </c>
      <c r="J17" s="99">
        <v>192</v>
      </c>
      <c r="K17" s="99">
        <v>19</v>
      </c>
      <c r="L17" s="99">
        <v>937</v>
      </c>
      <c r="M17" s="99">
        <v>74</v>
      </c>
      <c r="N17" s="99">
        <v>36</v>
      </c>
      <c r="O17" s="99">
        <v>27</v>
      </c>
      <c r="P17" s="159">
        <v>27</v>
      </c>
      <c r="Q17" s="99" t="s">
        <v>562</v>
      </c>
      <c r="R17" s="99">
        <v>8</v>
      </c>
      <c r="S17" s="99" t="s">
        <v>562</v>
      </c>
      <c r="T17" s="99" t="s">
        <v>562</v>
      </c>
      <c r="U17" s="99" t="s">
        <v>562</v>
      </c>
      <c r="V17" s="99">
        <v>9</v>
      </c>
      <c r="W17" s="99">
        <v>10</v>
      </c>
      <c r="X17" s="99">
        <v>10</v>
      </c>
      <c r="Y17" s="99">
        <v>23</v>
      </c>
      <c r="Z17" s="99">
        <v>23</v>
      </c>
      <c r="AA17" s="99" t="s">
        <v>562</v>
      </c>
      <c r="AB17" s="99" t="s">
        <v>562</v>
      </c>
      <c r="AC17" s="99" t="s">
        <v>562</v>
      </c>
      <c r="AD17" s="98" t="s">
        <v>327</v>
      </c>
      <c r="AE17" s="100">
        <v>0.0574472529768122</v>
      </c>
      <c r="AF17" s="100">
        <v>0.26</v>
      </c>
      <c r="AG17" s="98">
        <v>376.0183831209526</v>
      </c>
      <c r="AH17" s="98">
        <v>146.22937121370379</v>
      </c>
      <c r="AI17" s="100">
        <v>0.006999999999999999</v>
      </c>
      <c r="AJ17" s="100">
        <v>0.659794</v>
      </c>
      <c r="AK17" s="100">
        <v>0.487179</v>
      </c>
      <c r="AL17" s="100">
        <v>0.677023</v>
      </c>
      <c r="AM17" s="100">
        <v>0.377551</v>
      </c>
      <c r="AN17" s="100">
        <v>0.467532</v>
      </c>
      <c r="AO17" s="98">
        <v>564.0275746814289</v>
      </c>
      <c r="AP17" s="158">
        <v>0.4561214447</v>
      </c>
      <c r="AQ17" s="100" t="s">
        <v>562</v>
      </c>
      <c r="AR17" s="100" t="s">
        <v>562</v>
      </c>
      <c r="AS17" s="98" t="s">
        <v>562</v>
      </c>
      <c r="AT17" s="98" t="s">
        <v>562</v>
      </c>
      <c r="AU17" s="98" t="s">
        <v>562</v>
      </c>
      <c r="AV17" s="98">
        <v>188.0091915604763</v>
      </c>
      <c r="AW17" s="98">
        <v>208.89910173386255</v>
      </c>
      <c r="AX17" s="98">
        <v>208.89910173386255</v>
      </c>
      <c r="AY17" s="98">
        <v>480.46793398788384</v>
      </c>
      <c r="AZ17" s="98">
        <v>480.46793398788384</v>
      </c>
      <c r="BA17" s="100" t="s">
        <v>562</v>
      </c>
      <c r="BB17" s="100" t="s">
        <v>562</v>
      </c>
      <c r="BC17" s="100" t="s">
        <v>562</v>
      </c>
      <c r="BD17" s="158">
        <v>0.3005869102</v>
      </c>
      <c r="BE17" s="158">
        <v>0.6636327362</v>
      </c>
      <c r="BF17" s="162">
        <v>291</v>
      </c>
      <c r="BG17" s="162">
        <v>39</v>
      </c>
      <c r="BH17" s="162">
        <v>1384</v>
      </c>
      <c r="BI17" s="162">
        <v>196</v>
      </c>
      <c r="BJ17" s="162">
        <v>77</v>
      </c>
      <c r="BK17" s="97"/>
      <c r="BL17" s="97"/>
      <c r="BM17" s="97"/>
      <c r="BN17" s="97"/>
    </row>
    <row r="18" spans="1:66" ht="12.75">
      <c r="A18" s="79" t="s">
        <v>548</v>
      </c>
      <c r="B18" s="79" t="s">
        <v>319</v>
      </c>
      <c r="C18" s="79" t="s">
        <v>142</v>
      </c>
      <c r="D18" s="99">
        <v>2565</v>
      </c>
      <c r="E18" s="99">
        <v>301</v>
      </c>
      <c r="F18" s="99" t="s">
        <v>347</v>
      </c>
      <c r="G18" s="99">
        <v>8</v>
      </c>
      <c r="H18" s="99" t="s">
        <v>562</v>
      </c>
      <c r="I18" s="99">
        <v>28</v>
      </c>
      <c r="J18" s="99">
        <v>146</v>
      </c>
      <c r="K18" s="99">
        <v>62</v>
      </c>
      <c r="L18" s="99">
        <v>407</v>
      </c>
      <c r="M18" s="99">
        <v>59</v>
      </c>
      <c r="N18" s="99">
        <v>23</v>
      </c>
      <c r="O18" s="99">
        <v>21</v>
      </c>
      <c r="P18" s="159">
        <v>21</v>
      </c>
      <c r="Q18" s="99" t="s">
        <v>562</v>
      </c>
      <c r="R18" s="99">
        <v>6</v>
      </c>
      <c r="S18" s="99">
        <v>6</v>
      </c>
      <c r="T18" s="99">
        <v>9</v>
      </c>
      <c r="U18" s="99" t="s">
        <v>562</v>
      </c>
      <c r="V18" s="99" t="s">
        <v>562</v>
      </c>
      <c r="W18" s="99">
        <v>10</v>
      </c>
      <c r="X18" s="99">
        <v>7</v>
      </c>
      <c r="Y18" s="99">
        <v>17</v>
      </c>
      <c r="Z18" s="99">
        <v>10</v>
      </c>
      <c r="AA18" s="99" t="s">
        <v>562</v>
      </c>
      <c r="AB18" s="99" t="s">
        <v>562</v>
      </c>
      <c r="AC18" s="99" t="s">
        <v>562</v>
      </c>
      <c r="AD18" s="98" t="s">
        <v>327</v>
      </c>
      <c r="AE18" s="100">
        <v>0.11734892787524366</v>
      </c>
      <c r="AF18" s="100">
        <v>0.2</v>
      </c>
      <c r="AG18" s="98">
        <v>311.8908382066277</v>
      </c>
      <c r="AH18" s="98" t="s">
        <v>562</v>
      </c>
      <c r="AI18" s="100">
        <v>0.011000000000000001</v>
      </c>
      <c r="AJ18" s="100">
        <v>0.600823</v>
      </c>
      <c r="AK18" s="100">
        <v>0.558559</v>
      </c>
      <c r="AL18" s="100">
        <v>0.649123</v>
      </c>
      <c r="AM18" s="100">
        <v>0.364198</v>
      </c>
      <c r="AN18" s="100">
        <v>0.315068</v>
      </c>
      <c r="AO18" s="98">
        <v>818.7134502923976</v>
      </c>
      <c r="AP18" s="158">
        <v>0.5176247787</v>
      </c>
      <c r="AQ18" s="100" t="s">
        <v>562</v>
      </c>
      <c r="AR18" s="100" t="s">
        <v>562</v>
      </c>
      <c r="AS18" s="98">
        <v>233.91812865497076</v>
      </c>
      <c r="AT18" s="98">
        <v>350.87719298245617</v>
      </c>
      <c r="AU18" s="98" t="s">
        <v>562</v>
      </c>
      <c r="AV18" s="98" t="s">
        <v>562</v>
      </c>
      <c r="AW18" s="98">
        <v>389.8635477582846</v>
      </c>
      <c r="AX18" s="98">
        <v>272.90448343079925</v>
      </c>
      <c r="AY18" s="98">
        <v>662.7680311890838</v>
      </c>
      <c r="AZ18" s="98">
        <v>389.8635477582846</v>
      </c>
      <c r="BA18" s="100" t="s">
        <v>562</v>
      </c>
      <c r="BB18" s="100" t="s">
        <v>562</v>
      </c>
      <c r="BC18" s="100" t="s">
        <v>562</v>
      </c>
      <c r="BD18" s="158">
        <v>0.3204179001</v>
      </c>
      <c r="BE18" s="158">
        <v>0.7912444304999999</v>
      </c>
      <c r="BF18" s="162">
        <v>243</v>
      </c>
      <c r="BG18" s="162">
        <v>111</v>
      </c>
      <c r="BH18" s="162">
        <v>627</v>
      </c>
      <c r="BI18" s="162">
        <v>162</v>
      </c>
      <c r="BJ18" s="162">
        <v>73</v>
      </c>
      <c r="BK18" s="97"/>
      <c r="BL18" s="97"/>
      <c r="BM18" s="97"/>
      <c r="BN18" s="97"/>
    </row>
    <row r="19" spans="1:66" ht="12.75">
      <c r="A19" s="79" t="s">
        <v>554</v>
      </c>
      <c r="B19" s="79" t="s">
        <v>326</v>
      </c>
      <c r="C19" s="79" t="s">
        <v>142</v>
      </c>
      <c r="D19" s="99">
        <v>2513</v>
      </c>
      <c r="E19" s="99">
        <v>103</v>
      </c>
      <c r="F19" s="99" t="s">
        <v>347</v>
      </c>
      <c r="G19" s="99" t="s">
        <v>562</v>
      </c>
      <c r="H19" s="99" t="s">
        <v>562</v>
      </c>
      <c r="I19" s="99">
        <v>18</v>
      </c>
      <c r="J19" s="99">
        <v>81</v>
      </c>
      <c r="K19" s="99" t="s">
        <v>562</v>
      </c>
      <c r="L19" s="99">
        <v>444</v>
      </c>
      <c r="M19" s="99">
        <v>26</v>
      </c>
      <c r="N19" s="99">
        <v>10</v>
      </c>
      <c r="O19" s="99">
        <v>8</v>
      </c>
      <c r="P19" s="159">
        <v>8</v>
      </c>
      <c r="Q19" s="99" t="s">
        <v>562</v>
      </c>
      <c r="R19" s="99" t="s">
        <v>562</v>
      </c>
      <c r="S19" s="99" t="s">
        <v>562</v>
      </c>
      <c r="T19" s="99" t="s">
        <v>562</v>
      </c>
      <c r="U19" s="99" t="s">
        <v>562</v>
      </c>
      <c r="V19" s="99" t="s">
        <v>562</v>
      </c>
      <c r="W19" s="99">
        <v>12</v>
      </c>
      <c r="X19" s="99" t="s">
        <v>562</v>
      </c>
      <c r="Y19" s="99">
        <v>21</v>
      </c>
      <c r="Z19" s="99">
        <v>6</v>
      </c>
      <c r="AA19" s="99" t="s">
        <v>562</v>
      </c>
      <c r="AB19" s="99" t="s">
        <v>562</v>
      </c>
      <c r="AC19" s="99" t="s">
        <v>562</v>
      </c>
      <c r="AD19" s="98" t="s">
        <v>327</v>
      </c>
      <c r="AE19" s="100">
        <v>0.040986868284918425</v>
      </c>
      <c r="AF19" s="100">
        <v>0.18</v>
      </c>
      <c r="AG19" s="98" t="s">
        <v>562</v>
      </c>
      <c r="AH19" s="98" t="s">
        <v>562</v>
      </c>
      <c r="AI19" s="100">
        <v>0.006999999999999999</v>
      </c>
      <c r="AJ19" s="100">
        <v>0.582734</v>
      </c>
      <c r="AK19" s="100" t="s">
        <v>562</v>
      </c>
      <c r="AL19" s="100">
        <v>0.630682</v>
      </c>
      <c r="AM19" s="100">
        <v>0.27957</v>
      </c>
      <c r="AN19" s="100">
        <v>0.294118</v>
      </c>
      <c r="AO19" s="98">
        <v>318.34460803820133</v>
      </c>
      <c r="AP19" s="158">
        <v>0.2819072914</v>
      </c>
      <c r="AQ19" s="100" t="s">
        <v>562</v>
      </c>
      <c r="AR19" s="100" t="s">
        <v>562</v>
      </c>
      <c r="AS19" s="98" t="s">
        <v>562</v>
      </c>
      <c r="AT19" s="98" t="s">
        <v>562</v>
      </c>
      <c r="AU19" s="98" t="s">
        <v>562</v>
      </c>
      <c r="AV19" s="98" t="s">
        <v>562</v>
      </c>
      <c r="AW19" s="98">
        <v>477.516912057302</v>
      </c>
      <c r="AX19" s="98" t="s">
        <v>562</v>
      </c>
      <c r="AY19" s="98">
        <v>835.6545961002786</v>
      </c>
      <c r="AZ19" s="98">
        <v>238.758456028651</v>
      </c>
      <c r="BA19" s="100" t="s">
        <v>562</v>
      </c>
      <c r="BB19" s="100" t="s">
        <v>562</v>
      </c>
      <c r="BC19" s="100" t="s">
        <v>562</v>
      </c>
      <c r="BD19" s="158">
        <v>0.1217075539</v>
      </c>
      <c r="BE19" s="158">
        <v>0.5554697418</v>
      </c>
      <c r="BF19" s="162">
        <v>139</v>
      </c>
      <c r="BG19" s="162" t="s">
        <v>562</v>
      </c>
      <c r="BH19" s="162">
        <v>704</v>
      </c>
      <c r="BI19" s="162">
        <v>93</v>
      </c>
      <c r="BJ19" s="162">
        <v>34</v>
      </c>
      <c r="BK19" s="97"/>
      <c r="BL19" s="97"/>
      <c r="BM19" s="97"/>
      <c r="BN19" s="97"/>
    </row>
    <row r="20" spans="1:66" ht="12.75">
      <c r="A20" s="79" t="s">
        <v>526</v>
      </c>
      <c r="B20" s="79" t="s">
        <v>297</v>
      </c>
      <c r="C20" s="79" t="s">
        <v>142</v>
      </c>
      <c r="D20" s="99">
        <v>3286</v>
      </c>
      <c r="E20" s="99">
        <v>327</v>
      </c>
      <c r="F20" s="99" t="s">
        <v>348</v>
      </c>
      <c r="G20" s="99">
        <v>10</v>
      </c>
      <c r="H20" s="99">
        <v>11</v>
      </c>
      <c r="I20" s="99">
        <v>34</v>
      </c>
      <c r="J20" s="99">
        <v>131</v>
      </c>
      <c r="K20" s="99">
        <v>7</v>
      </c>
      <c r="L20" s="99">
        <v>535</v>
      </c>
      <c r="M20" s="99">
        <v>66</v>
      </c>
      <c r="N20" s="99">
        <v>39</v>
      </c>
      <c r="O20" s="99">
        <v>8</v>
      </c>
      <c r="P20" s="159">
        <v>8</v>
      </c>
      <c r="Q20" s="99" t="s">
        <v>562</v>
      </c>
      <c r="R20" s="99">
        <v>9</v>
      </c>
      <c r="S20" s="99" t="s">
        <v>562</v>
      </c>
      <c r="T20" s="99" t="s">
        <v>562</v>
      </c>
      <c r="U20" s="99" t="s">
        <v>562</v>
      </c>
      <c r="V20" s="99" t="s">
        <v>562</v>
      </c>
      <c r="W20" s="99" t="s">
        <v>562</v>
      </c>
      <c r="X20" s="99">
        <v>11</v>
      </c>
      <c r="Y20" s="99">
        <v>16</v>
      </c>
      <c r="Z20" s="99">
        <v>19</v>
      </c>
      <c r="AA20" s="99" t="s">
        <v>562</v>
      </c>
      <c r="AB20" s="99" t="s">
        <v>562</v>
      </c>
      <c r="AC20" s="99" t="s">
        <v>562</v>
      </c>
      <c r="AD20" s="98" t="s">
        <v>327</v>
      </c>
      <c r="AE20" s="100">
        <v>0.09951308581862446</v>
      </c>
      <c r="AF20" s="100">
        <v>0.26</v>
      </c>
      <c r="AG20" s="98">
        <v>304.32136335970785</v>
      </c>
      <c r="AH20" s="98">
        <v>334.7534996956786</v>
      </c>
      <c r="AI20" s="100">
        <v>0.01</v>
      </c>
      <c r="AJ20" s="100">
        <v>0.447099</v>
      </c>
      <c r="AK20" s="100">
        <v>0.388889</v>
      </c>
      <c r="AL20" s="100">
        <v>0.628672</v>
      </c>
      <c r="AM20" s="100">
        <v>0.3</v>
      </c>
      <c r="AN20" s="100">
        <v>0.428571</v>
      </c>
      <c r="AO20" s="98">
        <v>243.45709068776628</v>
      </c>
      <c r="AP20" s="158">
        <v>0.1608051872</v>
      </c>
      <c r="AQ20" s="100" t="s">
        <v>562</v>
      </c>
      <c r="AR20" s="100" t="s">
        <v>562</v>
      </c>
      <c r="AS20" s="98" t="s">
        <v>562</v>
      </c>
      <c r="AT20" s="98" t="s">
        <v>562</v>
      </c>
      <c r="AU20" s="98" t="s">
        <v>562</v>
      </c>
      <c r="AV20" s="98" t="s">
        <v>562</v>
      </c>
      <c r="AW20" s="98" t="s">
        <v>562</v>
      </c>
      <c r="AX20" s="98">
        <v>334.7534996956786</v>
      </c>
      <c r="AY20" s="98">
        <v>486.91418137553256</v>
      </c>
      <c r="AZ20" s="98">
        <v>578.2105903834449</v>
      </c>
      <c r="BA20" s="100" t="s">
        <v>562</v>
      </c>
      <c r="BB20" s="100" t="s">
        <v>562</v>
      </c>
      <c r="BC20" s="100" t="s">
        <v>562</v>
      </c>
      <c r="BD20" s="158">
        <v>0.06942426205</v>
      </c>
      <c r="BE20" s="158">
        <v>0.3168502998</v>
      </c>
      <c r="BF20" s="162">
        <v>293</v>
      </c>
      <c r="BG20" s="162">
        <v>18</v>
      </c>
      <c r="BH20" s="162">
        <v>851</v>
      </c>
      <c r="BI20" s="162">
        <v>220</v>
      </c>
      <c r="BJ20" s="162">
        <v>91</v>
      </c>
      <c r="BK20" s="97"/>
      <c r="BL20" s="97"/>
      <c r="BM20" s="97"/>
      <c r="BN20" s="97"/>
    </row>
    <row r="21" spans="1:66" ht="12.75">
      <c r="A21" s="79" t="s">
        <v>516</v>
      </c>
      <c r="B21" s="79" t="s">
        <v>287</v>
      </c>
      <c r="C21" s="79" t="s">
        <v>142</v>
      </c>
      <c r="D21" s="99">
        <v>11392</v>
      </c>
      <c r="E21" s="99">
        <v>771</v>
      </c>
      <c r="F21" s="99" t="s">
        <v>347</v>
      </c>
      <c r="G21" s="99">
        <v>25</v>
      </c>
      <c r="H21" s="99">
        <v>18</v>
      </c>
      <c r="I21" s="99">
        <v>99</v>
      </c>
      <c r="J21" s="99">
        <v>524</v>
      </c>
      <c r="K21" s="99">
        <v>18</v>
      </c>
      <c r="L21" s="99">
        <v>2550</v>
      </c>
      <c r="M21" s="99">
        <v>223</v>
      </c>
      <c r="N21" s="99">
        <v>112</v>
      </c>
      <c r="O21" s="99">
        <v>128</v>
      </c>
      <c r="P21" s="159">
        <v>128</v>
      </c>
      <c r="Q21" s="99">
        <v>8</v>
      </c>
      <c r="R21" s="99">
        <v>31</v>
      </c>
      <c r="S21" s="99">
        <v>44</v>
      </c>
      <c r="T21" s="99">
        <v>8</v>
      </c>
      <c r="U21" s="99">
        <v>12</v>
      </c>
      <c r="V21" s="99">
        <v>22</v>
      </c>
      <c r="W21" s="99">
        <v>39</v>
      </c>
      <c r="X21" s="99">
        <v>29</v>
      </c>
      <c r="Y21" s="99">
        <v>61</v>
      </c>
      <c r="Z21" s="99">
        <v>34</v>
      </c>
      <c r="AA21" s="99" t="s">
        <v>562</v>
      </c>
      <c r="AB21" s="99" t="s">
        <v>562</v>
      </c>
      <c r="AC21" s="99" t="s">
        <v>562</v>
      </c>
      <c r="AD21" s="98" t="s">
        <v>327</v>
      </c>
      <c r="AE21" s="100">
        <v>0.06767907303370786</v>
      </c>
      <c r="AF21" s="100">
        <v>0.23</v>
      </c>
      <c r="AG21" s="98">
        <v>219.45224719101122</v>
      </c>
      <c r="AH21" s="98">
        <v>158.0056179775281</v>
      </c>
      <c r="AI21" s="100">
        <v>0.009000000000000001</v>
      </c>
      <c r="AJ21" s="100">
        <v>0.624553</v>
      </c>
      <c r="AK21" s="100">
        <v>0.529412</v>
      </c>
      <c r="AL21" s="100">
        <v>0.761194</v>
      </c>
      <c r="AM21" s="100">
        <v>0.358521</v>
      </c>
      <c r="AN21" s="100">
        <v>0.408759</v>
      </c>
      <c r="AO21" s="98">
        <v>1123.5955056179776</v>
      </c>
      <c r="AP21" s="158">
        <v>0.8018306732</v>
      </c>
      <c r="AQ21" s="100">
        <v>0.0625</v>
      </c>
      <c r="AR21" s="100">
        <v>0.25806451612903225</v>
      </c>
      <c r="AS21" s="98">
        <v>386.23595505617976</v>
      </c>
      <c r="AT21" s="98">
        <v>70.2247191011236</v>
      </c>
      <c r="AU21" s="98">
        <v>105.33707865168539</v>
      </c>
      <c r="AV21" s="98">
        <v>193.11797752808988</v>
      </c>
      <c r="AW21" s="98">
        <v>342.34550561797755</v>
      </c>
      <c r="AX21" s="98">
        <v>254.56460674157304</v>
      </c>
      <c r="AY21" s="98">
        <v>535.4634831460675</v>
      </c>
      <c r="AZ21" s="98">
        <v>298.4550561797753</v>
      </c>
      <c r="BA21" s="101" t="s">
        <v>562</v>
      </c>
      <c r="BB21" s="101" t="s">
        <v>562</v>
      </c>
      <c r="BC21" s="101" t="s">
        <v>562</v>
      </c>
      <c r="BD21" s="158">
        <v>0.6689481354</v>
      </c>
      <c r="BE21" s="158">
        <v>0.9533792877</v>
      </c>
      <c r="BF21" s="162">
        <v>839</v>
      </c>
      <c r="BG21" s="162">
        <v>34</v>
      </c>
      <c r="BH21" s="162">
        <v>3350</v>
      </c>
      <c r="BI21" s="162">
        <v>622</v>
      </c>
      <c r="BJ21" s="162">
        <v>274</v>
      </c>
      <c r="BK21" s="97"/>
      <c r="BL21" s="97"/>
      <c r="BM21" s="97"/>
      <c r="BN21" s="97"/>
    </row>
    <row r="22" spans="1:66" ht="12.75">
      <c r="A22" s="79" t="s">
        <v>552</v>
      </c>
      <c r="B22" s="79" t="s">
        <v>323</v>
      </c>
      <c r="C22" s="79" t="s">
        <v>142</v>
      </c>
      <c r="D22" s="99">
        <v>4258</v>
      </c>
      <c r="E22" s="99">
        <v>231</v>
      </c>
      <c r="F22" s="99" t="s">
        <v>348</v>
      </c>
      <c r="G22" s="99" t="s">
        <v>562</v>
      </c>
      <c r="H22" s="99" t="s">
        <v>562</v>
      </c>
      <c r="I22" s="99">
        <v>22</v>
      </c>
      <c r="J22" s="99">
        <v>182</v>
      </c>
      <c r="K22" s="99">
        <v>75</v>
      </c>
      <c r="L22" s="99">
        <v>831</v>
      </c>
      <c r="M22" s="99">
        <v>49</v>
      </c>
      <c r="N22" s="99">
        <v>31</v>
      </c>
      <c r="O22" s="99">
        <v>10</v>
      </c>
      <c r="P22" s="159">
        <v>10</v>
      </c>
      <c r="Q22" s="99" t="s">
        <v>562</v>
      </c>
      <c r="R22" s="99" t="s">
        <v>562</v>
      </c>
      <c r="S22" s="99" t="s">
        <v>562</v>
      </c>
      <c r="T22" s="99" t="s">
        <v>562</v>
      </c>
      <c r="U22" s="99" t="s">
        <v>562</v>
      </c>
      <c r="V22" s="99" t="s">
        <v>562</v>
      </c>
      <c r="W22" s="99">
        <v>8</v>
      </c>
      <c r="X22" s="99" t="s">
        <v>562</v>
      </c>
      <c r="Y22" s="99">
        <v>17</v>
      </c>
      <c r="Z22" s="99">
        <v>8</v>
      </c>
      <c r="AA22" s="99" t="s">
        <v>562</v>
      </c>
      <c r="AB22" s="99" t="s">
        <v>562</v>
      </c>
      <c r="AC22" s="99" t="s">
        <v>562</v>
      </c>
      <c r="AD22" s="98" t="s">
        <v>327</v>
      </c>
      <c r="AE22" s="100">
        <v>0.05425082198215125</v>
      </c>
      <c r="AF22" s="100">
        <v>0.27</v>
      </c>
      <c r="AG22" s="98" t="s">
        <v>562</v>
      </c>
      <c r="AH22" s="98" t="s">
        <v>562</v>
      </c>
      <c r="AI22" s="100">
        <v>0.005</v>
      </c>
      <c r="AJ22" s="100">
        <v>0.60066</v>
      </c>
      <c r="AK22" s="100">
        <v>0.595238</v>
      </c>
      <c r="AL22" s="100">
        <v>0.752717</v>
      </c>
      <c r="AM22" s="100">
        <v>0.237864</v>
      </c>
      <c r="AN22" s="100">
        <v>0.313131</v>
      </c>
      <c r="AO22" s="98">
        <v>234.85204321277595</v>
      </c>
      <c r="AP22" s="158">
        <v>0.19249456410000002</v>
      </c>
      <c r="AQ22" s="100" t="s">
        <v>562</v>
      </c>
      <c r="AR22" s="100" t="s">
        <v>562</v>
      </c>
      <c r="AS22" s="98" t="s">
        <v>562</v>
      </c>
      <c r="AT22" s="98" t="s">
        <v>562</v>
      </c>
      <c r="AU22" s="98" t="s">
        <v>562</v>
      </c>
      <c r="AV22" s="98" t="s">
        <v>562</v>
      </c>
      <c r="AW22" s="98">
        <v>187.88163457022077</v>
      </c>
      <c r="AX22" s="98" t="s">
        <v>562</v>
      </c>
      <c r="AY22" s="98">
        <v>399.24847346171913</v>
      </c>
      <c r="AZ22" s="98">
        <v>187.88163457022077</v>
      </c>
      <c r="BA22" s="100" t="s">
        <v>562</v>
      </c>
      <c r="BB22" s="100" t="s">
        <v>562</v>
      </c>
      <c r="BC22" s="100" t="s">
        <v>562</v>
      </c>
      <c r="BD22" s="158">
        <v>0.09230862616999999</v>
      </c>
      <c r="BE22" s="158">
        <v>0.35400436399999996</v>
      </c>
      <c r="BF22" s="162">
        <v>303</v>
      </c>
      <c r="BG22" s="162">
        <v>126</v>
      </c>
      <c r="BH22" s="162">
        <v>1104</v>
      </c>
      <c r="BI22" s="162">
        <v>206</v>
      </c>
      <c r="BJ22" s="162">
        <v>99</v>
      </c>
      <c r="BK22" s="97"/>
      <c r="BL22" s="97"/>
      <c r="BM22" s="97"/>
      <c r="BN22" s="97"/>
    </row>
    <row r="23" spans="1:66" ht="12.75">
      <c r="A23" s="79" t="s">
        <v>541</v>
      </c>
      <c r="B23" s="79" t="s">
        <v>312</v>
      </c>
      <c r="C23" s="79" t="s">
        <v>142</v>
      </c>
      <c r="D23" s="99">
        <v>5748</v>
      </c>
      <c r="E23" s="99">
        <v>422</v>
      </c>
      <c r="F23" s="99" t="s">
        <v>350</v>
      </c>
      <c r="G23" s="99">
        <v>23</v>
      </c>
      <c r="H23" s="99">
        <v>10</v>
      </c>
      <c r="I23" s="99">
        <v>74</v>
      </c>
      <c r="J23" s="99">
        <v>201</v>
      </c>
      <c r="K23" s="99" t="s">
        <v>562</v>
      </c>
      <c r="L23" s="99">
        <v>936</v>
      </c>
      <c r="M23" s="99">
        <v>122</v>
      </c>
      <c r="N23" s="99">
        <v>55</v>
      </c>
      <c r="O23" s="99">
        <v>82</v>
      </c>
      <c r="P23" s="159">
        <v>82</v>
      </c>
      <c r="Q23" s="99">
        <v>9</v>
      </c>
      <c r="R23" s="99">
        <v>19</v>
      </c>
      <c r="S23" s="99">
        <v>11</v>
      </c>
      <c r="T23" s="99">
        <v>12</v>
      </c>
      <c r="U23" s="99">
        <v>8</v>
      </c>
      <c r="V23" s="99">
        <v>18</v>
      </c>
      <c r="W23" s="99">
        <v>31</v>
      </c>
      <c r="X23" s="99" t="s">
        <v>562</v>
      </c>
      <c r="Y23" s="99">
        <v>45</v>
      </c>
      <c r="Z23" s="99">
        <v>33</v>
      </c>
      <c r="AA23" s="99" t="s">
        <v>562</v>
      </c>
      <c r="AB23" s="99" t="s">
        <v>562</v>
      </c>
      <c r="AC23" s="99" t="s">
        <v>562</v>
      </c>
      <c r="AD23" s="98" t="s">
        <v>327</v>
      </c>
      <c r="AE23" s="100">
        <v>0.07341684064022269</v>
      </c>
      <c r="AF23" s="100">
        <v>0.15</v>
      </c>
      <c r="AG23" s="98">
        <v>400.1391788448156</v>
      </c>
      <c r="AH23" s="98">
        <v>173.97355601948504</v>
      </c>
      <c r="AI23" s="100">
        <v>0.013000000000000001</v>
      </c>
      <c r="AJ23" s="100">
        <v>0.584302</v>
      </c>
      <c r="AK23" s="100" t="s">
        <v>562</v>
      </c>
      <c r="AL23" s="100">
        <v>0.60661</v>
      </c>
      <c r="AM23" s="100">
        <v>0.380062</v>
      </c>
      <c r="AN23" s="100">
        <v>0.398551</v>
      </c>
      <c r="AO23" s="98">
        <v>1426.5831593597773</v>
      </c>
      <c r="AP23" s="158">
        <v>1.079524689</v>
      </c>
      <c r="AQ23" s="100">
        <v>0.10975609756097561</v>
      </c>
      <c r="AR23" s="100">
        <v>0.47368421052631576</v>
      </c>
      <c r="AS23" s="98">
        <v>191.37091162143355</v>
      </c>
      <c r="AT23" s="98">
        <v>208.76826722338205</v>
      </c>
      <c r="AU23" s="98">
        <v>139.17884481558804</v>
      </c>
      <c r="AV23" s="98">
        <v>313.1524008350731</v>
      </c>
      <c r="AW23" s="98">
        <v>539.3180236604036</v>
      </c>
      <c r="AX23" s="98" t="s">
        <v>562</v>
      </c>
      <c r="AY23" s="98">
        <v>782.8810020876826</v>
      </c>
      <c r="AZ23" s="98">
        <v>574.1127348643006</v>
      </c>
      <c r="BA23" s="100" t="s">
        <v>562</v>
      </c>
      <c r="BB23" s="100" t="s">
        <v>562</v>
      </c>
      <c r="BC23" s="100" t="s">
        <v>562</v>
      </c>
      <c r="BD23" s="158">
        <v>0.8585780334</v>
      </c>
      <c r="BE23" s="158">
        <v>1.339974823</v>
      </c>
      <c r="BF23" s="162">
        <v>344</v>
      </c>
      <c r="BG23" s="162" t="s">
        <v>562</v>
      </c>
      <c r="BH23" s="162">
        <v>1543</v>
      </c>
      <c r="BI23" s="162">
        <v>321</v>
      </c>
      <c r="BJ23" s="162">
        <v>138</v>
      </c>
      <c r="BK23" s="97"/>
      <c r="BL23" s="97"/>
      <c r="BM23" s="97"/>
      <c r="BN23" s="97"/>
    </row>
    <row r="24" spans="1:66" ht="12.75">
      <c r="A24" s="79" t="s">
        <v>524</v>
      </c>
      <c r="B24" s="79" t="s">
        <v>295</v>
      </c>
      <c r="C24" s="79" t="s">
        <v>142</v>
      </c>
      <c r="D24" s="99">
        <v>7253</v>
      </c>
      <c r="E24" s="99">
        <v>816</v>
      </c>
      <c r="F24" s="99" t="s">
        <v>349</v>
      </c>
      <c r="G24" s="99">
        <v>27</v>
      </c>
      <c r="H24" s="99">
        <v>7</v>
      </c>
      <c r="I24" s="99">
        <v>98</v>
      </c>
      <c r="J24" s="99">
        <v>535</v>
      </c>
      <c r="K24" s="99">
        <v>19</v>
      </c>
      <c r="L24" s="99">
        <v>1551</v>
      </c>
      <c r="M24" s="99">
        <v>276</v>
      </c>
      <c r="N24" s="99">
        <v>132</v>
      </c>
      <c r="O24" s="99">
        <v>134</v>
      </c>
      <c r="P24" s="159">
        <v>134</v>
      </c>
      <c r="Q24" s="99">
        <v>14</v>
      </c>
      <c r="R24" s="99">
        <v>23</v>
      </c>
      <c r="S24" s="99">
        <v>32</v>
      </c>
      <c r="T24" s="99">
        <v>16</v>
      </c>
      <c r="U24" s="99" t="s">
        <v>562</v>
      </c>
      <c r="V24" s="99">
        <v>28</v>
      </c>
      <c r="W24" s="99">
        <v>39</v>
      </c>
      <c r="X24" s="99">
        <v>20</v>
      </c>
      <c r="Y24" s="99">
        <v>42</v>
      </c>
      <c r="Z24" s="99">
        <v>15</v>
      </c>
      <c r="AA24" s="99" t="s">
        <v>562</v>
      </c>
      <c r="AB24" s="99" t="s">
        <v>562</v>
      </c>
      <c r="AC24" s="99" t="s">
        <v>562</v>
      </c>
      <c r="AD24" s="98" t="s">
        <v>327</v>
      </c>
      <c r="AE24" s="100">
        <v>0.11250517027436922</v>
      </c>
      <c r="AF24" s="100">
        <v>0.09</v>
      </c>
      <c r="AG24" s="98">
        <v>372.2597545843099</v>
      </c>
      <c r="AH24" s="98">
        <v>96.51178822556183</v>
      </c>
      <c r="AI24" s="100">
        <v>0.013999999999999999</v>
      </c>
      <c r="AJ24" s="100">
        <v>0.678934</v>
      </c>
      <c r="AK24" s="100">
        <v>0.703704</v>
      </c>
      <c r="AL24" s="100">
        <v>0.715736</v>
      </c>
      <c r="AM24" s="100">
        <v>0.485915</v>
      </c>
      <c r="AN24" s="100">
        <v>0.547718</v>
      </c>
      <c r="AO24" s="98">
        <v>1847.5113746036122</v>
      </c>
      <c r="AP24" s="158">
        <v>1.098638916</v>
      </c>
      <c r="AQ24" s="100">
        <v>0.1044776119402985</v>
      </c>
      <c r="AR24" s="100">
        <v>0.6086956521739131</v>
      </c>
      <c r="AS24" s="98">
        <v>441.196746173997</v>
      </c>
      <c r="AT24" s="98">
        <v>220.5983730869985</v>
      </c>
      <c r="AU24" s="98" t="s">
        <v>562</v>
      </c>
      <c r="AV24" s="98">
        <v>386.0471529022473</v>
      </c>
      <c r="AW24" s="98">
        <v>537.7085343995589</v>
      </c>
      <c r="AX24" s="98">
        <v>275.7479663587481</v>
      </c>
      <c r="AY24" s="98">
        <v>579.070729353371</v>
      </c>
      <c r="AZ24" s="98">
        <v>206.8109747690611</v>
      </c>
      <c r="BA24" s="100" t="s">
        <v>562</v>
      </c>
      <c r="BB24" s="100" t="s">
        <v>562</v>
      </c>
      <c r="BC24" s="100" t="s">
        <v>562</v>
      </c>
      <c r="BD24" s="158">
        <v>0.9205056763</v>
      </c>
      <c r="BE24" s="158">
        <v>1.3011868290000002</v>
      </c>
      <c r="BF24" s="162">
        <v>788</v>
      </c>
      <c r="BG24" s="162">
        <v>27</v>
      </c>
      <c r="BH24" s="162">
        <v>2167</v>
      </c>
      <c r="BI24" s="162">
        <v>568</v>
      </c>
      <c r="BJ24" s="162">
        <v>241</v>
      </c>
      <c r="BK24" s="97"/>
      <c r="BL24" s="97"/>
      <c r="BM24" s="97"/>
      <c r="BN24" s="97"/>
    </row>
    <row r="25" spans="1:66" ht="12.75">
      <c r="A25" s="79" t="s">
        <v>518</v>
      </c>
      <c r="B25" s="79" t="s">
        <v>289</v>
      </c>
      <c r="C25" s="79" t="s">
        <v>142</v>
      </c>
      <c r="D25" s="99">
        <v>10466</v>
      </c>
      <c r="E25" s="99">
        <v>683</v>
      </c>
      <c r="F25" s="99" t="s">
        <v>347</v>
      </c>
      <c r="G25" s="99">
        <v>21</v>
      </c>
      <c r="H25" s="99">
        <v>15</v>
      </c>
      <c r="I25" s="99">
        <v>78</v>
      </c>
      <c r="J25" s="99">
        <v>313</v>
      </c>
      <c r="K25" s="99" t="s">
        <v>562</v>
      </c>
      <c r="L25" s="99">
        <v>1757</v>
      </c>
      <c r="M25" s="99">
        <v>131</v>
      </c>
      <c r="N25" s="99">
        <v>53</v>
      </c>
      <c r="O25" s="99">
        <v>151</v>
      </c>
      <c r="P25" s="159">
        <v>151</v>
      </c>
      <c r="Q25" s="99">
        <v>7</v>
      </c>
      <c r="R25" s="99">
        <v>21</v>
      </c>
      <c r="S25" s="99">
        <v>28</v>
      </c>
      <c r="T25" s="99">
        <v>14</v>
      </c>
      <c r="U25" s="99">
        <v>8</v>
      </c>
      <c r="V25" s="99">
        <v>55</v>
      </c>
      <c r="W25" s="99">
        <v>65</v>
      </c>
      <c r="X25" s="99">
        <v>36</v>
      </c>
      <c r="Y25" s="99">
        <v>100</v>
      </c>
      <c r="Z25" s="99">
        <v>35</v>
      </c>
      <c r="AA25" s="99" t="s">
        <v>562</v>
      </c>
      <c r="AB25" s="99" t="s">
        <v>562</v>
      </c>
      <c r="AC25" s="99" t="s">
        <v>562</v>
      </c>
      <c r="AD25" s="98" t="s">
        <v>327</v>
      </c>
      <c r="AE25" s="100">
        <v>0.06525893369004396</v>
      </c>
      <c r="AF25" s="100">
        <v>0.19</v>
      </c>
      <c r="AG25" s="98">
        <v>200.64972291228742</v>
      </c>
      <c r="AH25" s="98">
        <v>143.32123065163387</v>
      </c>
      <c r="AI25" s="100">
        <v>0.006999999999999999</v>
      </c>
      <c r="AJ25" s="100">
        <v>0.510604</v>
      </c>
      <c r="AK25" s="100" t="s">
        <v>562</v>
      </c>
      <c r="AL25" s="100">
        <v>0.599659</v>
      </c>
      <c r="AM25" s="100">
        <v>0.289183</v>
      </c>
      <c r="AN25" s="100">
        <v>0.299435</v>
      </c>
      <c r="AO25" s="98">
        <v>1442.7670552264476</v>
      </c>
      <c r="AP25" s="158">
        <v>1.131687622</v>
      </c>
      <c r="AQ25" s="100">
        <v>0.046357615894039736</v>
      </c>
      <c r="AR25" s="100">
        <v>0.3333333333333333</v>
      </c>
      <c r="AS25" s="98">
        <v>267.5329638830499</v>
      </c>
      <c r="AT25" s="98">
        <v>133.76648194152494</v>
      </c>
      <c r="AU25" s="98">
        <v>76.4379896808714</v>
      </c>
      <c r="AV25" s="98">
        <v>525.5111790559909</v>
      </c>
      <c r="AW25" s="98">
        <v>621.0586661570801</v>
      </c>
      <c r="AX25" s="98">
        <v>343.9709535639213</v>
      </c>
      <c r="AY25" s="98">
        <v>955.4748710108925</v>
      </c>
      <c r="AZ25" s="98">
        <v>334.41620485381236</v>
      </c>
      <c r="BA25" s="100" t="s">
        <v>562</v>
      </c>
      <c r="BB25" s="100" t="s">
        <v>562</v>
      </c>
      <c r="BC25" s="100" t="s">
        <v>562</v>
      </c>
      <c r="BD25" s="158">
        <v>0.9583837891</v>
      </c>
      <c r="BE25" s="158">
        <v>1.327273407</v>
      </c>
      <c r="BF25" s="162">
        <v>613</v>
      </c>
      <c r="BG25" s="162" t="s">
        <v>562</v>
      </c>
      <c r="BH25" s="162">
        <v>2930</v>
      </c>
      <c r="BI25" s="162">
        <v>453</v>
      </c>
      <c r="BJ25" s="162">
        <v>177</v>
      </c>
      <c r="BK25" s="97"/>
      <c r="BL25" s="97"/>
      <c r="BM25" s="97"/>
      <c r="BN25" s="97"/>
    </row>
    <row r="26" spans="1:66" ht="12.75">
      <c r="A26" s="79" t="s">
        <v>511</v>
      </c>
      <c r="B26" s="79" t="s">
        <v>282</v>
      </c>
      <c r="C26" s="79" t="s">
        <v>142</v>
      </c>
      <c r="D26" s="99">
        <v>14053</v>
      </c>
      <c r="E26" s="99">
        <v>1522</v>
      </c>
      <c r="F26" s="99" t="s">
        <v>350</v>
      </c>
      <c r="G26" s="99">
        <v>46</v>
      </c>
      <c r="H26" s="99">
        <v>21</v>
      </c>
      <c r="I26" s="99">
        <v>202</v>
      </c>
      <c r="J26" s="99">
        <v>1128</v>
      </c>
      <c r="K26" s="99">
        <v>314</v>
      </c>
      <c r="L26" s="99">
        <v>2975</v>
      </c>
      <c r="M26" s="99">
        <v>580</v>
      </c>
      <c r="N26" s="99">
        <v>260</v>
      </c>
      <c r="O26" s="99">
        <v>256</v>
      </c>
      <c r="P26" s="159">
        <v>256</v>
      </c>
      <c r="Q26" s="99">
        <v>25</v>
      </c>
      <c r="R26" s="99">
        <v>52</v>
      </c>
      <c r="S26" s="99">
        <v>52</v>
      </c>
      <c r="T26" s="99">
        <v>32</v>
      </c>
      <c r="U26" s="99">
        <v>11</v>
      </c>
      <c r="V26" s="99">
        <v>46</v>
      </c>
      <c r="W26" s="99">
        <v>81</v>
      </c>
      <c r="X26" s="99">
        <v>34</v>
      </c>
      <c r="Y26" s="99">
        <v>93</v>
      </c>
      <c r="Z26" s="99">
        <v>49</v>
      </c>
      <c r="AA26" s="99" t="s">
        <v>562</v>
      </c>
      <c r="AB26" s="99" t="s">
        <v>562</v>
      </c>
      <c r="AC26" s="99" t="s">
        <v>562</v>
      </c>
      <c r="AD26" s="98" t="s">
        <v>327</v>
      </c>
      <c r="AE26" s="100">
        <v>0.10830427666690387</v>
      </c>
      <c r="AF26" s="100">
        <v>0.13</v>
      </c>
      <c r="AG26" s="98">
        <v>327.33224222585926</v>
      </c>
      <c r="AH26" s="98">
        <v>149.43428449441402</v>
      </c>
      <c r="AI26" s="100">
        <v>0.013999999999999999</v>
      </c>
      <c r="AJ26" s="100">
        <v>0.705</v>
      </c>
      <c r="AK26" s="100">
        <v>0.69011</v>
      </c>
      <c r="AL26" s="100">
        <v>0.732037</v>
      </c>
      <c r="AM26" s="100">
        <v>0.478943</v>
      </c>
      <c r="AN26" s="100">
        <v>0.500963</v>
      </c>
      <c r="AO26" s="98">
        <v>1821.6750871699992</v>
      </c>
      <c r="AP26" s="158">
        <v>1.099932861</v>
      </c>
      <c r="AQ26" s="100">
        <v>0.09765625</v>
      </c>
      <c r="AR26" s="100">
        <v>0.4807692307692308</v>
      </c>
      <c r="AS26" s="98">
        <v>370.0277520814061</v>
      </c>
      <c r="AT26" s="98">
        <v>227.7093858962499</v>
      </c>
      <c r="AU26" s="98">
        <v>78.27510140183591</v>
      </c>
      <c r="AV26" s="98">
        <v>327.33224222585926</v>
      </c>
      <c r="AW26" s="98">
        <v>576.3893830498826</v>
      </c>
      <c r="AX26" s="98">
        <v>241.94122251476554</v>
      </c>
      <c r="AY26" s="98">
        <v>661.7804027609764</v>
      </c>
      <c r="AZ26" s="98">
        <v>348.67999715363266</v>
      </c>
      <c r="BA26" s="100" t="s">
        <v>562</v>
      </c>
      <c r="BB26" s="100" t="s">
        <v>562</v>
      </c>
      <c r="BC26" s="100" t="s">
        <v>562</v>
      </c>
      <c r="BD26" s="158">
        <v>0.9693080902</v>
      </c>
      <c r="BE26" s="158">
        <v>1.243254013</v>
      </c>
      <c r="BF26" s="162">
        <v>1600</v>
      </c>
      <c r="BG26" s="162">
        <v>455</v>
      </c>
      <c r="BH26" s="162">
        <v>4064</v>
      </c>
      <c r="BI26" s="162">
        <v>1211</v>
      </c>
      <c r="BJ26" s="162">
        <v>519</v>
      </c>
      <c r="BK26" s="97"/>
      <c r="BL26" s="97"/>
      <c r="BM26" s="97"/>
      <c r="BN26" s="97"/>
    </row>
    <row r="27" spans="1:66" ht="12.75">
      <c r="A27" s="79" t="s">
        <v>550</v>
      </c>
      <c r="B27" s="79" t="s">
        <v>321</v>
      </c>
      <c r="C27" s="79" t="s">
        <v>142</v>
      </c>
      <c r="D27" s="99">
        <v>4111</v>
      </c>
      <c r="E27" s="99">
        <v>326</v>
      </c>
      <c r="F27" s="99" t="s">
        <v>348</v>
      </c>
      <c r="G27" s="99">
        <v>9</v>
      </c>
      <c r="H27" s="99">
        <v>7</v>
      </c>
      <c r="I27" s="99">
        <v>30</v>
      </c>
      <c r="J27" s="99">
        <v>186</v>
      </c>
      <c r="K27" s="99">
        <v>87</v>
      </c>
      <c r="L27" s="99">
        <v>888</v>
      </c>
      <c r="M27" s="99">
        <v>48</v>
      </c>
      <c r="N27" s="99">
        <v>28</v>
      </c>
      <c r="O27" s="99">
        <v>77</v>
      </c>
      <c r="P27" s="159">
        <v>77</v>
      </c>
      <c r="Q27" s="99">
        <v>6</v>
      </c>
      <c r="R27" s="99">
        <v>14</v>
      </c>
      <c r="S27" s="99">
        <v>13</v>
      </c>
      <c r="T27" s="99">
        <v>8</v>
      </c>
      <c r="U27" s="99" t="s">
        <v>562</v>
      </c>
      <c r="V27" s="99">
        <v>11</v>
      </c>
      <c r="W27" s="99">
        <v>18</v>
      </c>
      <c r="X27" s="99">
        <v>8</v>
      </c>
      <c r="Y27" s="99">
        <v>34</v>
      </c>
      <c r="Z27" s="99">
        <v>13</v>
      </c>
      <c r="AA27" s="99" t="s">
        <v>562</v>
      </c>
      <c r="AB27" s="99" t="s">
        <v>562</v>
      </c>
      <c r="AC27" s="99" t="s">
        <v>562</v>
      </c>
      <c r="AD27" s="98" t="s">
        <v>327</v>
      </c>
      <c r="AE27" s="100">
        <v>0.07929944052541961</v>
      </c>
      <c r="AF27" s="100">
        <v>0.27</v>
      </c>
      <c r="AG27" s="98">
        <v>218.92483580637315</v>
      </c>
      <c r="AH27" s="98">
        <v>170.2748722938458</v>
      </c>
      <c r="AI27" s="100">
        <v>0.006999999999999999</v>
      </c>
      <c r="AJ27" s="100">
        <v>0.598071</v>
      </c>
      <c r="AK27" s="100">
        <v>0.564935</v>
      </c>
      <c r="AL27" s="100">
        <v>0.751905</v>
      </c>
      <c r="AM27" s="100">
        <v>0.247423</v>
      </c>
      <c r="AN27" s="100">
        <v>0.325581</v>
      </c>
      <c r="AO27" s="98">
        <v>1873.0235952323035</v>
      </c>
      <c r="AP27" s="158">
        <v>1.328965149</v>
      </c>
      <c r="AQ27" s="100">
        <v>0.07792207792207792</v>
      </c>
      <c r="AR27" s="100">
        <v>0.42857142857142855</v>
      </c>
      <c r="AS27" s="98">
        <v>316.2247628314279</v>
      </c>
      <c r="AT27" s="98">
        <v>194.59985405010946</v>
      </c>
      <c r="AU27" s="98" t="s">
        <v>562</v>
      </c>
      <c r="AV27" s="98">
        <v>267.5747993189005</v>
      </c>
      <c r="AW27" s="98">
        <v>437.8496716127463</v>
      </c>
      <c r="AX27" s="98">
        <v>194.59985405010946</v>
      </c>
      <c r="AY27" s="98">
        <v>827.0493797129652</v>
      </c>
      <c r="AZ27" s="98">
        <v>316.2247628314279</v>
      </c>
      <c r="BA27" s="100" t="s">
        <v>562</v>
      </c>
      <c r="BB27" s="100" t="s">
        <v>562</v>
      </c>
      <c r="BC27" s="100" t="s">
        <v>562</v>
      </c>
      <c r="BD27" s="158">
        <v>1.048798447</v>
      </c>
      <c r="BE27" s="158">
        <v>1.660978394</v>
      </c>
      <c r="BF27" s="162">
        <v>311</v>
      </c>
      <c r="BG27" s="162">
        <v>154</v>
      </c>
      <c r="BH27" s="162">
        <v>1181</v>
      </c>
      <c r="BI27" s="162">
        <v>194</v>
      </c>
      <c r="BJ27" s="162">
        <v>86</v>
      </c>
      <c r="BK27" s="97"/>
      <c r="BL27" s="97"/>
      <c r="BM27" s="97"/>
      <c r="BN27" s="97"/>
    </row>
    <row r="28" spans="1:66" ht="12.75">
      <c r="A28" s="79" t="s">
        <v>531</v>
      </c>
      <c r="B28" s="79" t="s">
        <v>302</v>
      </c>
      <c r="C28" s="79" t="s">
        <v>142</v>
      </c>
      <c r="D28" s="99">
        <v>10771</v>
      </c>
      <c r="E28" s="99">
        <v>664</v>
      </c>
      <c r="F28" s="99" t="s">
        <v>348</v>
      </c>
      <c r="G28" s="99">
        <v>19</v>
      </c>
      <c r="H28" s="99">
        <v>15</v>
      </c>
      <c r="I28" s="99">
        <v>82</v>
      </c>
      <c r="J28" s="99">
        <v>453</v>
      </c>
      <c r="K28" s="99" t="s">
        <v>562</v>
      </c>
      <c r="L28" s="99">
        <v>2053</v>
      </c>
      <c r="M28" s="99">
        <v>158</v>
      </c>
      <c r="N28" s="99">
        <v>71</v>
      </c>
      <c r="O28" s="99">
        <v>140</v>
      </c>
      <c r="P28" s="159">
        <v>140</v>
      </c>
      <c r="Q28" s="99">
        <v>14</v>
      </c>
      <c r="R28" s="99">
        <v>28</v>
      </c>
      <c r="S28" s="99">
        <v>40</v>
      </c>
      <c r="T28" s="99">
        <v>27</v>
      </c>
      <c r="U28" s="99" t="s">
        <v>562</v>
      </c>
      <c r="V28" s="99">
        <v>26</v>
      </c>
      <c r="W28" s="99">
        <v>52</v>
      </c>
      <c r="X28" s="99">
        <v>13</v>
      </c>
      <c r="Y28" s="99">
        <v>71</v>
      </c>
      <c r="Z28" s="99">
        <v>33</v>
      </c>
      <c r="AA28" s="99" t="s">
        <v>562</v>
      </c>
      <c r="AB28" s="99" t="s">
        <v>562</v>
      </c>
      <c r="AC28" s="99" t="s">
        <v>562</v>
      </c>
      <c r="AD28" s="98" t="s">
        <v>327</v>
      </c>
      <c r="AE28" s="100">
        <v>0.061647015133228115</v>
      </c>
      <c r="AF28" s="100">
        <v>0.24</v>
      </c>
      <c r="AG28" s="98">
        <v>176.39959149568284</v>
      </c>
      <c r="AH28" s="98">
        <v>139.26283539132857</v>
      </c>
      <c r="AI28" s="100">
        <v>0.008</v>
      </c>
      <c r="AJ28" s="100">
        <v>0.607239</v>
      </c>
      <c r="AK28" s="100" t="s">
        <v>562</v>
      </c>
      <c r="AL28" s="100">
        <v>0.713343</v>
      </c>
      <c r="AM28" s="100">
        <v>0.305019</v>
      </c>
      <c r="AN28" s="100">
        <v>0.322727</v>
      </c>
      <c r="AO28" s="98">
        <v>1299.7864636524</v>
      </c>
      <c r="AP28" s="158">
        <v>1.005412064</v>
      </c>
      <c r="AQ28" s="100">
        <v>0.1</v>
      </c>
      <c r="AR28" s="100">
        <v>0.5</v>
      </c>
      <c r="AS28" s="98">
        <v>371.3675610435428</v>
      </c>
      <c r="AT28" s="98">
        <v>250.67310370439142</v>
      </c>
      <c r="AU28" s="98" t="s">
        <v>562</v>
      </c>
      <c r="AV28" s="98">
        <v>241.38891467830285</v>
      </c>
      <c r="AW28" s="98">
        <v>482.7778293566057</v>
      </c>
      <c r="AX28" s="98">
        <v>120.69445733915143</v>
      </c>
      <c r="AY28" s="98">
        <v>659.1774208522886</v>
      </c>
      <c r="AZ28" s="98">
        <v>306.37823786092287</v>
      </c>
      <c r="BA28" s="100" t="s">
        <v>562</v>
      </c>
      <c r="BB28" s="100" t="s">
        <v>562</v>
      </c>
      <c r="BC28" s="100" t="s">
        <v>562</v>
      </c>
      <c r="BD28" s="158">
        <v>0.8457711028999999</v>
      </c>
      <c r="BE28" s="158">
        <v>1.186425629</v>
      </c>
      <c r="BF28" s="162">
        <v>746</v>
      </c>
      <c r="BG28" s="162" t="s">
        <v>562</v>
      </c>
      <c r="BH28" s="162">
        <v>2878</v>
      </c>
      <c r="BI28" s="162">
        <v>518</v>
      </c>
      <c r="BJ28" s="162">
        <v>220</v>
      </c>
      <c r="BK28" s="97"/>
      <c r="BL28" s="97"/>
      <c r="BM28" s="97"/>
      <c r="BN28" s="97"/>
    </row>
    <row r="29" spans="1:66" ht="12.75">
      <c r="A29" s="79" t="s">
        <v>537</v>
      </c>
      <c r="B29" s="79" t="s">
        <v>308</v>
      </c>
      <c r="C29" s="79" t="s">
        <v>142</v>
      </c>
      <c r="D29" s="99">
        <v>7789</v>
      </c>
      <c r="E29" s="99">
        <v>419</v>
      </c>
      <c r="F29" s="99" t="s">
        <v>350</v>
      </c>
      <c r="G29" s="99">
        <v>15</v>
      </c>
      <c r="H29" s="99">
        <v>12</v>
      </c>
      <c r="I29" s="99">
        <v>59</v>
      </c>
      <c r="J29" s="99">
        <v>298</v>
      </c>
      <c r="K29" s="99">
        <v>37</v>
      </c>
      <c r="L29" s="99">
        <v>2038</v>
      </c>
      <c r="M29" s="99">
        <v>122</v>
      </c>
      <c r="N29" s="99">
        <v>55</v>
      </c>
      <c r="O29" s="99">
        <v>123</v>
      </c>
      <c r="P29" s="159">
        <v>123</v>
      </c>
      <c r="Q29" s="99" t="s">
        <v>562</v>
      </c>
      <c r="R29" s="99">
        <v>17</v>
      </c>
      <c r="S29" s="99">
        <v>29</v>
      </c>
      <c r="T29" s="99">
        <v>11</v>
      </c>
      <c r="U29" s="99">
        <v>6</v>
      </c>
      <c r="V29" s="99">
        <v>34</v>
      </c>
      <c r="W29" s="99">
        <v>20</v>
      </c>
      <c r="X29" s="99">
        <v>16</v>
      </c>
      <c r="Y29" s="99">
        <v>37</v>
      </c>
      <c r="Z29" s="99">
        <v>26</v>
      </c>
      <c r="AA29" s="99" t="s">
        <v>562</v>
      </c>
      <c r="AB29" s="99" t="s">
        <v>562</v>
      </c>
      <c r="AC29" s="99" t="s">
        <v>562</v>
      </c>
      <c r="AD29" s="98" t="s">
        <v>327</v>
      </c>
      <c r="AE29" s="100">
        <v>0.053793811785851846</v>
      </c>
      <c r="AF29" s="100">
        <v>0.16</v>
      </c>
      <c r="AG29" s="98">
        <v>192.57927846963668</v>
      </c>
      <c r="AH29" s="98">
        <v>154.06342277570934</v>
      </c>
      <c r="AI29" s="100">
        <v>0.008</v>
      </c>
      <c r="AJ29" s="100">
        <v>0.582031</v>
      </c>
      <c r="AK29" s="100">
        <v>0.474359</v>
      </c>
      <c r="AL29" s="100">
        <v>0.810983</v>
      </c>
      <c r="AM29" s="100">
        <v>0.354651</v>
      </c>
      <c r="AN29" s="100">
        <v>0.395683</v>
      </c>
      <c r="AO29" s="98">
        <v>1579.1500834510207</v>
      </c>
      <c r="AP29" s="158">
        <v>1.242737274</v>
      </c>
      <c r="AQ29" s="100" t="s">
        <v>562</v>
      </c>
      <c r="AR29" s="100" t="s">
        <v>562</v>
      </c>
      <c r="AS29" s="98">
        <v>372.3199383746309</v>
      </c>
      <c r="AT29" s="98">
        <v>141.2248042110669</v>
      </c>
      <c r="AU29" s="98">
        <v>77.03171138785467</v>
      </c>
      <c r="AV29" s="98">
        <v>436.51303119784313</v>
      </c>
      <c r="AW29" s="98">
        <v>256.7723712928489</v>
      </c>
      <c r="AX29" s="98">
        <v>205.41789703427912</v>
      </c>
      <c r="AY29" s="98">
        <v>475.02888689177047</v>
      </c>
      <c r="AZ29" s="98">
        <v>333.8040826807036</v>
      </c>
      <c r="BA29" s="100" t="s">
        <v>562</v>
      </c>
      <c r="BB29" s="100" t="s">
        <v>562</v>
      </c>
      <c r="BC29" s="100" t="s">
        <v>562</v>
      </c>
      <c r="BD29" s="158">
        <v>1.0328361510000001</v>
      </c>
      <c r="BE29" s="158">
        <v>1.482761536</v>
      </c>
      <c r="BF29" s="162">
        <v>512</v>
      </c>
      <c r="BG29" s="162">
        <v>78</v>
      </c>
      <c r="BH29" s="162">
        <v>2513</v>
      </c>
      <c r="BI29" s="162">
        <v>344</v>
      </c>
      <c r="BJ29" s="162">
        <v>139</v>
      </c>
      <c r="BK29" s="97"/>
      <c r="BL29" s="97"/>
      <c r="BM29" s="97"/>
      <c r="BN29" s="97"/>
    </row>
    <row r="30" spans="1:66" ht="12.75">
      <c r="A30" s="79" t="s">
        <v>525</v>
      </c>
      <c r="B30" s="79" t="s">
        <v>296</v>
      </c>
      <c r="C30" s="79" t="s">
        <v>142</v>
      </c>
      <c r="D30" s="99">
        <v>6792</v>
      </c>
      <c r="E30" s="99">
        <v>254</v>
      </c>
      <c r="F30" s="99" t="s">
        <v>348</v>
      </c>
      <c r="G30" s="99">
        <v>12</v>
      </c>
      <c r="H30" s="99" t="s">
        <v>562</v>
      </c>
      <c r="I30" s="99">
        <v>53</v>
      </c>
      <c r="J30" s="99">
        <v>146</v>
      </c>
      <c r="K30" s="99">
        <v>29</v>
      </c>
      <c r="L30" s="99">
        <v>1194</v>
      </c>
      <c r="M30" s="99">
        <v>41</v>
      </c>
      <c r="N30" s="99">
        <v>23</v>
      </c>
      <c r="O30" s="99">
        <v>79</v>
      </c>
      <c r="P30" s="159">
        <v>79</v>
      </c>
      <c r="Q30" s="99" t="s">
        <v>562</v>
      </c>
      <c r="R30" s="99">
        <v>8</v>
      </c>
      <c r="S30" s="99">
        <v>24</v>
      </c>
      <c r="T30" s="99">
        <v>10</v>
      </c>
      <c r="U30" s="99" t="s">
        <v>562</v>
      </c>
      <c r="V30" s="99">
        <v>12</v>
      </c>
      <c r="W30" s="99">
        <v>25</v>
      </c>
      <c r="X30" s="99">
        <v>11</v>
      </c>
      <c r="Y30" s="99">
        <v>39</v>
      </c>
      <c r="Z30" s="99">
        <v>17</v>
      </c>
      <c r="AA30" s="99" t="s">
        <v>562</v>
      </c>
      <c r="AB30" s="99" t="s">
        <v>562</v>
      </c>
      <c r="AC30" s="99" t="s">
        <v>562</v>
      </c>
      <c r="AD30" s="98" t="s">
        <v>327</v>
      </c>
      <c r="AE30" s="100">
        <v>0.03739693757361602</v>
      </c>
      <c r="AF30" s="100">
        <v>0.25</v>
      </c>
      <c r="AG30" s="98">
        <v>176.67844522968198</v>
      </c>
      <c r="AH30" s="98" t="s">
        <v>562</v>
      </c>
      <c r="AI30" s="100">
        <v>0.008</v>
      </c>
      <c r="AJ30" s="100">
        <v>0.460568</v>
      </c>
      <c r="AK30" s="100">
        <v>0.439394</v>
      </c>
      <c r="AL30" s="100">
        <v>0.591382</v>
      </c>
      <c r="AM30" s="100">
        <v>0.20197</v>
      </c>
      <c r="AN30" s="100">
        <v>0.25</v>
      </c>
      <c r="AO30" s="98">
        <v>1163.133097762073</v>
      </c>
      <c r="AP30" s="158">
        <v>1.031772079</v>
      </c>
      <c r="AQ30" s="100" t="s">
        <v>562</v>
      </c>
      <c r="AR30" s="100" t="s">
        <v>562</v>
      </c>
      <c r="AS30" s="98">
        <v>353.35689045936397</v>
      </c>
      <c r="AT30" s="98">
        <v>147.23203769140164</v>
      </c>
      <c r="AU30" s="98" t="s">
        <v>562</v>
      </c>
      <c r="AV30" s="98">
        <v>176.67844522968198</v>
      </c>
      <c r="AW30" s="98">
        <v>368.0800942285041</v>
      </c>
      <c r="AX30" s="98">
        <v>161.95524146054183</v>
      </c>
      <c r="AY30" s="98">
        <v>574.2049469964664</v>
      </c>
      <c r="AZ30" s="98">
        <v>250.2944640753828</v>
      </c>
      <c r="BA30" s="100" t="s">
        <v>562</v>
      </c>
      <c r="BB30" s="100" t="s">
        <v>562</v>
      </c>
      <c r="BC30" s="100" t="s">
        <v>562</v>
      </c>
      <c r="BD30" s="158">
        <v>0.8168636322</v>
      </c>
      <c r="BE30" s="158">
        <v>1.2858958440000001</v>
      </c>
      <c r="BF30" s="162">
        <v>317</v>
      </c>
      <c r="BG30" s="162">
        <v>66</v>
      </c>
      <c r="BH30" s="162">
        <v>2019</v>
      </c>
      <c r="BI30" s="162">
        <v>203</v>
      </c>
      <c r="BJ30" s="162">
        <v>92</v>
      </c>
      <c r="BK30" s="97"/>
      <c r="BL30" s="97"/>
      <c r="BM30" s="97"/>
      <c r="BN30" s="97"/>
    </row>
    <row r="31" spans="1:66" ht="12.75">
      <c r="A31" s="79" t="s">
        <v>536</v>
      </c>
      <c r="B31" s="79" t="s">
        <v>307</v>
      </c>
      <c r="C31" s="79" t="s">
        <v>142</v>
      </c>
      <c r="D31" s="99">
        <v>5695</v>
      </c>
      <c r="E31" s="99">
        <v>557</v>
      </c>
      <c r="F31" s="99" t="s">
        <v>348</v>
      </c>
      <c r="G31" s="99">
        <v>28</v>
      </c>
      <c r="H31" s="99">
        <v>9</v>
      </c>
      <c r="I31" s="99">
        <v>60</v>
      </c>
      <c r="J31" s="99">
        <v>282</v>
      </c>
      <c r="K31" s="99" t="s">
        <v>562</v>
      </c>
      <c r="L31" s="99">
        <v>1000</v>
      </c>
      <c r="M31" s="99">
        <v>143</v>
      </c>
      <c r="N31" s="99">
        <v>70</v>
      </c>
      <c r="O31" s="99">
        <v>88</v>
      </c>
      <c r="P31" s="159">
        <v>88</v>
      </c>
      <c r="Q31" s="99">
        <v>11</v>
      </c>
      <c r="R31" s="99">
        <v>25</v>
      </c>
      <c r="S31" s="99">
        <v>24</v>
      </c>
      <c r="T31" s="99">
        <v>10</v>
      </c>
      <c r="U31" s="99" t="s">
        <v>562</v>
      </c>
      <c r="V31" s="99">
        <v>12</v>
      </c>
      <c r="W31" s="99">
        <v>35</v>
      </c>
      <c r="X31" s="99">
        <v>7</v>
      </c>
      <c r="Y31" s="99">
        <v>59</v>
      </c>
      <c r="Z31" s="99">
        <v>27</v>
      </c>
      <c r="AA31" s="99" t="s">
        <v>562</v>
      </c>
      <c r="AB31" s="99" t="s">
        <v>562</v>
      </c>
      <c r="AC31" s="99" t="s">
        <v>562</v>
      </c>
      <c r="AD31" s="98" t="s">
        <v>327</v>
      </c>
      <c r="AE31" s="100">
        <v>0.09780509218612818</v>
      </c>
      <c r="AF31" s="100">
        <v>0.28</v>
      </c>
      <c r="AG31" s="98">
        <v>491.65935030728707</v>
      </c>
      <c r="AH31" s="98">
        <v>158.03336259877085</v>
      </c>
      <c r="AI31" s="100">
        <v>0.011000000000000001</v>
      </c>
      <c r="AJ31" s="100">
        <v>0.621145</v>
      </c>
      <c r="AK31" s="100" t="s">
        <v>562</v>
      </c>
      <c r="AL31" s="100">
        <v>0.65445</v>
      </c>
      <c r="AM31" s="100">
        <v>0.401685</v>
      </c>
      <c r="AN31" s="100">
        <v>0.434783</v>
      </c>
      <c r="AO31" s="98">
        <v>1545.2151009657593</v>
      </c>
      <c r="AP31" s="158">
        <v>1.040190506</v>
      </c>
      <c r="AQ31" s="100">
        <v>0.125</v>
      </c>
      <c r="AR31" s="100">
        <v>0.44</v>
      </c>
      <c r="AS31" s="98">
        <v>421.42230026338893</v>
      </c>
      <c r="AT31" s="98">
        <v>175.5926251097454</v>
      </c>
      <c r="AU31" s="98" t="s">
        <v>562</v>
      </c>
      <c r="AV31" s="98">
        <v>210.71115013169447</v>
      </c>
      <c r="AW31" s="98">
        <v>614.5741878841088</v>
      </c>
      <c r="AX31" s="98">
        <v>122.91483757682177</v>
      </c>
      <c r="AY31" s="98">
        <v>1035.9964881474978</v>
      </c>
      <c r="AZ31" s="98">
        <v>474.10008779631255</v>
      </c>
      <c r="BA31" s="100" t="s">
        <v>562</v>
      </c>
      <c r="BB31" s="100" t="s">
        <v>562</v>
      </c>
      <c r="BC31" s="100" t="s">
        <v>562</v>
      </c>
      <c r="BD31" s="158">
        <v>0.8342631531000001</v>
      </c>
      <c r="BE31" s="158">
        <v>1.281543732</v>
      </c>
      <c r="BF31" s="162">
        <v>454</v>
      </c>
      <c r="BG31" s="162" t="s">
        <v>562</v>
      </c>
      <c r="BH31" s="162">
        <v>1528</v>
      </c>
      <c r="BI31" s="162">
        <v>356</v>
      </c>
      <c r="BJ31" s="162">
        <v>161</v>
      </c>
      <c r="BK31" s="97"/>
      <c r="BL31" s="97"/>
      <c r="BM31" s="97"/>
      <c r="BN31" s="97"/>
    </row>
    <row r="32" spans="1:66" ht="12.75">
      <c r="A32" s="79" t="s">
        <v>527</v>
      </c>
      <c r="B32" s="79" t="s">
        <v>298</v>
      </c>
      <c r="C32" s="79" t="s">
        <v>142</v>
      </c>
      <c r="D32" s="99">
        <v>4604</v>
      </c>
      <c r="E32" s="99">
        <v>338</v>
      </c>
      <c r="F32" s="99" t="s">
        <v>348</v>
      </c>
      <c r="G32" s="99">
        <v>10</v>
      </c>
      <c r="H32" s="99" t="s">
        <v>562</v>
      </c>
      <c r="I32" s="99">
        <v>45</v>
      </c>
      <c r="J32" s="99">
        <v>154</v>
      </c>
      <c r="K32" s="99">
        <v>6</v>
      </c>
      <c r="L32" s="99">
        <v>872</v>
      </c>
      <c r="M32" s="99">
        <v>55</v>
      </c>
      <c r="N32" s="99">
        <v>26</v>
      </c>
      <c r="O32" s="99">
        <v>49</v>
      </c>
      <c r="P32" s="159">
        <v>49</v>
      </c>
      <c r="Q32" s="99">
        <v>8</v>
      </c>
      <c r="R32" s="99">
        <v>14</v>
      </c>
      <c r="S32" s="99">
        <v>12</v>
      </c>
      <c r="T32" s="99" t="s">
        <v>562</v>
      </c>
      <c r="U32" s="99" t="s">
        <v>562</v>
      </c>
      <c r="V32" s="99">
        <v>7</v>
      </c>
      <c r="W32" s="99">
        <v>26</v>
      </c>
      <c r="X32" s="99" t="s">
        <v>562</v>
      </c>
      <c r="Y32" s="99">
        <v>41</v>
      </c>
      <c r="Z32" s="99">
        <v>19</v>
      </c>
      <c r="AA32" s="99" t="s">
        <v>562</v>
      </c>
      <c r="AB32" s="99" t="s">
        <v>562</v>
      </c>
      <c r="AC32" s="99" t="s">
        <v>562</v>
      </c>
      <c r="AD32" s="98" t="s">
        <v>327</v>
      </c>
      <c r="AE32" s="100">
        <v>0.07341442224152911</v>
      </c>
      <c r="AF32" s="100">
        <v>0.24</v>
      </c>
      <c r="AG32" s="98">
        <v>217.2024326672459</v>
      </c>
      <c r="AH32" s="98" t="s">
        <v>562</v>
      </c>
      <c r="AI32" s="100">
        <v>0.01</v>
      </c>
      <c r="AJ32" s="100">
        <v>0.513333</v>
      </c>
      <c r="AK32" s="100">
        <v>0.352941</v>
      </c>
      <c r="AL32" s="100">
        <v>0.707792</v>
      </c>
      <c r="AM32" s="100">
        <v>0.229167</v>
      </c>
      <c r="AN32" s="100">
        <v>0.273684</v>
      </c>
      <c r="AO32" s="98">
        <v>1064.2919200695048</v>
      </c>
      <c r="AP32" s="158">
        <v>0.8064106750000001</v>
      </c>
      <c r="AQ32" s="100">
        <v>0.16326530612244897</v>
      </c>
      <c r="AR32" s="100">
        <v>0.5714285714285714</v>
      </c>
      <c r="AS32" s="98">
        <v>260.6429192006951</v>
      </c>
      <c r="AT32" s="98" t="s">
        <v>562</v>
      </c>
      <c r="AU32" s="98" t="s">
        <v>562</v>
      </c>
      <c r="AV32" s="98">
        <v>152.0417028670721</v>
      </c>
      <c r="AW32" s="98">
        <v>564.7263249348392</v>
      </c>
      <c r="AX32" s="98" t="s">
        <v>562</v>
      </c>
      <c r="AY32" s="98">
        <v>890.5299739357081</v>
      </c>
      <c r="AZ32" s="98">
        <v>412.6846220677672</v>
      </c>
      <c r="BA32" s="100" t="s">
        <v>562</v>
      </c>
      <c r="BB32" s="100" t="s">
        <v>562</v>
      </c>
      <c r="BC32" s="100" t="s">
        <v>562</v>
      </c>
      <c r="BD32" s="158">
        <v>0.5965870667000001</v>
      </c>
      <c r="BE32" s="158">
        <v>1.066117706</v>
      </c>
      <c r="BF32" s="162">
        <v>300</v>
      </c>
      <c r="BG32" s="162">
        <v>17</v>
      </c>
      <c r="BH32" s="162">
        <v>1232</v>
      </c>
      <c r="BI32" s="162">
        <v>240</v>
      </c>
      <c r="BJ32" s="162">
        <v>95</v>
      </c>
      <c r="BK32" s="97"/>
      <c r="BL32" s="97"/>
      <c r="BM32" s="97"/>
      <c r="BN32" s="97"/>
    </row>
    <row r="33" spans="1:66" ht="12.75">
      <c r="A33" s="79" t="s">
        <v>521</v>
      </c>
      <c r="B33" s="79" t="s">
        <v>292</v>
      </c>
      <c r="C33" s="79" t="s">
        <v>142</v>
      </c>
      <c r="D33" s="99">
        <v>13790</v>
      </c>
      <c r="E33" s="99">
        <v>966</v>
      </c>
      <c r="F33" s="99" t="s">
        <v>347</v>
      </c>
      <c r="G33" s="99">
        <v>32</v>
      </c>
      <c r="H33" s="99">
        <v>15</v>
      </c>
      <c r="I33" s="99">
        <v>114</v>
      </c>
      <c r="J33" s="99">
        <v>520</v>
      </c>
      <c r="K33" s="99">
        <v>13</v>
      </c>
      <c r="L33" s="99">
        <v>2167</v>
      </c>
      <c r="M33" s="99">
        <v>261</v>
      </c>
      <c r="N33" s="99">
        <v>124</v>
      </c>
      <c r="O33" s="99">
        <v>214</v>
      </c>
      <c r="P33" s="159">
        <v>214</v>
      </c>
      <c r="Q33" s="99">
        <v>18</v>
      </c>
      <c r="R33" s="99">
        <v>38</v>
      </c>
      <c r="S33" s="99">
        <v>44</v>
      </c>
      <c r="T33" s="99">
        <v>26</v>
      </c>
      <c r="U33" s="99" t="s">
        <v>562</v>
      </c>
      <c r="V33" s="99">
        <v>36</v>
      </c>
      <c r="W33" s="99">
        <v>75</v>
      </c>
      <c r="X33" s="99">
        <v>26</v>
      </c>
      <c r="Y33" s="99">
        <v>142</v>
      </c>
      <c r="Z33" s="99">
        <v>49</v>
      </c>
      <c r="AA33" s="99" t="s">
        <v>562</v>
      </c>
      <c r="AB33" s="99" t="s">
        <v>562</v>
      </c>
      <c r="AC33" s="99" t="s">
        <v>562</v>
      </c>
      <c r="AD33" s="98" t="s">
        <v>327</v>
      </c>
      <c r="AE33" s="100">
        <v>0.0700507614213198</v>
      </c>
      <c r="AF33" s="100">
        <v>0.18</v>
      </c>
      <c r="AG33" s="98">
        <v>232.0522117476432</v>
      </c>
      <c r="AH33" s="98">
        <v>108.77447425670776</v>
      </c>
      <c r="AI33" s="100">
        <v>0.008</v>
      </c>
      <c r="AJ33" s="100">
        <v>0.585586</v>
      </c>
      <c r="AK33" s="100">
        <v>0.619048</v>
      </c>
      <c r="AL33" s="100">
        <v>0.681232</v>
      </c>
      <c r="AM33" s="100">
        <v>0.39726</v>
      </c>
      <c r="AN33" s="100">
        <v>0.450909</v>
      </c>
      <c r="AO33" s="98">
        <v>1551.849166062364</v>
      </c>
      <c r="AP33" s="158">
        <v>1.2191514589999999</v>
      </c>
      <c r="AQ33" s="100">
        <v>0.08411214953271028</v>
      </c>
      <c r="AR33" s="100">
        <v>0.47368421052631576</v>
      </c>
      <c r="AS33" s="98">
        <v>319.0717911530094</v>
      </c>
      <c r="AT33" s="98">
        <v>188.54242204496012</v>
      </c>
      <c r="AU33" s="98" t="s">
        <v>562</v>
      </c>
      <c r="AV33" s="98">
        <v>261.0587382160986</v>
      </c>
      <c r="AW33" s="98">
        <v>543.8723712835388</v>
      </c>
      <c r="AX33" s="98">
        <v>188.54242204496012</v>
      </c>
      <c r="AY33" s="98">
        <v>1029.7316896301668</v>
      </c>
      <c r="AZ33" s="98">
        <v>355.3299492385787</v>
      </c>
      <c r="BA33" s="100" t="s">
        <v>562</v>
      </c>
      <c r="BB33" s="100" t="s">
        <v>562</v>
      </c>
      <c r="BC33" s="100" t="s">
        <v>562</v>
      </c>
      <c r="BD33" s="158">
        <v>1.061270065</v>
      </c>
      <c r="BE33" s="158">
        <v>1.393899384</v>
      </c>
      <c r="BF33" s="162">
        <v>888</v>
      </c>
      <c r="BG33" s="162">
        <v>21</v>
      </c>
      <c r="BH33" s="162">
        <v>3181</v>
      </c>
      <c r="BI33" s="162">
        <v>657</v>
      </c>
      <c r="BJ33" s="162">
        <v>275</v>
      </c>
      <c r="BK33" s="97"/>
      <c r="BL33" s="97"/>
      <c r="BM33" s="97"/>
      <c r="BN33" s="97"/>
    </row>
    <row r="34" spans="1:66" ht="12.75">
      <c r="A34" s="79" t="s">
        <v>523</v>
      </c>
      <c r="B34" s="79" t="s">
        <v>294</v>
      </c>
      <c r="C34" s="79" t="s">
        <v>142</v>
      </c>
      <c r="D34" s="99">
        <v>3797</v>
      </c>
      <c r="E34" s="99">
        <v>342</v>
      </c>
      <c r="F34" s="99" t="s">
        <v>348</v>
      </c>
      <c r="G34" s="99">
        <v>14</v>
      </c>
      <c r="H34" s="99" t="s">
        <v>562</v>
      </c>
      <c r="I34" s="99">
        <v>44</v>
      </c>
      <c r="J34" s="99">
        <v>169</v>
      </c>
      <c r="K34" s="99">
        <v>12</v>
      </c>
      <c r="L34" s="99">
        <v>736</v>
      </c>
      <c r="M34" s="99">
        <v>81</v>
      </c>
      <c r="N34" s="99">
        <v>35</v>
      </c>
      <c r="O34" s="99">
        <v>39</v>
      </c>
      <c r="P34" s="159">
        <v>39</v>
      </c>
      <c r="Q34" s="99" t="s">
        <v>562</v>
      </c>
      <c r="R34" s="99">
        <v>9</v>
      </c>
      <c r="S34" s="99">
        <v>7</v>
      </c>
      <c r="T34" s="99" t="s">
        <v>562</v>
      </c>
      <c r="U34" s="99" t="s">
        <v>562</v>
      </c>
      <c r="V34" s="99">
        <v>7</v>
      </c>
      <c r="W34" s="99">
        <v>8</v>
      </c>
      <c r="X34" s="99">
        <v>8</v>
      </c>
      <c r="Y34" s="99">
        <v>25</v>
      </c>
      <c r="Z34" s="99">
        <v>16</v>
      </c>
      <c r="AA34" s="99" t="s">
        <v>562</v>
      </c>
      <c r="AB34" s="99" t="s">
        <v>562</v>
      </c>
      <c r="AC34" s="99" t="s">
        <v>562</v>
      </c>
      <c r="AD34" s="98" t="s">
        <v>327</v>
      </c>
      <c r="AE34" s="100">
        <v>0.09007110877008165</v>
      </c>
      <c r="AF34" s="100">
        <v>0.24</v>
      </c>
      <c r="AG34" s="98">
        <v>368.7121411640769</v>
      </c>
      <c r="AH34" s="98" t="s">
        <v>562</v>
      </c>
      <c r="AI34" s="100">
        <v>0.012</v>
      </c>
      <c r="AJ34" s="100">
        <v>0.565217</v>
      </c>
      <c r="AK34" s="100">
        <v>0.363636</v>
      </c>
      <c r="AL34" s="100">
        <v>0.693685</v>
      </c>
      <c r="AM34" s="100">
        <v>0.366516</v>
      </c>
      <c r="AN34" s="100">
        <v>0.4375</v>
      </c>
      <c r="AO34" s="98">
        <v>1027.1266789570714</v>
      </c>
      <c r="AP34" s="158">
        <v>0.7136960602000001</v>
      </c>
      <c r="AQ34" s="100" t="s">
        <v>562</v>
      </c>
      <c r="AR34" s="100" t="s">
        <v>562</v>
      </c>
      <c r="AS34" s="98">
        <v>184.35607058203846</v>
      </c>
      <c r="AT34" s="98" t="s">
        <v>562</v>
      </c>
      <c r="AU34" s="98" t="s">
        <v>562</v>
      </c>
      <c r="AV34" s="98">
        <v>184.35607058203846</v>
      </c>
      <c r="AW34" s="98">
        <v>210.69265209375823</v>
      </c>
      <c r="AX34" s="98">
        <v>210.69265209375823</v>
      </c>
      <c r="AY34" s="98">
        <v>658.4145377929945</v>
      </c>
      <c r="AZ34" s="98">
        <v>421.38530418751645</v>
      </c>
      <c r="BA34" s="100" t="s">
        <v>562</v>
      </c>
      <c r="BB34" s="100" t="s">
        <v>562</v>
      </c>
      <c r="BC34" s="100" t="s">
        <v>562</v>
      </c>
      <c r="BD34" s="158">
        <v>0.5075076675</v>
      </c>
      <c r="BE34" s="158">
        <v>0.9756459808</v>
      </c>
      <c r="BF34" s="162">
        <v>299</v>
      </c>
      <c r="BG34" s="162">
        <v>33</v>
      </c>
      <c r="BH34" s="162">
        <v>1061</v>
      </c>
      <c r="BI34" s="162">
        <v>221</v>
      </c>
      <c r="BJ34" s="162">
        <v>80</v>
      </c>
      <c r="BK34" s="97"/>
      <c r="BL34" s="97"/>
      <c r="BM34" s="97"/>
      <c r="BN34" s="97"/>
    </row>
    <row r="35" spans="1:66" ht="12.75">
      <c r="A35" s="79" t="s">
        <v>553</v>
      </c>
      <c r="B35" s="79" t="s">
        <v>324</v>
      </c>
      <c r="C35" s="79" t="s">
        <v>142</v>
      </c>
      <c r="D35" s="99">
        <v>6567</v>
      </c>
      <c r="E35" s="99">
        <v>477</v>
      </c>
      <c r="F35" s="99" t="s">
        <v>348</v>
      </c>
      <c r="G35" s="99">
        <v>17</v>
      </c>
      <c r="H35" s="99">
        <v>7</v>
      </c>
      <c r="I35" s="99">
        <v>38</v>
      </c>
      <c r="J35" s="99">
        <v>368</v>
      </c>
      <c r="K35" s="99">
        <v>124</v>
      </c>
      <c r="L35" s="99">
        <v>1218</v>
      </c>
      <c r="M35" s="99">
        <v>115</v>
      </c>
      <c r="N35" s="99">
        <v>54</v>
      </c>
      <c r="O35" s="99">
        <v>45</v>
      </c>
      <c r="P35" s="159">
        <v>45</v>
      </c>
      <c r="Q35" s="99" t="s">
        <v>562</v>
      </c>
      <c r="R35" s="99">
        <v>9</v>
      </c>
      <c r="S35" s="99">
        <v>17</v>
      </c>
      <c r="T35" s="99" t="s">
        <v>562</v>
      </c>
      <c r="U35" s="99" t="s">
        <v>562</v>
      </c>
      <c r="V35" s="99">
        <v>6</v>
      </c>
      <c r="W35" s="99">
        <v>27</v>
      </c>
      <c r="X35" s="99">
        <v>9</v>
      </c>
      <c r="Y35" s="99">
        <v>37</v>
      </c>
      <c r="Z35" s="99">
        <v>18</v>
      </c>
      <c r="AA35" s="99" t="s">
        <v>562</v>
      </c>
      <c r="AB35" s="99" t="s">
        <v>562</v>
      </c>
      <c r="AC35" s="99" t="s">
        <v>562</v>
      </c>
      <c r="AD35" s="98" t="s">
        <v>327</v>
      </c>
      <c r="AE35" s="100">
        <v>0.07263590680676107</v>
      </c>
      <c r="AF35" s="100">
        <v>0.25</v>
      </c>
      <c r="AG35" s="98">
        <v>258.8701081163393</v>
      </c>
      <c r="AH35" s="98">
        <v>106.59357393025735</v>
      </c>
      <c r="AI35" s="100">
        <v>0.006</v>
      </c>
      <c r="AJ35" s="100">
        <v>0.61745</v>
      </c>
      <c r="AK35" s="100">
        <v>0.587678</v>
      </c>
      <c r="AL35" s="100">
        <v>0.652733</v>
      </c>
      <c r="AM35" s="100">
        <v>0.338235</v>
      </c>
      <c r="AN35" s="100">
        <v>0.406015</v>
      </c>
      <c r="AO35" s="98">
        <v>685.2444038373686</v>
      </c>
      <c r="AP35" s="158">
        <v>0.4907036972</v>
      </c>
      <c r="AQ35" s="100" t="s">
        <v>562</v>
      </c>
      <c r="AR35" s="100" t="s">
        <v>562</v>
      </c>
      <c r="AS35" s="98">
        <v>258.8701081163393</v>
      </c>
      <c r="AT35" s="98" t="s">
        <v>562</v>
      </c>
      <c r="AU35" s="98" t="s">
        <v>562</v>
      </c>
      <c r="AV35" s="98">
        <v>91.36592051164915</v>
      </c>
      <c r="AW35" s="98">
        <v>411.1466423024212</v>
      </c>
      <c r="AX35" s="98">
        <v>137.04888076747372</v>
      </c>
      <c r="AY35" s="98">
        <v>563.4231764885031</v>
      </c>
      <c r="AZ35" s="98">
        <v>274.09776153494744</v>
      </c>
      <c r="BA35" s="100" t="s">
        <v>562</v>
      </c>
      <c r="BB35" s="100" t="s">
        <v>562</v>
      </c>
      <c r="BC35" s="100" t="s">
        <v>562</v>
      </c>
      <c r="BD35" s="158">
        <v>0.3579226303</v>
      </c>
      <c r="BE35" s="158">
        <v>0.6566001129</v>
      </c>
      <c r="BF35" s="162">
        <v>596</v>
      </c>
      <c r="BG35" s="162">
        <v>211</v>
      </c>
      <c r="BH35" s="162">
        <v>1866</v>
      </c>
      <c r="BI35" s="162">
        <v>340</v>
      </c>
      <c r="BJ35" s="162">
        <v>133</v>
      </c>
      <c r="BK35" s="97"/>
      <c r="BL35" s="97"/>
      <c r="BM35" s="97"/>
      <c r="BN35" s="97"/>
    </row>
    <row r="36" spans="1:66" ht="12.75">
      <c r="A36" s="79" t="s">
        <v>514</v>
      </c>
      <c r="B36" s="79" t="s">
        <v>285</v>
      </c>
      <c r="C36" s="79" t="s">
        <v>142</v>
      </c>
      <c r="D36" s="99">
        <v>1625</v>
      </c>
      <c r="E36" s="99">
        <v>298</v>
      </c>
      <c r="F36" s="99" t="s">
        <v>348</v>
      </c>
      <c r="G36" s="99">
        <v>9</v>
      </c>
      <c r="H36" s="99">
        <v>6</v>
      </c>
      <c r="I36" s="99">
        <v>27</v>
      </c>
      <c r="J36" s="99">
        <v>109</v>
      </c>
      <c r="K36" s="99" t="s">
        <v>562</v>
      </c>
      <c r="L36" s="99">
        <v>207</v>
      </c>
      <c r="M36" s="99">
        <v>65</v>
      </c>
      <c r="N36" s="99">
        <v>35</v>
      </c>
      <c r="O36" s="99">
        <v>17</v>
      </c>
      <c r="P36" s="159">
        <v>17</v>
      </c>
      <c r="Q36" s="99">
        <v>6</v>
      </c>
      <c r="R36" s="99">
        <v>7</v>
      </c>
      <c r="S36" s="99" t="s">
        <v>562</v>
      </c>
      <c r="T36" s="99" t="s">
        <v>562</v>
      </c>
      <c r="U36" s="99" t="s">
        <v>562</v>
      </c>
      <c r="V36" s="99" t="s">
        <v>562</v>
      </c>
      <c r="W36" s="99">
        <v>19</v>
      </c>
      <c r="X36" s="99" t="s">
        <v>562</v>
      </c>
      <c r="Y36" s="99">
        <v>17</v>
      </c>
      <c r="Z36" s="99">
        <v>15</v>
      </c>
      <c r="AA36" s="99" t="s">
        <v>562</v>
      </c>
      <c r="AB36" s="99" t="s">
        <v>562</v>
      </c>
      <c r="AC36" s="99" t="s">
        <v>562</v>
      </c>
      <c r="AD36" s="98" t="s">
        <v>327</v>
      </c>
      <c r="AE36" s="100">
        <v>0.1833846153846154</v>
      </c>
      <c r="AF36" s="100">
        <v>0.24</v>
      </c>
      <c r="AG36" s="98">
        <v>553.8461538461538</v>
      </c>
      <c r="AH36" s="98">
        <v>369.2307692307692</v>
      </c>
      <c r="AI36" s="100">
        <v>0.017</v>
      </c>
      <c r="AJ36" s="100">
        <v>0.630058</v>
      </c>
      <c r="AK36" s="100" t="s">
        <v>562</v>
      </c>
      <c r="AL36" s="100">
        <v>0.528061</v>
      </c>
      <c r="AM36" s="100">
        <v>0.40625</v>
      </c>
      <c r="AN36" s="100">
        <v>0.426829</v>
      </c>
      <c r="AO36" s="98">
        <v>1046.1538461538462</v>
      </c>
      <c r="AP36" s="158">
        <v>0.5355884171</v>
      </c>
      <c r="AQ36" s="100">
        <v>0.35294117647058826</v>
      </c>
      <c r="AR36" s="100">
        <v>0.8571428571428571</v>
      </c>
      <c r="AS36" s="98" t="s">
        <v>562</v>
      </c>
      <c r="AT36" s="98" t="s">
        <v>562</v>
      </c>
      <c r="AU36" s="98" t="s">
        <v>562</v>
      </c>
      <c r="AV36" s="98" t="s">
        <v>562</v>
      </c>
      <c r="AW36" s="98">
        <v>1169.2307692307693</v>
      </c>
      <c r="AX36" s="98" t="s">
        <v>562</v>
      </c>
      <c r="AY36" s="98">
        <v>1046.1538461538462</v>
      </c>
      <c r="AZ36" s="98">
        <v>923.0769230769231</v>
      </c>
      <c r="BA36" s="100" t="s">
        <v>562</v>
      </c>
      <c r="BB36" s="100" t="s">
        <v>562</v>
      </c>
      <c r="BC36" s="100" t="s">
        <v>562</v>
      </c>
      <c r="BD36" s="158">
        <v>0.3119999886</v>
      </c>
      <c r="BE36" s="158">
        <v>0.8575289154</v>
      </c>
      <c r="BF36" s="162">
        <v>173</v>
      </c>
      <c r="BG36" s="162" t="s">
        <v>562</v>
      </c>
      <c r="BH36" s="162">
        <v>392</v>
      </c>
      <c r="BI36" s="162">
        <v>160</v>
      </c>
      <c r="BJ36" s="162">
        <v>82</v>
      </c>
      <c r="BK36" s="97"/>
      <c r="BL36" s="97"/>
      <c r="BM36" s="97"/>
      <c r="BN36" s="97"/>
    </row>
    <row r="37" spans="1:66" ht="12.75">
      <c r="A37" s="79" t="s">
        <v>535</v>
      </c>
      <c r="B37" s="79" t="s">
        <v>306</v>
      </c>
      <c r="C37" s="79" t="s">
        <v>142</v>
      </c>
      <c r="D37" s="99">
        <v>4747</v>
      </c>
      <c r="E37" s="99">
        <v>475</v>
      </c>
      <c r="F37" s="99" t="s">
        <v>348</v>
      </c>
      <c r="G37" s="99">
        <v>13</v>
      </c>
      <c r="H37" s="99">
        <v>14</v>
      </c>
      <c r="I37" s="99">
        <v>40</v>
      </c>
      <c r="J37" s="99">
        <v>235</v>
      </c>
      <c r="K37" s="99">
        <v>137</v>
      </c>
      <c r="L37" s="99">
        <v>861</v>
      </c>
      <c r="M37" s="99">
        <v>89</v>
      </c>
      <c r="N37" s="99">
        <v>46</v>
      </c>
      <c r="O37" s="99">
        <v>83</v>
      </c>
      <c r="P37" s="159">
        <v>83</v>
      </c>
      <c r="Q37" s="99">
        <v>6</v>
      </c>
      <c r="R37" s="99">
        <v>14</v>
      </c>
      <c r="S37" s="99">
        <v>16</v>
      </c>
      <c r="T37" s="99">
        <v>13</v>
      </c>
      <c r="U37" s="99" t="s">
        <v>562</v>
      </c>
      <c r="V37" s="99">
        <v>18</v>
      </c>
      <c r="W37" s="99">
        <v>14</v>
      </c>
      <c r="X37" s="99">
        <v>11</v>
      </c>
      <c r="Y37" s="99">
        <v>44</v>
      </c>
      <c r="Z37" s="99">
        <v>33</v>
      </c>
      <c r="AA37" s="99" t="s">
        <v>562</v>
      </c>
      <c r="AB37" s="99" t="s">
        <v>562</v>
      </c>
      <c r="AC37" s="99" t="s">
        <v>562</v>
      </c>
      <c r="AD37" s="98" t="s">
        <v>327</v>
      </c>
      <c r="AE37" s="100">
        <v>0.10006319780914262</v>
      </c>
      <c r="AF37" s="100">
        <v>0.24</v>
      </c>
      <c r="AG37" s="98">
        <v>273.8571729513377</v>
      </c>
      <c r="AH37" s="98">
        <v>294.92310933220983</v>
      </c>
      <c r="AI37" s="100">
        <v>0.008</v>
      </c>
      <c r="AJ37" s="100">
        <v>0.656425</v>
      </c>
      <c r="AK37" s="100">
        <v>0.61435</v>
      </c>
      <c r="AL37" s="100">
        <v>0.706897</v>
      </c>
      <c r="AM37" s="100">
        <v>0.340996</v>
      </c>
      <c r="AN37" s="100">
        <v>0.393162</v>
      </c>
      <c r="AO37" s="98">
        <v>1748.4727196123868</v>
      </c>
      <c r="AP37" s="158">
        <v>1.2136679080000001</v>
      </c>
      <c r="AQ37" s="100">
        <v>0.07228915662650602</v>
      </c>
      <c r="AR37" s="100">
        <v>0.42857142857142855</v>
      </c>
      <c r="AS37" s="98">
        <v>337.0549820939541</v>
      </c>
      <c r="AT37" s="98">
        <v>273.8571729513377</v>
      </c>
      <c r="AU37" s="98" t="s">
        <v>562</v>
      </c>
      <c r="AV37" s="98">
        <v>379.18685485569836</v>
      </c>
      <c r="AW37" s="98">
        <v>294.92310933220983</v>
      </c>
      <c r="AX37" s="98">
        <v>231.72530018959344</v>
      </c>
      <c r="AY37" s="98">
        <v>926.9012007583738</v>
      </c>
      <c r="AZ37" s="98">
        <v>695.1759005687803</v>
      </c>
      <c r="BA37" s="100" t="s">
        <v>562</v>
      </c>
      <c r="BB37" s="100" t="s">
        <v>562</v>
      </c>
      <c r="BC37" s="100" t="s">
        <v>562</v>
      </c>
      <c r="BD37" s="158">
        <v>0.9666797638</v>
      </c>
      <c r="BE37" s="158">
        <v>1.504524078</v>
      </c>
      <c r="BF37" s="162">
        <v>358</v>
      </c>
      <c r="BG37" s="162">
        <v>223</v>
      </c>
      <c r="BH37" s="162">
        <v>1218</v>
      </c>
      <c r="BI37" s="162">
        <v>261</v>
      </c>
      <c r="BJ37" s="162">
        <v>117</v>
      </c>
      <c r="BK37" s="97"/>
      <c r="BL37" s="97"/>
      <c r="BM37" s="97"/>
      <c r="BN37" s="97"/>
    </row>
    <row r="38" spans="1:66" ht="12.75">
      <c r="A38" s="79" t="s">
        <v>546</v>
      </c>
      <c r="B38" s="79" t="s">
        <v>317</v>
      </c>
      <c r="C38" s="79" t="s">
        <v>142</v>
      </c>
      <c r="D38" s="99">
        <v>10544</v>
      </c>
      <c r="E38" s="99">
        <v>402</v>
      </c>
      <c r="F38" s="99" t="s">
        <v>349</v>
      </c>
      <c r="G38" s="99">
        <v>20</v>
      </c>
      <c r="H38" s="99" t="s">
        <v>562</v>
      </c>
      <c r="I38" s="99">
        <v>103</v>
      </c>
      <c r="J38" s="99">
        <v>366</v>
      </c>
      <c r="K38" s="99">
        <v>7</v>
      </c>
      <c r="L38" s="99">
        <v>2264</v>
      </c>
      <c r="M38" s="99">
        <v>188</v>
      </c>
      <c r="N38" s="99">
        <v>88</v>
      </c>
      <c r="O38" s="99">
        <v>125</v>
      </c>
      <c r="P38" s="159">
        <v>125</v>
      </c>
      <c r="Q38" s="99">
        <v>7</v>
      </c>
      <c r="R38" s="99">
        <v>18</v>
      </c>
      <c r="S38" s="99">
        <v>38</v>
      </c>
      <c r="T38" s="99">
        <v>15</v>
      </c>
      <c r="U38" s="99" t="s">
        <v>562</v>
      </c>
      <c r="V38" s="99">
        <v>22</v>
      </c>
      <c r="W38" s="99">
        <v>50</v>
      </c>
      <c r="X38" s="99">
        <v>19</v>
      </c>
      <c r="Y38" s="99">
        <v>86</v>
      </c>
      <c r="Z38" s="99">
        <v>21</v>
      </c>
      <c r="AA38" s="99" t="s">
        <v>562</v>
      </c>
      <c r="AB38" s="99" t="s">
        <v>562</v>
      </c>
      <c r="AC38" s="99" t="s">
        <v>562</v>
      </c>
      <c r="AD38" s="98" t="s">
        <v>327</v>
      </c>
      <c r="AE38" s="100">
        <v>0.03812594840667678</v>
      </c>
      <c r="AF38" s="100">
        <v>0.12</v>
      </c>
      <c r="AG38" s="98">
        <v>189.6813353566009</v>
      </c>
      <c r="AH38" s="98" t="s">
        <v>562</v>
      </c>
      <c r="AI38" s="100">
        <v>0.01</v>
      </c>
      <c r="AJ38" s="100">
        <v>0.595122</v>
      </c>
      <c r="AK38" s="100">
        <v>0.25</v>
      </c>
      <c r="AL38" s="100">
        <v>0.640997</v>
      </c>
      <c r="AM38" s="100">
        <v>0.420582</v>
      </c>
      <c r="AN38" s="100">
        <v>0.44</v>
      </c>
      <c r="AO38" s="98">
        <v>1185.5083459787556</v>
      </c>
      <c r="AP38" s="158">
        <v>0.9759694672000001</v>
      </c>
      <c r="AQ38" s="100">
        <v>0.056</v>
      </c>
      <c r="AR38" s="100">
        <v>0.3888888888888889</v>
      </c>
      <c r="AS38" s="98">
        <v>360.39453717754174</v>
      </c>
      <c r="AT38" s="98">
        <v>142.2610015174507</v>
      </c>
      <c r="AU38" s="98" t="s">
        <v>562</v>
      </c>
      <c r="AV38" s="98">
        <v>208.649468892261</v>
      </c>
      <c r="AW38" s="98">
        <v>474.20333839150226</v>
      </c>
      <c r="AX38" s="98">
        <v>180.19726858877087</v>
      </c>
      <c r="AY38" s="98">
        <v>815.6297420333839</v>
      </c>
      <c r="AZ38" s="98">
        <v>199.16540212443095</v>
      </c>
      <c r="BA38" s="100" t="s">
        <v>562</v>
      </c>
      <c r="BB38" s="100" t="s">
        <v>562</v>
      </c>
      <c r="BC38" s="100" t="s">
        <v>562</v>
      </c>
      <c r="BD38" s="158">
        <v>0.8123883820000001</v>
      </c>
      <c r="BE38" s="158">
        <v>1.1628235630000001</v>
      </c>
      <c r="BF38" s="162">
        <v>615</v>
      </c>
      <c r="BG38" s="162">
        <v>28</v>
      </c>
      <c r="BH38" s="162">
        <v>3532</v>
      </c>
      <c r="BI38" s="162">
        <v>447</v>
      </c>
      <c r="BJ38" s="162">
        <v>200</v>
      </c>
      <c r="BK38" s="97"/>
      <c r="BL38" s="97"/>
      <c r="BM38" s="97"/>
      <c r="BN38" s="97"/>
    </row>
    <row r="39" spans="1:66" ht="12.75">
      <c r="A39" s="79" t="s">
        <v>543</v>
      </c>
      <c r="B39" s="79" t="s">
        <v>314</v>
      </c>
      <c r="C39" s="79" t="s">
        <v>142</v>
      </c>
      <c r="D39" s="99">
        <v>12156</v>
      </c>
      <c r="E39" s="99">
        <v>596</v>
      </c>
      <c r="F39" s="99" t="s">
        <v>350</v>
      </c>
      <c r="G39" s="99">
        <v>23</v>
      </c>
      <c r="H39" s="99">
        <v>10</v>
      </c>
      <c r="I39" s="99">
        <v>91</v>
      </c>
      <c r="J39" s="99">
        <v>433</v>
      </c>
      <c r="K39" s="99">
        <v>64</v>
      </c>
      <c r="L39" s="99">
        <v>3268</v>
      </c>
      <c r="M39" s="99">
        <v>203</v>
      </c>
      <c r="N39" s="99">
        <v>95</v>
      </c>
      <c r="O39" s="99">
        <v>316</v>
      </c>
      <c r="P39" s="159">
        <v>316</v>
      </c>
      <c r="Q39" s="99">
        <v>18</v>
      </c>
      <c r="R39" s="99">
        <v>30</v>
      </c>
      <c r="S39" s="99">
        <v>67</v>
      </c>
      <c r="T39" s="99">
        <v>24</v>
      </c>
      <c r="U39" s="99">
        <v>10</v>
      </c>
      <c r="V39" s="99">
        <v>89</v>
      </c>
      <c r="W39" s="99">
        <v>37</v>
      </c>
      <c r="X39" s="99">
        <v>30</v>
      </c>
      <c r="Y39" s="99">
        <v>72</v>
      </c>
      <c r="Z39" s="99">
        <v>21</v>
      </c>
      <c r="AA39" s="99" t="s">
        <v>562</v>
      </c>
      <c r="AB39" s="99" t="s">
        <v>562</v>
      </c>
      <c r="AC39" s="99" t="s">
        <v>562</v>
      </c>
      <c r="AD39" s="98" t="s">
        <v>327</v>
      </c>
      <c r="AE39" s="100">
        <v>0.04902928594932544</v>
      </c>
      <c r="AF39" s="100">
        <v>0.14</v>
      </c>
      <c r="AG39" s="98">
        <v>189.20697597894045</v>
      </c>
      <c r="AH39" s="98">
        <v>82.26390259953932</v>
      </c>
      <c r="AI39" s="100">
        <v>0.006999999999999999</v>
      </c>
      <c r="AJ39" s="100">
        <v>0.648204</v>
      </c>
      <c r="AK39" s="100">
        <v>0.659794</v>
      </c>
      <c r="AL39" s="100">
        <v>0.761417</v>
      </c>
      <c r="AM39" s="100">
        <v>0.446154</v>
      </c>
      <c r="AN39" s="100">
        <v>0.505319</v>
      </c>
      <c r="AO39" s="98">
        <v>2599.5393221454424</v>
      </c>
      <c r="AP39" s="158">
        <v>2.07669281</v>
      </c>
      <c r="AQ39" s="100">
        <v>0.056962025316455694</v>
      </c>
      <c r="AR39" s="100">
        <v>0.6</v>
      </c>
      <c r="AS39" s="98">
        <v>551.1681474169135</v>
      </c>
      <c r="AT39" s="98">
        <v>197.43336623889437</v>
      </c>
      <c r="AU39" s="98">
        <v>82.26390259953932</v>
      </c>
      <c r="AV39" s="98">
        <v>732.1487331359</v>
      </c>
      <c r="AW39" s="98">
        <v>304.3764396182955</v>
      </c>
      <c r="AX39" s="98">
        <v>246.79170779861798</v>
      </c>
      <c r="AY39" s="98">
        <v>592.3000987166831</v>
      </c>
      <c r="AZ39" s="98">
        <v>172.7541954590326</v>
      </c>
      <c r="BA39" s="101" t="s">
        <v>562</v>
      </c>
      <c r="BB39" s="101" t="s">
        <v>562</v>
      </c>
      <c r="BC39" s="101" t="s">
        <v>562</v>
      </c>
      <c r="BD39" s="158">
        <v>1.8540104679999998</v>
      </c>
      <c r="BE39" s="158">
        <v>2.318755341</v>
      </c>
      <c r="BF39" s="162">
        <v>668</v>
      </c>
      <c r="BG39" s="162">
        <v>97</v>
      </c>
      <c r="BH39" s="162">
        <v>4292</v>
      </c>
      <c r="BI39" s="162">
        <v>455</v>
      </c>
      <c r="BJ39" s="162">
        <v>188</v>
      </c>
      <c r="BK39" s="97"/>
      <c r="BL39" s="97"/>
      <c r="BM39" s="97"/>
      <c r="BN39" s="97"/>
    </row>
    <row r="40" spans="1:66" ht="12.75">
      <c r="A40" s="79" t="s">
        <v>542</v>
      </c>
      <c r="B40" s="79" t="s">
        <v>313</v>
      </c>
      <c r="C40" s="79" t="s">
        <v>142</v>
      </c>
      <c r="D40" s="99">
        <v>6421</v>
      </c>
      <c r="E40" s="99">
        <v>556</v>
      </c>
      <c r="F40" s="99" t="s">
        <v>350</v>
      </c>
      <c r="G40" s="99">
        <v>25</v>
      </c>
      <c r="H40" s="99">
        <v>12</v>
      </c>
      <c r="I40" s="99">
        <v>73</v>
      </c>
      <c r="J40" s="99">
        <v>404</v>
      </c>
      <c r="K40" s="99">
        <v>143</v>
      </c>
      <c r="L40" s="99">
        <v>1658</v>
      </c>
      <c r="M40" s="99">
        <v>176</v>
      </c>
      <c r="N40" s="99">
        <v>80</v>
      </c>
      <c r="O40" s="99">
        <v>110</v>
      </c>
      <c r="P40" s="159">
        <v>110</v>
      </c>
      <c r="Q40" s="99">
        <v>10</v>
      </c>
      <c r="R40" s="99">
        <v>19</v>
      </c>
      <c r="S40" s="99">
        <v>27</v>
      </c>
      <c r="T40" s="99">
        <v>13</v>
      </c>
      <c r="U40" s="99">
        <v>7</v>
      </c>
      <c r="V40" s="99">
        <v>25</v>
      </c>
      <c r="W40" s="99">
        <v>29</v>
      </c>
      <c r="X40" s="99">
        <v>26</v>
      </c>
      <c r="Y40" s="99">
        <v>41</v>
      </c>
      <c r="Z40" s="99">
        <v>24</v>
      </c>
      <c r="AA40" s="99" t="s">
        <v>562</v>
      </c>
      <c r="AB40" s="99" t="s">
        <v>562</v>
      </c>
      <c r="AC40" s="99" t="s">
        <v>562</v>
      </c>
      <c r="AD40" s="98" t="s">
        <v>327</v>
      </c>
      <c r="AE40" s="100">
        <v>0.08659087369568604</v>
      </c>
      <c r="AF40" s="100">
        <v>0.16</v>
      </c>
      <c r="AG40" s="98">
        <v>389.347453667653</v>
      </c>
      <c r="AH40" s="98">
        <v>186.88677776047345</v>
      </c>
      <c r="AI40" s="100">
        <v>0.011000000000000001</v>
      </c>
      <c r="AJ40" s="100">
        <v>0.683587</v>
      </c>
      <c r="AK40" s="100">
        <v>0.711443</v>
      </c>
      <c r="AL40" s="100">
        <v>0.776217</v>
      </c>
      <c r="AM40" s="100">
        <v>0.442211</v>
      </c>
      <c r="AN40" s="100">
        <v>0.465116</v>
      </c>
      <c r="AO40" s="98">
        <v>1713.1287961376734</v>
      </c>
      <c r="AP40" s="158">
        <v>1.102597961</v>
      </c>
      <c r="AQ40" s="100">
        <v>0.09090909090909091</v>
      </c>
      <c r="AR40" s="100">
        <v>0.5263157894736842</v>
      </c>
      <c r="AS40" s="98">
        <v>420.49524996106527</v>
      </c>
      <c r="AT40" s="98">
        <v>202.46067590717956</v>
      </c>
      <c r="AU40" s="98">
        <v>109.01728702694284</v>
      </c>
      <c r="AV40" s="98">
        <v>389.347453667653</v>
      </c>
      <c r="AW40" s="98">
        <v>451.6430462544775</v>
      </c>
      <c r="AX40" s="98">
        <v>404.9213518143591</v>
      </c>
      <c r="AY40" s="98">
        <v>638.5298240149509</v>
      </c>
      <c r="AZ40" s="98">
        <v>373.7735555209469</v>
      </c>
      <c r="BA40" s="100" t="s">
        <v>562</v>
      </c>
      <c r="BB40" s="100" t="s">
        <v>562</v>
      </c>
      <c r="BC40" s="100" t="s">
        <v>562</v>
      </c>
      <c r="BD40" s="158">
        <v>0.9062014008</v>
      </c>
      <c r="BE40" s="158">
        <v>1.32892868</v>
      </c>
      <c r="BF40" s="162">
        <v>591</v>
      </c>
      <c r="BG40" s="162">
        <v>201</v>
      </c>
      <c r="BH40" s="162">
        <v>2136</v>
      </c>
      <c r="BI40" s="162">
        <v>398</v>
      </c>
      <c r="BJ40" s="162">
        <v>172</v>
      </c>
      <c r="BK40" s="97"/>
      <c r="BL40" s="97"/>
      <c r="BM40" s="97"/>
      <c r="BN40" s="97"/>
    </row>
    <row r="41" spans="1:66" ht="12.75">
      <c r="A41" s="79" t="s">
        <v>532</v>
      </c>
      <c r="B41" s="79" t="s">
        <v>303</v>
      </c>
      <c r="C41" s="79" t="s">
        <v>142</v>
      </c>
      <c r="D41" s="99">
        <v>6431</v>
      </c>
      <c r="E41" s="99">
        <v>573</v>
      </c>
      <c r="F41" s="99" t="s">
        <v>348</v>
      </c>
      <c r="G41" s="99">
        <v>15</v>
      </c>
      <c r="H41" s="99">
        <v>6</v>
      </c>
      <c r="I41" s="99">
        <v>59</v>
      </c>
      <c r="J41" s="99">
        <v>269</v>
      </c>
      <c r="K41" s="99" t="s">
        <v>562</v>
      </c>
      <c r="L41" s="99">
        <v>1069</v>
      </c>
      <c r="M41" s="99">
        <v>173</v>
      </c>
      <c r="N41" s="99">
        <v>77</v>
      </c>
      <c r="O41" s="99">
        <v>72</v>
      </c>
      <c r="P41" s="159">
        <v>72</v>
      </c>
      <c r="Q41" s="99">
        <v>10</v>
      </c>
      <c r="R41" s="99">
        <v>19</v>
      </c>
      <c r="S41" s="99">
        <v>8</v>
      </c>
      <c r="T41" s="99">
        <v>8</v>
      </c>
      <c r="U41" s="99" t="s">
        <v>562</v>
      </c>
      <c r="V41" s="99">
        <v>39</v>
      </c>
      <c r="W41" s="99">
        <v>41</v>
      </c>
      <c r="X41" s="99">
        <v>16</v>
      </c>
      <c r="Y41" s="99">
        <v>66</v>
      </c>
      <c r="Z41" s="99">
        <v>29</v>
      </c>
      <c r="AA41" s="99" t="s">
        <v>562</v>
      </c>
      <c r="AB41" s="99" t="s">
        <v>562</v>
      </c>
      <c r="AC41" s="99" t="s">
        <v>562</v>
      </c>
      <c r="AD41" s="98" t="s">
        <v>327</v>
      </c>
      <c r="AE41" s="100">
        <v>0.08909967345669413</v>
      </c>
      <c r="AF41" s="100">
        <v>0.25</v>
      </c>
      <c r="AG41" s="98">
        <v>233.2452184730213</v>
      </c>
      <c r="AH41" s="98">
        <v>93.29808738920852</v>
      </c>
      <c r="AI41" s="100">
        <v>0.009000000000000001</v>
      </c>
      <c r="AJ41" s="100">
        <v>0.559252</v>
      </c>
      <c r="AK41" s="100" t="s">
        <v>562</v>
      </c>
      <c r="AL41" s="100">
        <v>0.598209</v>
      </c>
      <c r="AM41" s="100">
        <v>0.466307</v>
      </c>
      <c r="AN41" s="100">
        <v>0.509934</v>
      </c>
      <c r="AO41" s="98">
        <v>1119.5770486705023</v>
      </c>
      <c r="AP41" s="158">
        <v>0.7832261658</v>
      </c>
      <c r="AQ41" s="100">
        <v>0.1388888888888889</v>
      </c>
      <c r="AR41" s="100">
        <v>0.5263157894736842</v>
      </c>
      <c r="AS41" s="98">
        <v>124.39744985227803</v>
      </c>
      <c r="AT41" s="98">
        <v>124.39744985227803</v>
      </c>
      <c r="AU41" s="98" t="s">
        <v>562</v>
      </c>
      <c r="AV41" s="98">
        <v>606.4375680298554</v>
      </c>
      <c r="AW41" s="98">
        <v>637.5369304929249</v>
      </c>
      <c r="AX41" s="98">
        <v>248.79489970455606</v>
      </c>
      <c r="AY41" s="98">
        <v>1026.2789612812937</v>
      </c>
      <c r="AZ41" s="98">
        <v>450.9407557145079</v>
      </c>
      <c r="BA41" s="100" t="s">
        <v>562</v>
      </c>
      <c r="BB41" s="100" t="s">
        <v>562</v>
      </c>
      <c r="BC41" s="100" t="s">
        <v>562</v>
      </c>
      <c r="BD41" s="158">
        <v>0.6128262711</v>
      </c>
      <c r="BE41" s="158">
        <v>0.9863437653</v>
      </c>
      <c r="BF41" s="162">
        <v>481</v>
      </c>
      <c r="BG41" s="162" t="s">
        <v>562</v>
      </c>
      <c r="BH41" s="162">
        <v>1787</v>
      </c>
      <c r="BI41" s="162">
        <v>371</v>
      </c>
      <c r="BJ41" s="162">
        <v>151</v>
      </c>
      <c r="BK41" s="97"/>
      <c r="BL41" s="97"/>
      <c r="BM41" s="97"/>
      <c r="BN41" s="97"/>
    </row>
    <row r="42" spans="1:66" ht="12.75">
      <c r="A42" s="79" t="s">
        <v>534</v>
      </c>
      <c r="B42" s="79" t="s">
        <v>305</v>
      </c>
      <c r="C42" s="79" t="s">
        <v>142</v>
      </c>
      <c r="D42" s="99">
        <v>3939</v>
      </c>
      <c r="E42" s="99">
        <v>273</v>
      </c>
      <c r="F42" s="99" t="s">
        <v>347</v>
      </c>
      <c r="G42" s="99">
        <v>9</v>
      </c>
      <c r="H42" s="99">
        <v>8</v>
      </c>
      <c r="I42" s="99">
        <v>40</v>
      </c>
      <c r="J42" s="99">
        <v>129</v>
      </c>
      <c r="K42" s="99" t="s">
        <v>562</v>
      </c>
      <c r="L42" s="99">
        <v>681</v>
      </c>
      <c r="M42" s="99">
        <v>58</v>
      </c>
      <c r="N42" s="99">
        <v>21</v>
      </c>
      <c r="O42" s="99">
        <v>55</v>
      </c>
      <c r="P42" s="159">
        <v>55</v>
      </c>
      <c r="Q42" s="99">
        <v>6</v>
      </c>
      <c r="R42" s="99">
        <v>11</v>
      </c>
      <c r="S42" s="99">
        <v>10</v>
      </c>
      <c r="T42" s="99">
        <v>11</v>
      </c>
      <c r="U42" s="99" t="s">
        <v>562</v>
      </c>
      <c r="V42" s="99">
        <v>9</v>
      </c>
      <c r="W42" s="99">
        <v>10</v>
      </c>
      <c r="X42" s="99" t="s">
        <v>562</v>
      </c>
      <c r="Y42" s="99">
        <v>22</v>
      </c>
      <c r="Z42" s="99">
        <v>21</v>
      </c>
      <c r="AA42" s="99" t="s">
        <v>562</v>
      </c>
      <c r="AB42" s="99" t="s">
        <v>562</v>
      </c>
      <c r="AC42" s="99" t="s">
        <v>562</v>
      </c>
      <c r="AD42" s="98" t="s">
        <v>327</v>
      </c>
      <c r="AE42" s="100">
        <v>0.06930693069306931</v>
      </c>
      <c r="AF42" s="100">
        <v>0.18</v>
      </c>
      <c r="AG42" s="98">
        <v>228.4843869002285</v>
      </c>
      <c r="AH42" s="98">
        <v>203.0972328002031</v>
      </c>
      <c r="AI42" s="100">
        <v>0.01</v>
      </c>
      <c r="AJ42" s="100">
        <v>0.641791</v>
      </c>
      <c r="AK42" s="100" t="s">
        <v>562</v>
      </c>
      <c r="AL42" s="100">
        <v>0.7079</v>
      </c>
      <c r="AM42" s="100">
        <v>0.3625</v>
      </c>
      <c r="AN42" s="100">
        <v>0.344262</v>
      </c>
      <c r="AO42" s="98">
        <v>1396.2934755013962</v>
      </c>
      <c r="AP42" s="158">
        <v>1.154718475</v>
      </c>
      <c r="AQ42" s="100">
        <v>0.10909090909090909</v>
      </c>
      <c r="AR42" s="100">
        <v>0.5454545454545454</v>
      </c>
      <c r="AS42" s="98">
        <v>253.87154100025387</v>
      </c>
      <c r="AT42" s="98">
        <v>279.2586951002793</v>
      </c>
      <c r="AU42" s="98" t="s">
        <v>562</v>
      </c>
      <c r="AV42" s="98">
        <v>228.4843869002285</v>
      </c>
      <c r="AW42" s="98">
        <v>253.87154100025387</v>
      </c>
      <c r="AX42" s="98" t="s">
        <v>562</v>
      </c>
      <c r="AY42" s="98">
        <v>558.5173902005586</v>
      </c>
      <c r="AZ42" s="98">
        <v>533.1302361005331</v>
      </c>
      <c r="BA42" s="100" t="s">
        <v>562</v>
      </c>
      <c r="BB42" s="100" t="s">
        <v>562</v>
      </c>
      <c r="BC42" s="100" t="s">
        <v>562</v>
      </c>
      <c r="BD42" s="158">
        <v>0.8698919678</v>
      </c>
      <c r="BE42" s="158">
        <v>1.5030247499999998</v>
      </c>
      <c r="BF42" s="162">
        <v>201</v>
      </c>
      <c r="BG42" s="162" t="s">
        <v>562</v>
      </c>
      <c r="BH42" s="162">
        <v>962</v>
      </c>
      <c r="BI42" s="162">
        <v>160</v>
      </c>
      <c r="BJ42" s="162">
        <v>61</v>
      </c>
      <c r="BK42" s="97"/>
      <c r="BL42" s="97"/>
      <c r="BM42" s="97"/>
      <c r="BN42" s="97"/>
    </row>
    <row r="43" spans="1:66" ht="12.75">
      <c r="A43" s="79" t="s">
        <v>544</v>
      </c>
      <c r="B43" s="79" t="s">
        <v>315</v>
      </c>
      <c r="C43" s="79" t="s">
        <v>142</v>
      </c>
      <c r="D43" s="99">
        <v>5034</v>
      </c>
      <c r="E43" s="99">
        <v>422</v>
      </c>
      <c r="F43" s="99" t="s">
        <v>347</v>
      </c>
      <c r="G43" s="99">
        <v>10</v>
      </c>
      <c r="H43" s="99" t="s">
        <v>562</v>
      </c>
      <c r="I43" s="99">
        <v>38</v>
      </c>
      <c r="J43" s="99">
        <v>190</v>
      </c>
      <c r="K43" s="99">
        <v>32</v>
      </c>
      <c r="L43" s="99">
        <v>917</v>
      </c>
      <c r="M43" s="99">
        <v>89</v>
      </c>
      <c r="N43" s="99">
        <v>45</v>
      </c>
      <c r="O43" s="99">
        <v>23</v>
      </c>
      <c r="P43" s="159">
        <v>23</v>
      </c>
      <c r="Q43" s="99" t="s">
        <v>562</v>
      </c>
      <c r="R43" s="99">
        <v>14</v>
      </c>
      <c r="S43" s="99" t="s">
        <v>562</v>
      </c>
      <c r="T43" s="99" t="s">
        <v>562</v>
      </c>
      <c r="U43" s="99" t="s">
        <v>562</v>
      </c>
      <c r="V43" s="99" t="s">
        <v>562</v>
      </c>
      <c r="W43" s="99">
        <v>19</v>
      </c>
      <c r="X43" s="99">
        <v>16</v>
      </c>
      <c r="Y43" s="99">
        <v>28</v>
      </c>
      <c r="Z43" s="99">
        <v>14</v>
      </c>
      <c r="AA43" s="99" t="s">
        <v>562</v>
      </c>
      <c r="AB43" s="99" t="s">
        <v>562</v>
      </c>
      <c r="AC43" s="99" t="s">
        <v>562</v>
      </c>
      <c r="AD43" s="98" t="s">
        <v>327</v>
      </c>
      <c r="AE43" s="100">
        <v>0.08382995629717918</v>
      </c>
      <c r="AF43" s="100">
        <v>0.18</v>
      </c>
      <c r="AG43" s="98">
        <v>198.64918553833928</v>
      </c>
      <c r="AH43" s="98" t="s">
        <v>562</v>
      </c>
      <c r="AI43" s="100">
        <v>0.008</v>
      </c>
      <c r="AJ43" s="100">
        <v>0.496084</v>
      </c>
      <c r="AK43" s="100">
        <v>0.395062</v>
      </c>
      <c r="AL43" s="100">
        <v>0.594682</v>
      </c>
      <c r="AM43" s="100">
        <v>0.310105</v>
      </c>
      <c r="AN43" s="100">
        <v>0.378151</v>
      </c>
      <c r="AO43" s="98">
        <v>456.8931267381804</v>
      </c>
      <c r="AP43" s="158">
        <v>0.32263473509999996</v>
      </c>
      <c r="AQ43" s="100" t="s">
        <v>562</v>
      </c>
      <c r="AR43" s="100" t="s">
        <v>562</v>
      </c>
      <c r="AS43" s="98" t="s">
        <v>562</v>
      </c>
      <c r="AT43" s="98" t="s">
        <v>562</v>
      </c>
      <c r="AU43" s="98" t="s">
        <v>562</v>
      </c>
      <c r="AV43" s="98" t="s">
        <v>562</v>
      </c>
      <c r="AW43" s="98">
        <v>377.4334525228447</v>
      </c>
      <c r="AX43" s="98">
        <v>317.8386968613429</v>
      </c>
      <c r="AY43" s="98">
        <v>556.21771950735</v>
      </c>
      <c r="AZ43" s="98">
        <v>278.108859753675</v>
      </c>
      <c r="BA43" s="100" t="s">
        <v>562</v>
      </c>
      <c r="BB43" s="100" t="s">
        <v>562</v>
      </c>
      <c r="BC43" s="100" t="s">
        <v>562</v>
      </c>
      <c r="BD43" s="158">
        <v>0.2045227432</v>
      </c>
      <c r="BE43" s="158">
        <v>0.48411048889999997</v>
      </c>
      <c r="BF43" s="162">
        <v>383</v>
      </c>
      <c r="BG43" s="162">
        <v>81</v>
      </c>
      <c r="BH43" s="162">
        <v>1542</v>
      </c>
      <c r="BI43" s="162">
        <v>287</v>
      </c>
      <c r="BJ43" s="162">
        <v>119</v>
      </c>
      <c r="BK43" s="97"/>
      <c r="BL43" s="97"/>
      <c r="BM43" s="97"/>
      <c r="BN43" s="97"/>
    </row>
    <row r="44" spans="1:66" ht="12.75">
      <c r="A44" s="79" t="s">
        <v>547</v>
      </c>
      <c r="B44" s="79" t="s">
        <v>318</v>
      </c>
      <c r="C44" s="79" t="s">
        <v>142</v>
      </c>
      <c r="D44" s="99">
        <v>5543</v>
      </c>
      <c r="E44" s="99">
        <v>299</v>
      </c>
      <c r="F44" s="99" t="s">
        <v>349</v>
      </c>
      <c r="G44" s="99">
        <v>12</v>
      </c>
      <c r="H44" s="99">
        <v>9</v>
      </c>
      <c r="I44" s="99">
        <v>65</v>
      </c>
      <c r="J44" s="99">
        <v>156</v>
      </c>
      <c r="K44" s="99">
        <v>6</v>
      </c>
      <c r="L44" s="99">
        <v>1408</v>
      </c>
      <c r="M44" s="99">
        <v>107</v>
      </c>
      <c r="N44" s="99">
        <v>47</v>
      </c>
      <c r="O44" s="99">
        <v>55</v>
      </c>
      <c r="P44" s="159">
        <v>55</v>
      </c>
      <c r="Q44" s="99" t="s">
        <v>562</v>
      </c>
      <c r="R44" s="99">
        <v>14</v>
      </c>
      <c r="S44" s="99">
        <v>22</v>
      </c>
      <c r="T44" s="99" t="s">
        <v>562</v>
      </c>
      <c r="U44" s="99" t="s">
        <v>562</v>
      </c>
      <c r="V44" s="99">
        <v>12</v>
      </c>
      <c r="W44" s="99">
        <v>26</v>
      </c>
      <c r="X44" s="99">
        <v>8</v>
      </c>
      <c r="Y44" s="99">
        <v>26</v>
      </c>
      <c r="Z44" s="99">
        <v>12</v>
      </c>
      <c r="AA44" s="99" t="s">
        <v>562</v>
      </c>
      <c r="AB44" s="99" t="s">
        <v>562</v>
      </c>
      <c r="AC44" s="99" t="s">
        <v>562</v>
      </c>
      <c r="AD44" s="98" t="s">
        <v>327</v>
      </c>
      <c r="AE44" s="100">
        <v>0.05394190871369295</v>
      </c>
      <c r="AF44" s="100">
        <v>0.1</v>
      </c>
      <c r="AG44" s="98">
        <v>216.4892657405737</v>
      </c>
      <c r="AH44" s="98">
        <v>162.36694930543027</v>
      </c>
      <c r="AI44" s="100">
        <v>0.012</v>
      </c>
      <c r="AJ44" s="100">
        <v>0.530612</v>
      </c>
      <c r="AK44" s="100">
        <v>0.315789</v>
      </c>
      <c r="AL44" s="100">
        <v>0.665721</v>
      </c>
      <c r="AM44" s="100">
        <v>0.422925</v>
      </c>
      <c r="AN44" s="100">
        <v>0.451923</v>
      </c>
      <c r="AO44" s="98">
        <v>992.2424679776294</v>
      </c>
      <c r="AP44" s="158">
        <v>0.7374823761</v>
      </c>
      <c r="AQ44" s="100" t="s">
        <v>562</v>
      </c>
      <c r="AR44" s="100" t="s">
        <v>562</v>
      </c>
      <c r="AS44" s="98">
        <v>396.8969871910518</v>
      </c>
      <c r="AT44" s="98" t="s">
        <v>562</v>
      </c>
      <c r="AU44" s="98" t="s">
        <v>562</v>
      </c>
      <c r="AV44" s="98">
        <v>216.4892657405737</v>
      </c>
      <c r="AW44" s="98">
        <v>469.060075771243</v>
      </c>
      <c r="AX44" s="98">
        <v>144.32617716038246</v>
      </c>
      <c r="AY44" s="98">
        <v>469.060075771243</v>
      </c>
      <c r="AZ44" s="98">
        <v>216.4892657405737</v>
      </c>
      <c r="BA44" s="100" t="s">
        <v>562</v>
      </c>
      <c r="BB44" s="100" t="s">
        <v>562</v>
      </c>
      <c r="BC44" s="100" t="s">
        <v>562</v>
      </c>
      <c r="BD44" s="158">
        <v>0.5555726242</v>
      </c>
      <c r="BE44" s="158">
        <v>0.9599346924</v>
      </c>
      <c r="BF44" s="162">
        <v>294</v>
      </c>
      <c r="BG44" s="162">
        <v>19</v>
      </c>
      <c r="BH44" s="162">
        <v>2115</v>
      </c>
      <c r="BI44" s="162">
        <v>253</v>
      </c>
      <c r="BJ44" s="162">
        <v>104</v>
      </c>
      <c r="BK44" s="97"/>
      <c r="BL44" s="97"/>
      <c r="BM44" s="97"/>
      <c r="BN44" s="97"/>
    </row>
    <row r="45" spans="1:66" ht="12.75">
      <c r="A45" s="79" t="s">
        <v>545</v>
      </c>
      <c r="B45" s="79" t="s">
        <v>316</v>
      </c>
      <c r="C45" s="79" t="s">
        <v>142</v>
      </c>
      <c r="D45" s="99">
        <v>7351</v>
      </c>
      <c r="E45" s="99">
        <v>850</v>
      </c>
      <c r="F45" s="99" t="s">
        <v>348</v>
      </c>
      <c r="G45" s="99">
        <v>21</v>
      </c>
      <c r="H45" s="99">
        <v>12</v>
      </c>
      <c r="I45" s="99">
        <v>87</v>
      </c>
      <c r="J45" s="99">
        <v>511</v>
      </c>
      <c r="K45" s="99">
        <v>370</v>
      </c>
      <c r="L45" s="99">
        <v>1711</v>
      </c>
      <c r="M45" s="99">
        <v>191</v>
      </c>
      <c r="N45" s="99">
        <v>91</v>
      </c>
      <c r="O45" s="99">
        <v>129</v>
      </c>
      <c r="P45" s="159">
        <v>129</v>
      </c>
      <c r="Q45" s="99">
        <v>13</v>
      </c>
      <c r="R45" s="99">
        <v>29</v>
      </c>
      <c r="S45" s="99">
        <v>34</v>
      </c>
      <c r="T45" s="99">
        <v>19</v>
      </c>
      <c r="U45" s="99" t="s">
        <v>562</v>
      </c>
      <c r="V45" s="99">
        <v>18</v>
      </c>
      <c r="W45" s="99">
        <v>39</v>
      </c>
      <c r="X45" s="99">
        <v>30</v>
      </c>
      <c r="Y45" s="99">
        <v>72</v>
      </c>
      <c r="Z45" s="99">
        <v>40</v>
      </c>
      <c r="AA45" s="99" t="s">
        <v>562</v>
      </c>
      <c r="AB45" s="99" t="s">
        <v>562</v>
      </c>
      <c r="AC45" s="99" t="s">
        <v>562</v>
      </c>
      <c r="AD45" s="98" t="s">
        <v>327</v>
      </c>
      <c r="AE45" s="100">
        <v>0.11563052645898517</v>
      </c>
      <c r="AF45" s="100">
        <v>0.24</v>
      </c>
      <c r="AG45" s="98">
        <v>285.67541831043394</v>
      </c>
      <c r="AH45" s="98">
        <v>163.24309617739084</v>
      </c>
      <c r="AI45" s="100">
        <v>0.012</v>
      </c>
      <c r="AJ45" s="100">
        <v>0.718706</v>
      </c>
      <c r="AK45" s="100">
        <v>0.700758</v>
      </c>
      <c r="AL45" s="100">
        <v>0.82023</v>
      </c>
      <c r="AM45" s="100">
        <v>0.352399</v>
      </c>
      <c r="AN45" s="100">
        <v>0.40991</v>
      </c>
      <c r="AO45" s="98">
        <v>1754.8632839069514</v>
      </c>
      <c r="AP45" s="158">
        <v>1.082204208</v>
      </c>
      <c r="AQ45" s="100">
        <v>0.10077519379844961</v>
      </c>
      <c r="AR45" s="100">
        <v>0.4482758620689655</v>
      </c>
      <c r="AS45" s="98">
        <v>462.5221058359407</v>
      </c>
      <c r="AT45" s="98">
        <v>258.4682356142022</v>
      </c>
      <c r="AU45" s="98" t="s">
        <v>562</v>
      </c>
      <c r="AV45" s="98">
        <v>244.86464426608626</v>
      </c>
      <c r="AW45" s="98">
        <v>530.5400625765202</v>
      </c>
      <c r="AX45" s="98">
        <v>408.1077404434771</v>
      </c>
      <c r="AY45" s="98">
        <v>979.458577064345</v>
      </c>
      <c r="AZ45" s="98">
        <v>544.143653924636</v>
      </c>
      <c r="BA45" s="100" t="s">
        <v>562</v>
      </c>
      <c r="BB45" s="100" t="s">
        <v>562</v>
      </c>
      <c r="BC45" s="100" t="s">
        <v>562</v>
      </c>
      <c r="BD45" s="158">
        <v>0.9035215759</v>
      </c>
      <c r="BE45" s="158">
        <v>1.285881653</v>
      </c>
      <c r="BF45" s="162">
        <v>711</v>
      </c>
      <c r="BG45" s="162">
        <v>528</v>
      </c>
      <c r="BH45" s="162">
        <v>2086</v>
      </c>
      <c r="BI45" s="162">
        <v>542</v>
      </c>
      <c r="BJ45" s="162">
        <v>222</v>
      </c>
      <c r="BK45" s="97"/>
      <c r="BL45" s="97"/>
      <c r="BM45" s="97"/>
      <c r="BN45" s="97"/>
    </row>
    <row r="46" spans="1:66" ht="12.75">
      <c r="A46" s="79" t="s">
        <v>540</v>
      </c>
      <c r="B46" s="79" t="s">
        <v>311</v>
      </c>
      <c r="C46" s="79" t="s">
        <v>142</v>
      </c>
      <c r="D46" s="99">
        <v>6087</v>
      </c>
      <c r="E46" s="99">
        <v>362</v>
      </c>
      <c r="F46" s="99" t="s">
        <v>348</v>
      </c>
      <c r="G46" s="99">
        <v>8</v>
      </c>
      <c r="H46" s="99">
        <v>6</v>
      </c>
      <c r="I46" s="99">
        <v>42</v>
      </c>
      <c r="J46" s="99">
        <v>226</v>
      </c>
      <c r="K46" s="99">
        <v>10</v>
      </c>
      <c r="L46" s="99">
        <v>1176</v>
      </c>
      <c r="M46" s="99">
        <v>83</v>
      </c>
      <c r="N46" s="99">
        <v>45</v>
      </c>
      <c r="O46" s="99">
        <v>66</v>
      </c>
      <c r="P46" s="159">
        <v>66</v>
      </c>
      <c r="Q46" s="99">
        <v>8</v>
      </c>
      <c r="R46" s="99">
        <v>11</v>
      </c>
      <c r="S46" s="99">
        <v>19</v>
      </c>
      <c r="T46" s="99">
        <v>7</v>
      </c>
      <c r="U46" s="99" t="s">
        <v>562</v>
      </c>
      <c r="V46" s="99">
        <v>9</v>
      </c>
      <c r="W46" s="99">
        <v>21</v>
      </c>
      <c r="X46" s="99">
        <v>6</v>
      </c>
      <c r="Y46" s="99">
        <v>38</v>
      </c>
      <c r="Z46" s="99">
        <v>13</v>
      </c>
      <c r="AA46" s="99" t="s">
        <v>562</v>
      </c>
      <c r="AB46" s="99" t="s">
        <v>562</v>
      </c>
      <c r="AC46" s="99" t="s">
        <v>562</v>
      </c>
      <c r="AD46" s="98" t="s">
        <v>327</v>
      </c>
      <c r="AE46" s="100">
        <v>0.05947100377854444</v>
      </c>
      <c r="AF46" s="100">
        <v>0.25</v>
      </c>
      <c r="AG46" s="98">
        <v>131.42763265976672</v>
      </c>
      <c r="AH46" s="98">
        <v>98.57072449482504</v>
      </c>
      <c r="AI46" s="100">
        <v>0.006999999999999999</v>
      </c>
      <c r="AJ46" s="100">
        <v>0.55122</v>
      </c>
      <c r="AK46" s="100">
        <v>0.454545</v>
      </c>
      <c r="AL46" s="100">
        <v>0.717511</v>
      </c>
      <c r="AM46" s="100">
        <v>0.301818</v>
      </c>
      <c r="AN46" s="100">
        <v>0.371901</v>
      </c>
      <c r="AO46" s="98">
        <v>1084.2779694430753</v>
      </c>
      <c r="AP46" s="158">
        <v>0.8728636932</v>
      </c>
      <c r="AQ46" s="100">
        <v>0.12121212121212122</v>
      </c>
      <c r="AR46" s="100">
        <v>0.7272727272727273</v>
      </c>
      <c r="AS46" s="98">
        <v>312.14062756694597</v>
      </c>
      <c r="AT46" s="98">
        <v>114.99917857729588</v>
      </c>
      <c r="AU46" s="98" t="s">
        <v>562</v>
      </c>
      <c r="AV46" s="98">
        <v>147.85608674223755</v>
      </c>
      <c r="AW46" s="98">
        <v>344.99753573188764</v>
      </c>
      <c r="AX46" s="98">
        <v>98.57072449482504</v>
      </c>
      <c r="AY46" s="98">
        <v>624.2812551338919</v>
      </c>
      <c r="AZ46" s="98">
        <v>213.56990307212092</v>
      </c>
      <c r="BA46" s="100" t="s">
        <v>562</v>
      </c>
      <c r="BB46" s="100" t="s">
        <v>562</v>
      </c>
      <c r="BC46" s="100" t="s">
        <v>562</v>
      </c>
      <c r="BD46" s="158">
        <v>0.6750727081</v>
      </c>
      <c r="BE46" s="158">
        <v>1.110496597</v>
      </c>
      <c r="BF46" s="162">
        <v>410</v>
      </c>
      <c r="BG46" s="162">
        <v>22</v>
      </c>
      <c r="BH46" s="162">
        <v>1639</v>
      </c>
      <c r="BI46" s="162">
        <v>275</v>
      </c>
      <c r="BJ46" s="162">
        <v>121</v>
      </c>
      <c r="BK46" s="97"/>
      <c r="BL46" s="97"/>
      <c r="BM46" s="97"/>
      <c r="BN46" s="97"/>
    </row>
    <row r="47" spans="1:66" ht="12.75">
      <c r="A47" s="79" t="s">
        <v>517</v>
      </c>
      <c r="B47" s="79" t="s">
        <v>288</v>
      </c>
      <c r="C47" s="79" t="s">
        <v>142</v>
      </c>
      <c r="D47" s="99">
        <v>4252</v>
      </c>
      <c r="E47" s="99">
        <v>205</v>
      </c>
      <c r="F47" s="99" t="s">
        <v>348</v>
      </c>
      <c r="G47" s="99">
        <v>13</v>
      </c>
      <c r="H47" s="99">
        <v>6</v>
      </c>
      <c r="I47" s="99">
        <v>31</v>
      </c>
      <c r="J47" s="99">
        <v>186</v>
      </c>
      <c r="K47" s="99">
        <v>79</v>
      </c>
      <c r="L47" s="99">
        <v>848</v>
      </c>
      <c r="M47" s="99">
        <v>55</v>
      </c>
      <c r="N47" s="99">
        <v>36</v>
      </c>
      <c r="O47" s="99">
        <v>59</v>
      </c>
      <c r="P47" s="159">
        <v>59</v>
      </c>
      <c r="Q47" s="99" t="s">
        <v>562</v>
      </c>
      <c r="R47" s="99">
        <v>8</v>
      </c>
      <c r="S47" s="99">
        <v>14</v>
      </c>
      <c r="T47" s="99">
        <v>8</v>
      </c>
      <c r="U47" s="99" t="s">
        <v>562</v>
      </c>
      <c r="V47" s="99">
        <v>11</v>
      </c>
      <c r="W47" s="99">
        <v>17</v>
      </c>
      <c r="X47" s="99" t="s">
        <v>562</v>
      </c>
      <c r="Y47" s="99">
        <v>29</v>
      </c>
      <c r="Z47" s="99">
        <v>11</v>
      </c>
      <c r="AA47" s="99" t="s">
        <v>562</v>
      </c>
      <c r="AB47" s="99" t="s">
        <v>562</v>
      </c>
      <c r="AC47" s="99" t="s">
        <v>562</v>
      </c>
      <c r="AD47" s="98" t="s">
        <v>327</v>
      </c>
      <c r="AE47" s="100">
        <v>0.04821260583254939</v>
      </c>
      <c r="AF47" s="100">
        <v>0.29</v>
      </c>
      <c r="AG47" s="98">
        <v>305.7384760112888</v>
      </c>
      <c r="AH47" s="98">
        <v>141.11006585136406</v>
      </c>
      <c r="AI47" s="100">
        <v>0.006999999999999999</v>
      </c>
      <c r="AJ47" s="100">
        <v>0.699248</v>
      </c>
      <c r="AK47" s="100">
        <v>0.681034</v>
      </c>
      <c r="AL47" s="100">
        <v>0.719864</v>
      </c>
      <c r="AM47" s="100">
        <v>0.302198</v>
      </c>
      <c r="AN47" s="100">
        <v>0.423529</v>
      </c>
      <c r="AO47" s="98">
        <v>1387.58231420508</v>
      </c>
      <c r="AP47" s="158">
        <v>1.154260712</v>
      </c>
      <c r="AQ47" s="100" t="s">
        <v>562</v>
      </c>
      <c r="AR47" s="100" t="s">
        <v>562</v>
      </c>
      <c r="AS47" s="98">
        <v>329.2568203198495</v>
      </c>
      <c r="AT47" s="98">
        <v>188.14675446848543</v>
      </c>
      <c r="AU47" s="98" t="s">
        <v>562</v>
      </c>
      <c r="AV47" s="98">
        <v>258.70178739416747</v>
      </c>
      <c r="AW47" s="98">
        <v>399.8118532455315</v>
      </c>
      <c r="AX47" s="98" t="s">
        <v>562</v>
      </c>
      <c r="AY47" s="98">
        <v>682.0319849482596</v>
      </c>
      <c r="AZ47" s="98">
        <v>258.70178739416747</v>
      </c>
      <c r="BA47" s="100" t="s">
        <v>562</v>
      </c>
      <c r="BB47" s="100" t="s">
        <v>562</v>
      </c>
      <c r="BC47" s="100" t="s">
        <v>562</v>
      </c>
      <c r="BD47" s="158">
        <v>0.8786767578</v>
      </c>
      <c r="BE47" s="158">
        <v>1.488912201</v>
      </c>
      <c r="BF47" s="162">
        <v>266</v>
      </c>
      <c r="BG47" s="162">
        <v>116</v>
      </c>
      <c r="BH47" s="162">
        <v>1178</v>
      </c>
      <c r="BI47" s="162">
        <v>182</v>
      </c>
      <c r="BJ47" s="162">
        <v>85</v>
      </c>
      <c r="BK47" s="97"/>
      <c r="BL47" s="97"/>
      <c r="BM47" s="97"/>
      <c r="BN47" s="97"/>
    </row>
    <row r="48" spans="1:66" ht="12.75">
      <c r="A48" s="79" t="s">
        <v>143</v>
      </c>
      <c r="B48" s="94" t="s">
        <v>142</v>
      </c>
      <c r="C48" s="94" t="s">
        <v>7</v>
      </c>
      <c r="D48" s="99">
        <v>308593</v>
      </c>
      <c r="E48" s="99">
        <v>22248</v>
      </c>
      <c r="F48" s="99">
        <v>65292.159999999996</v>
      </c>
      <c r="G48" s="99">
        <v>778</v>
      </c>
      <c r="H48" s="99">
        <v>396</v>
      </c>
      <c r="I48" s="99">
        <v>2759</v>
      </c>
      <c r="J48" s="99">
        <v>13331</v>
      </c>
      <c r="K48" s="99">
        <v>2852</v>
      </c>
      <c r="L48" s="99">
        <v>62006</v>
      </c>
      <c r="M48" s="99">
        <v>5811</v>
      </c>
      <c r="N48" s="99">
        <v>2739</v>
      </c>
      <c r="O48" s="99">
        <v>4072</v>
      </c>
      <c r="P48" s="99">
        <v>4072</v>
      </c>
      <c r="Q48" s="99">
        <v>328</v>
      </c>
      <c r="R48" s="99">
        <v>766</v>
      </c>
      <c r="S48" s="99">
        <v>964</v>
      </c>
      <c r="T48" s="99">
        <v>458</v>
      </c>
      <c r="U48" s="99">
        <v>175</v>
      </c>
      <c r="V48" s="99">
        <v>860</v>
      </c>
      <c r="W48" s="99">
        <v>1301</v>
      </c>
      <c r="X48" s="99">
        <v>606</v>
      </c>
      <c r="Y48" s="99">
        <v>2132</v>
      </c>
      <c r="Z48" s="99">
        <v>1042</v>
      </c>
      <c r="AA48" s="99">
        <v>0</v>
      </c>
      <c r="AB48" s="99">
        <v>0</v>
      </c>
      <c r="AC48" s="99">
        <v>0</v>
      </c>
      <c r="AD48" s="98">
        <v>0</v>
      </c>
      <c r="AE48" s="101">
        <v>0.07209496002825729</v>
      </c>
      <c r="AF48" s="101">
        <v>0.2115801719416837</v>
      </c>
      <c r="AG48" s="98">
        <v>252.1120051329745</v>
      </c>
      <c r="AH48" s="98">
        <v>128.32436250984307</v>
      </c>
      <c r="AI48" s="101">
        <v>0.008940578691026692</v>
      </c>
      <c r="AJ48" s="101">
        <v>0.6036223681231605</v>
      </c>
      <c r="AK48" s="101">
        <v>0.5941666666666666</v>
      </c>
      <c r="AL48" s="101">
        <v>0.6994314849072779</v>
      </c>
      <c r="AM48" s="101">
        <v>0.3598142414860681</v>
      </c>
      <c r="AN48" s="101">
        <v>0.40320918592668925</v>
      </c>
      <c r="AO48" s="98">
        <v>1319.5373841921237</v>
      </c>
      <c r="AP48" s="98">
        <v>0</v>
      </c>
      <c r="AQ48" s="101">
        <v>0.08055009823182711</v>
      </c>
      <c r="AR48" s="101">
        <v>0.4281984334203655</v>
      </c>
      <c r="AS48" s="98">
        <v>312.3855693421432</v>
      </c>
      <c r="AT48" s="98">
        <v>148.41555057956597</v>
      </c>
      <c r="AU48" s="98">
        <v>56.708998583895294</v>
      </c>
      <c r="AV48" s="98">
        <v>278.68422161228546</v>
      </c>
      <c r="AW48" s="98">
        <v>421.5908980437016</v>
      </c>
      <c r="AX48" s="98">
        <v>196.3751608105174</v>
      </c>
      <c r="AY48" s="98">
        <v>690.8776284620843</v>
      </c>
      <c r="AZ48" s="98">
        <v>337.66158013953657</v>
      </c>
      <c r="BA48" s="101">
        <v>0</v>
      </c>
      <c r="BB48" s="101">
        <v>0</v>
      </c>
      <c r="BC48" s="101">
        <v>0</v>
      </c>
      <c r="BD48" s="98">
        <v>0</v>
      </c>
      <c r="BE48" s="98">
        <v>0</v>
      </c>
      <c r="BF48" s="99">
        <v>22085</v>
      </c>
      <c r="BG48" s="99">
        <v>4800</v>
      </c>
      <c r="BH48" s="99">
        <v>88652</v>
      </c>
      <c r="BI48" s="99">
        <v>16150</v>
      </c>
      <c r="BJ48" s="99">
        <v>6793</v>
      </c>
      <c r="BK48" s="97"/>
      <c r="BL48" s="97"/>
      <c r="BM48" s="97"/>
      <c r="BN48" s="97"/>
    </row>
    <row r="49" spans="1:66" ht="12.75">
      <c r="A49" s="79" t="s">
        <v>24</v>
      </c>
      <c r="B49" s="94" t="s">
        <v>7</v>
      </c>
      <c r="C49" s="94" t="s">
        <v>7</v>
      </c>
      <c r="D49" s="99">
        <v>54615830</v>
      </c>
      <c r="E49" s="99">
        <v>8737890</v>
      </c>
      <c r="F49" s="99">
        <v>8198344.169999988</v>
      </c>
      <c r="G49" s="99">
        <v>243379</v>
      </c>
      <c r="H49" s="99">
        <v>127868</v>
      </c>
      <c r="I49" s="99">
        <v>870616</v>
      </c>
      <c r="J49" s="99">
        <v>4592627</v>
      </c>
      <c r="K49" s="99">
        <v>1679592</v>
      </c>
      <c r="L49" s="99">
        <v>10150944</v>
      </c>
      <c r="M49" s="99">
        <v>2959539</v>
      </c>
      <c r="N49" s="99">
        <v>1629320</v>
      </c>
      <c r="O49" s="99">
        <v>989730</v>
      </c>
      <c r="P49" s="99">
        <v>989730</v>
      </c>
      <c r="Q49" s="99">
        <v>108072</v>
      </c>
      <c r="R49" s="99">
        <v>238330</v>
      </c>
      <c r="S49" s="99">
        <v>206300</v>
      </c>
      <c r="T49" s="99">
        <v>154264</v>
      </c>
      <c r="U49" s="99">
        <v>38486</v>
      </c>
      <c r="V49" s="99">
        <v>176535</v>
      </c>
      <c r="W49" s="99">
        <v>307276</v>
      </c>
      <c r="X49" s="99">
        <v>221506</v>
      </c>
      <c r="Y49" s="99">
        <v>578574</v>
      </c>
      <c r="Z49" s="99">
        <v>318377</v>
      </c>
      <c r="AA49" s="99">
        <v>0</v>
      </c>
      <c r="AB49" s="99">
        <v>0</v>
      </c>
      <c r="AC49" s="99">
        <v>0</v>
      </c>
      <c r="AD49" s="98">
        <v>0</v>
      </c>
      <c r="AE49" s="101">
        <v>0.1599882305185145</v>
      </c>
      <c r="AF49" s="101">
        <v>0.15010930292554353</v>
      </c>
      <c r="AG49" s="98">
        <v>445.6198871279627</v>
      </c>
      <c r="AH49" s="98">
        <v>234.12259778895606</v>
      </c>
      <c r="AI49" s="101">
        <v>0.015940726342527432</v>
      </c>
      <c r="AJ49" s="101">
        <v>0.7248631360507991</v>
      </c>
      <c r="AK49" s="101">
        <v>0.7467412166569077</v>
      </c>
      <c r="AL49" s="101">
        <v>0.7559681673907895</v>
      </c>
      <c r="AM49" s="101">
        <v>0.5147293797466616</v>
      </c>
      <c r="AN49" s="101">
        <v>0.5752927626212945</v>
      </c>
      <c r="AO49" s="98">
        <v>1812.1669120472948</v>
      </c>
      <c r="AP49" s="98">
        <v>1</v>
      </c>
      <c r="AQ49" s="101">
        <v>0.10919341638628717</v>
      </c>
      <c r="AR49" s="101">
        <v>0.4534552930810221</v>
      </c>
      <c r="AS49" s="98">
        <v>377.7293140102421</v>
      </c>
      <c r="AT49" s="98">
        <v>282.45290788403287</v>
      </c>
      <c r="AU49" s="98">
        <v>70.46674929228394</v>
      </c>
      <c r="AV49" s="98">
        <v>323.23046266988894</v>
      </c>
      <c r="AW49" s="98">
        <v>562.6134400960308</v>
      </c>
      <c r="AX49" s="98">
        <v>405.57105879375996</v>
      </c>
      <c r="AY49" s="98">
        <v>1059.3522061277838</v>
      </c>
      <c r="AZ49" s="98">
        <v>582.9390489900089</v>
      </c>
      <c r="BA49" s="101">
        <v>0</v>
      </c>
      <c r="BB49" s="101">
        <v>0</v>
      </c>
      <c r="BC49" s="101">
        <v>0</v>
      </c>
      <c r="BD49" s="98">
        <v>0</v>
      </c>
      <c r="BE49" s="98">
        <v>0</v>
      </c>
      <c r="BF49" s="99">
        <v>6335854</v>
      </c>
      <c r="BG49" s="99">
        <v>2249229</v>
      </c>
      <c r="BH49" s="99">
        <v>13427740</v>
      </c>
      <c r="BI49" s="99">
        <v>5749699</v>
      </c>
      <c r="BJ49" s="99">
        <v>2832158</v>
      </c>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332</v>
      </c>
      <c r="O4" s="75" t="s">
        <v>331</v>
      </c>
      <c r="P4" s="75" t="s">
        <v>458</v>
      </c>
      <c r="Q4" s="75" t="s">
        <v>459</v>
      </c>
      <c r="R4" s="75" t="s">
        <v>460</v>
      </c>
      <c r="S4" s="75" t="s">
        <v>461</v>
      </c>
      <c r="T4" s="39" t="s">
        <v>278</v>
      </c>
      <c r="U4" s="40" t="s">
        <v>279</v>
      </c>
      <c r="V4" s="41" t="s">
        <v>7</v>
      </c>
      <c r="W4" s="24" t="s">
        <v>2</v>
      </c>
      <c r="X4" s="24" t="s">
        <v>3</v>
      </c>
      <c r="Y4" s="75" t="s">
        <v>566</v>
      </c>
      <c r="Z4" s="75" t="s">
        <v>565</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743</v>
      </c>
      <c r="E7" s="38">
        <f>IF(LEFT(VLOOKUP($B7,'Indicator chart'!$D$1:$J$36,5,FALSE),1)=" "," ",VLOOKUP($B7,'Indicator chart'!$D$1:$J$36,5,FALSE))</f>
        <v>0.06859939063798356</v>
      </c>
      <c r="F7" s="38">
        <f>IF(LEFT(VLOOKUP($B7,'Indicator chart'!$D$1:$J$36,6,FALSE),1)=" "," ",VLOOKUP($B7,'Indicator chart'!$D$1:$J$36,6,FALSE))</f>
        <v>0.06399026105590237</v>
      </c>
      <c r="G7" s="38">
        <f>IF(LEFT(VLOOKUP($B7,'Indicator chart'!$D$1:$J$36,7,FALSE),1)=" "," ",VLOOKUP($B7,'Indicator chart'!$D$1:$J$36,7,FALSE))</f>
        <v>0.07351443490568879</v>
      </c>
      <c r="H7" s="50">
        <f aca="true" t="shared" si="0" ref="H7:H31">IF(LEFT(F7,1)=" ",4,IF(AND(ABS(N7-E7)&gt;SQRT((E7-G7)^2+(N7-R7)^2),E7&lt;N7),1,IF(AND(ABS(N7-E7)&gt;SQRT((E7-F7)^2+(N7-S7)^2),E7&gt;N7),3,2)))</f>
        <v>2</v>
      </c>
      <c r="I7" s="38">
        <v>0.03739693760871887</v>
      </c>
      <c r="J7" s="38">
        <v>0.056648146361112595</v>
      </c>
      <c r="K7" s="38">
        <v>0.07002538442611694</v>
      </c>
      <c r="L7" s="38">
        <v>0.08934253454208374</v>
      </c>
      <c r="M7" s="38">
        <v>0.18338461220264435</v>
      </c>
      <c r="N7" s="80">
        <f>VLOOKUP('Hide - Control'!B$3,'All practice data'!A:CA,A7+29,FALSE)</f>
        <v>0.07209496002825729</v>
      </c>
      <c r="O7" s="80">
        <f>VLOOKUP('Hide - Control'!C$3,'All practice data'!A:CA,A7+29,FALSE)</f>
        <v>0.1599882305185145</v>
      </c>
      <c r="P7" s="38">
        <f>VLOOKUP('Hide - Control'!$B$4,'All practice data'!B:BC,A7+2,FALSE)</f>
        <v>22248</v>
      </c>
      <c r="Q7" s="38">
        <f>VLOOKUP('Hide - Control'!$B$4,'All practice data'!B:BC,3,FALSE)</f>
        <v>308593</v>
      </c>
      <c r="R7" s="38">
        <f>+((2*P7+1.96^2-1.96*SQRT(1.96^2+4*P7*(1-P7/Q7)))/(2*(Q7+1.96^2)))</f>
        <v>0.07118770473805565</v>
      </c>
      <c r="S7" s="38">
        <f>+((2*P7+1.96^2+1.96*SQRT(1.96^2+4*P7*(1-P7/Q7)))/(2*(Q7+1.96^2)))</f>
        <v>0.07301286895958521</v>
      </c>
      <c r="T7" s="53">
        <f>IF($C7=1,M7,I7)</f>
        <v>0.18338461220264435</v>
      </c>
      <c r="U7" s="51">
        <f aca="true" t="shared" si="1" ref="U7:U15">IF($C7=1,I7,M7)</f>
        <v>0.03739693760871887</v>
      </c>
      <c r="V7" s="7">
        <v>1</v>
      </c>
      <c r="W7" s="27">
        <f aca="true" t="shared" si="2" ref="W7:W31">IF((K7-I7)&gt;(M7-K7),I7,(K7-(M7-K7)))</f>
        <v>-0.04333384335041046</v>
      </c>
      <c r="X7" s="27">
        <f aca="true" t="shared" si="3" ref="X7:X31">IF(W7=I7,K7+(K7-I7),M7)</f>
        <v>0.18338461220264435</v>
      </c>
      <c r="Y7" s="27">
        <f aca="true" t="shared" si="4" ref="Y7:Y31">IF(C7=1,W7,X7)</f>
        <v>-0.04333384335041046</v>
      </c>
      <c r="Z7" s="27">
        <f aca="true" t="shared" si="5" ref="Z7:Z31">IF(C7=1,X7,W7)</f>
        <v>0.18338461220264435</v>
      </c>
      <c r="AA7" s="32">
        <f aca="true" t="shared" si="6" ref="AA7:AA31">IF(ISERROR(IF(C7=1,(I7-$Y7)/($Z7-$Y7),(U7-$Y7)/($Z7-$Y7))),"",IF(C7=1,(I7-$Y7)/($Z7-$Y7),(U7-$Y7)/($Z7-$Y7)))</f>
        <v>0.35608385193960257</v>
      </c>
      <c r="AB7" s="33">
        <f aca="true" t="shared" si="7" ref="AB7:AB31">IF(ISERROR(IF(C7=1,(J7-$Y7)/($Z7-$Y7),(L7-$Y7)/($Z7-$Y7))),"",IF(C7=1,(J7-$Y7)/($Z7-$Y7),(L7-$Y7)/($Z7-$Y7)))</f>
        <v>0.44099625444090096</v>
      </c>
      <c r="AC7" s="33">
        <v>0.5</v>
      </c>
      <c r="AD7" s="33">
        <f aca="true" t="shared" si="8" ref="AD7:AD31">IF(ISERROR(IF(C7=1,(L7-$Y7)/($Z7-$Y7),(J7-$Y7)/($Z7-$Y7))),"",IF(C7=1,(L7-$Y7)/($Z7-$Y7),(J7-$Y7)/($Z7-$Y7)))</f>
        <v>0.5852032538279459</v>
      </c>
      <c r="AE7" s="33">
        <f aca="true" t="shared" si="9" ref="AE7:AE31">IF(ISERROR(IF(C7=1,(M7-$Y7)/($Z7-$Y7),(I7-$Y7)/($Z7-$Y7))),"",IF(C7=1,(M7-$Y7)/($Z7-$Y7),(I7-$Y7)/($Z7-$Y7)))</f>
        <v>1</v>
      </c>
      <c r="AF7" s="33">
        <f aca="true" t="shared" si="10" ref="AF7:AF30">IF(E7=" ",-999,IF(H7=4,(E7-$Y7)/($Z7-$Y7),-999))</f>
        <v>-999</v>
      </c>
      <c r="AG7" s="33">
        <f aca="true" t="shared" si="11" ref="AG7:AG31">IF(E7=" ",-999,IF(H7=2,(E7-$Y7)/($Z7-$Y7),-999))</f>
        <v>0.4937102880104982</v>
      </c>
      <c r="AH7" s="33">
        <f aca="true" t="shared" si="12" ref="AH7:AH31">IF(E7=" ",-999,IF(MAX(AK7:AL7)&gt;-999,MAX(AK7:AL7),-999))</f>
        <v>-999</v>
      </c>
      <c r="AI7" s="34">
        <f aca="true" t="shared" si="13" ref="AI7:AI31">IF(ISERROR((O7-$Y7)/($Z7-$Y7)),-999,(O7-$Y7)/($Z7-$Y7))</f>
        <v>0.8968042472455233</v>
      </c>
      <c r="AJ7" s="4">
        <v>2.7020512924389086</v>
      </c>
      <c r="AK7" s="32">
        <f aca="true" t="shared" si="14" ref="AK7:AK31">IF(H7=1,(E7-$Y7)/($Z7-$Y7),-999)</f>
        <v>-999</v>
      </c>
      <c r="AL7" s="34">
        <f aca="true" t="shared" si="15" ref="AL7:AL31">IF(H7=3,(E7-$Y7)/($Z7-$Y7),-999)</f>
        <v>-999</v>
      </c>
      <c r="AQ7" s="103">
        <v>2</v>
      </c>
      <c r="AR7" s="103">
        <v>0.2422</v>
      </c>
      <c r="AS7" s="103">
        <v>7.2247</v>
      </c>
      <c r="AY7" s="103" t="s">
        <v>68</v>
      </c>
      <c r="AZ7" s="103" t="s">
        <v>380</v>
      </c>
      <c r="BA7" s="103" t="s">
        <v>327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0.17</v>
      </c>
      <c r="F8" s="38">
        <f>IF(LEFT(VLOOKUP($B8,'Indicator chart'!$D$1:$J$36,6,FALSE),1)=" "," ",VLOOKUP($B8,'Indicator chart'!$D$1:$J$36,6,FALSE))</f>
        <v>0.1630429615424516</v>
      </c>
      <c r="G8" s="38">
        <f>IF(LEFT(VLOOKUP($B8,'Indicator chart'!$D$1:$J$36,7,FALSE),1)=" "," ",VLOOKUP($B8,'Indicator chart'!$D$1:$J$36,7,FALSE))</f>
        <v>0.1771910479699718</v>
      </c>
      <c r="H8" s="50">
        <f t="shared" si="0"/>
        <v>1</v>
      </c>
      <c r="I8" s="38">
        <v>0.09000000357627869</v>
      </c>
      <c r="J8" s="38">
        <v>0.18000000715255737</v>
      </c>
      <c r="K8" s="38">
        <v>0.23999999463558197</v>
      </c>
      <c r="L8" s="38">
        <v>0.25999999046325684</v>
      </c>
      <c r="M8" s="38">
        <v>0.28999999165534973</v>
      </c>
      <c r="N8" s="80">
        <f>VLOOKUP('Hide - Control'!B$3,'All practice data'!A:CA,A8+29,FALSE)</f>
        <v>0.2115801719416837</v>
      </c>
      <c r="O8" s="80">
        <f>VLOOKUP('Hide - Control'!C$3,'All practice data'!A:CA,A8+29,FALSE)</f>
        <v>0.15010930292554353</v>
      </c>
      <c r="P8" s="38">
        <f>VLOOKUP('Hide - Control'!$B$4,'All practice data'!B:BC,A8+2,FALSE)</f>
        <v>65292.159999999996</v>
      </c>
      <c r="Q8" s="38">
        <f>VLOOKUP('Hide - Control'!$B$4,'All practice data'!B:BC,3,FALSE)</f>
        <v>308593</v>
      </c>
      <c r="R8" s="38">
        <f>+((2*P8+1.96^2-1.96*SQRT(1.96^2+4*P8*(1-P8/Q8)))/(2*(Q8+1.96^2)))</f>
        <v>0.21014271607249993</v>
      </c>
      <c r="S8" s="38">
        <f>+((2*P8+1.96^2+1.96*SQRT(1.96^2+4*P8*(1-P8/Q8)))/(2*(Q8+1.96^2)))</f>
        <v>0.21302480865954837</v>
      </c>
      <c r="T8" s="53">
        <f aca="true" t="shared" si="16" ref="T8:T15">IF($C8=1,M8,I8)</f>
        <v>0.28999999165534973</v>
      </c>
      <c r="U8" s="51">
        <f t="shared" si="1"/>
        <v>0.09000000357627869</v>
      </c>
      <c r="V8" s="7"/>
      <c r="W8" s="27">
        <f t="shared" si="2"/>
        <v>0.09000000357627869</v>
      </c>
      <c r="X8" s="27">
        <f t="shared" si="3"/>
        <v>0.38999998569488525</v>
      </c>
      <c r="Y8" s="27">
        <f t="shared" si="4"/>
        <v>0.09000000357627869</v>
      </c>
      <c r="Z8" s="27">
        <f t="shared" si="5"/>
        <v>0.38999998569488525</v>
      </c>
      <c r="AA8" s="32">
        <f t="shared" si="6"/>
        <v>0</v>
      </c>
      <c r="AB8" s="33">
        <f t="shared" si="7"/>
        <v>0.30000002980232415</v>
      </c>
      <c r="AC8" s="33">
        <v>0.5</v>
      </c>
      <c r="AD8" s="33">
        <f t="shared" si="8"/>
        <v>0.5666666567325586</v>
      </c>
      <c r="AE8" s="33">
        <f t="shared" si="9"/>
        <v>0.6666666666666666</v>
      </c>
      <c r="AF8" s="33">
        <f t="shared" si="10"/>
        <v>-999</v>
      </c>
      <c r="AG8" s="33">
        <f t="shared" si="11"/>
        <v>-999</v>
      </c>
      <c r="AH8" s="33">
        <f t="shared" si="12"/>
        <v>0.2666666706403099</v>
      </c>
      <c r="AI8" s="34">
        <f t="shared" si="13"/>
        <v>0.20036434310686163</v>
      </c>
      <c r="AJ8" s="4">
        <v>3.778046717820832</v>
      </c>
      <c r="AK8" s="32">
        <f t="shared" si="14"/>
        <v>0.2666666706403099</v>
      </c>
      <c r="AL8" s="34">
        <f t="shared" si="15"/>
        <v>-999</v>
      </c>
      <c r="AQ8" s="103">
        <v>3</v>
      </c>
      <c r="AR8" s="103">
        <v>0.6187</v>
      </c>
      <c r="AS8" s="103">
        <v>8.7673</v>
      </c>
      <c r="AY8" s="103" t="s">
        <v>118</v>
      </c>
      <c r="AZ8" s="103" t="s">
        <v>119</v>
      </c>
      <c r="BA8" s="103" t="s">
        <v>327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30</v>
      </c>
      <c r="E9" s="38">
        <f>IF(LEFT(VLOOKUP($B9,'Indicator chart'!$D$1:$J$36,5,FALSE),1)=" "," ",VLOOKUP($B9,'Indicator chart'!$D$1:$J$36,5,FALSE))</f>
        <v>276.9827347428677</v>
      </c>
      <c r="F9" s="38">
        <f>IF(LEFT(VLOOKUP($B9,'Indicator chart'!$D$1:$J$36,6,FALSE),1)=" "," ",VLOOKUP($B9,'Indicator chart'!$D$1:$J$36,6,FALSE))</f>
        <v>186.8413568995921</v>
      </c>
      <c r="G9" s="38">
        <f>IF(LEFT(VLOOKUP($B9,'Indicator chart'!$D$1:$J$36,7,FALSE),1)=" "," ",VLOOKUP($B9,'Indicator chart'!$D$1:$J$36,7,FALSE))</f>
        <v>395.4262827516089</v>
      </c>
      <c r="H9" s="50">
        <f t="shared" si="0"/>
        <v>2</v>
      </c>
      <c r="I9" s="38">
        <v>92.60600280761719</v>
      </c>
      <c r="J9" s="38">
        <v>197.1317138671875</v>
      </c>
      <c r="K9" s="38">
        <v>232.64871215820312</v>
      </c>
      <c r="L9" s="38">
        <v>317.35736083984375</v>
      </c>
      <c r="M9" s="38">
        <v>553.8461303710938</v>
      </c>
      <c r="N9" s="80">
        <f>VLOOKUP('Hide - Control'!B$3,'All practice data'!A:CA,A9+29,FALSE)</f>
        <v>252.1120051329745</v>
      </c>
      <c r="O9" s="80">
        <f>VLOOKUP('Hide - Control'!C$3,'All practice data'!A:CA,A9+29,FALSE)</f>
        <v>445.6198871279627</v>
      </c>
      <c r="P9" s="38">
        <f>VLOOKUP('Hide - Control'!$B$4,'All practice data'!B:BC,A9+2,FALSE)</f>
        <v>778</v>
      </c>
      <c r="Q9" s="38">
        <f>VLOOKUP('Hide - Control'!$B$4,'All practice data'!B:BC,3,FALSE)</f>
        <v>308593</v>
      </c>
      <c r="R9" s="38">
        <f>100000*(P9*(1-1/(9*P9)-1.96/(3*SQRT(P9)))^3)/Q9</f>
        <v>234.70496230498634</v>
      </c>
      <c r="S9" s="38">
        <f>100000*((P9+1)*(1-1/(9*(P9+1))+1.96/(3*SQRT(P9+1)))^3)/Q9</f>
        <v>270.46827773668247</v>
      </c>
      <c r="T9" s="53">
        <f t="shared" si="16"/>
        <v>553.8461303710938</v>
      </c>
      <c r="U9" s="51">
        <f t="shared" si="1"/>
        <v>92.60600280761719</v>
      </c>
      <c r="V9" s="7"/>
      <c r="W9" s="27">
        <f t="shared" si="2"/>
        <v>-88.5487060546875</v>
      </c>
      <c r="X9" s="27">
        <f t="shared" si="3"/>
        <v>553.8461303710938</v>
      </c>
      <c r="Y9" s="27">
        <f t="shared" si="4"/>
        <v>-88.5487060546875</v>
      </c>
      <c r="Z9" s="27">
        <f t="shared" si="5"/>
        <v>553.8461303710938</v>
      </c>
      <c r="AA9" s="32">
        <f t="shared" si="6"/>
        <v>0.2819990114961553</v>
      </c>
      <c r="AB9" s="33">
        <f t="shared" si="7"/>
        <v>0.4447115756897603</v>
      </c>
      <c r="AC9" s="33">
        <v>0.5</v>
      </c>
      <c r="AD9" s="33">
        <f t="shared" si="8"/>
        <v>0.6318638380609515</v>
      </c>
      <c r="AE9" s="33">
        <f t="shared" si="9"/>
        <v>1</v>
      </c>
      <c r="AF9" s="33">
        <f t="shared" si="10"/>
        <v>-999</v>
      </c>
      <c r="AG9" s="33">
        <f t="shared" si="11"/>
        <v>0.5690136658497047</v>
      </c>
      <c r="AH9" s="33">
        <f t="shared" si="12"/>
        <v>-999</v>
      </c>
      <c r="AI9" s="34">
        <f t="shared" si="13"/>
        <v>0.8315269097658216</v>
      </c>
      <c r="AJ9" s="4">
        <v>4.854042143202755</v>
      </c>
      <c r="AK9" s="32">
        <f t="shared" si="14"/>
        <v>-999</v>
      </c>
      <c r="AL9" s="34">
        <f t="shared" si="15"/>
        <v>-999</v>
      </c>
      <c r="AQ9" s="103">
        <v>4</v>
      </c>
      <c r="AR9" s="103">
        <v>1.0899</v>
      </c>
      <c r="AS9" s="103">
        <v>10.2416</v>
      </c>
      <c r="AY9" s="103" t="s">
        <v>90</v>
      </c>
      <c r="AZ9" s="103" t="s">
        <v>390</v>
      </c>
      <c r="BA9" s="103" t="s">
        <v>327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21</v>
      </c>
      <c r="E10" s="38">
        <f>IF(LEFT(VLOOKUP($B10,'Indicator chart'!$D$1:$J$36,5,FALSE),1)=" "," ",VLOOKUP($B10,'Indicator chart'!$D$1:$J$36,5,FALSE))</f>
        <v>193.88791432000738</v>
      </c>
      <c r="F10" s="38">
        <f>IF(LEFT(VLOOKUP($B10,'Indicator chart'!$D$1:$J$36,6,FALSE),1)=" "," ",VLOOKUP($B10,'Indicator chart'!$D$1:$J$36,6,FALSE))</f>
        <v>119.97300953052499</v>
      </c>
      <c r="G10" s="38">
        <f>IF(LEFT(VLOOKUP($B10,'Indicator chart'!$D$1:$J$36,7,FALSE),1)=" "," ",VLOOKUP($B10,'Indicator chart'!$D$1:$J$36,7,FALSE))</f>
        <v>296.3942166383134</v>
      </c>
      <c r="H10" s="50">
        <f t="shared" si="0"/>
        <v>2</v>
      </c>
      <c r="I10" s="38">
        <v>44.173431396484375</v>
      </c>
      <c r="J10" s="38">
        <v>95.13494110107422</v>
      </c>
      <c r="K10" s="38">
        <v>136.70950317382812</v>
      </c>
      <c r="L10" s="38">
        <v>162.5859832763672</v>
      </c>
      <c r="M10" s="38">
        <v>369.23077392578125</v>
      </c>
      <c r="N10" s="80">
        <f>VLOOKUP('Hide - Control'!B$3,'All practice data'!A:CA,A10+29,FALSE)</f>
        <v>128.32436250984307</v>
      </c>
      <c r="O10" s="80">
        <f>VLOOKUP('Hide - Control'!C$3,'All practice data'!A:CA,A10+29,FALSE)</f>
        <v>234.12259778895606</v>
      </c>
      <c r="P10" s="38">
        <f>VLOOKUP('Hide - Control'!$B$4,'All practice data'!B:BC,A10+2,FALSE)</f>
        <v>396</v>
      </c>
      <c r="Q10" s="38">
        <f>VLOOKUP('Hide - Control'!$B$4,'All practice data'!B:BC,3,FALSE)</f>
        <v>308593</v>
      </c>
      <c r="R10" s="38">
        <f>100000*(P10*(1-1/(9*P10)-1.96/(3*SQRT(P10)))^3)/Q10</f>
        <v>115.99462634507137</v>
      </c>
      <c r="S10" s="38">
        <f>100000*((P10+1)*(1-1/(9*(P10+1))+1.96/(3*SQRT(P10+1)))^3)/Q10</f>
        <v>141.60781273405743</v>
      </c>
      <c r="T10" s="53">
        <f t="shared" si="16"/>
        <v>369.23077392578125</v>
      </c>
      <c r="U10" s="51">
        <f t="shared" si="1"/>
        <v>44.173431396484375</v>
      </c>
      <c r="V10" s="7"/>
      <c r="W10" s="27">
        <f t="shared" si="2"/>
        <v>-95.811767578125</v>
      </c>
      <c r="X10" s="27">
        <f t="shared" si="3"/>
        <v>369.23077392578125</v>
      </c>
      <c r="Y10" s="27">
        <f t="shared" si="4"/>
        <v>-95.811767578125</v>
      </c>
      <c r="Z10" s="27">
        <f t="shared" si="5"/>
        <v>369.23077392578125</v>
      </c>
      <c r="AA10" s="32">
        <f t="shared" si="6"/>
        <v>0.30101589958180963</v>
      </c>
      <c r="AB10" s="33">
        <f t="shared" si="7"/>
        <v>0.4106005185282502</v>
      </c>
      <c r="AC10" s="33">
        <v>0.5</v>
      </c>
      <c r="AD10" s="33">
        <f t="shared" si="8"/>
        <v>0.5556432536663352</v>
      </c>
      <c r="AE10" s="33">
        <f t="shared" si="9"/>
        <v>1</v>
      </c>
      <c r="AF10" s="33">
        <f t="shared" si="10"/>
        <v>-999</v>
      </c>
      <c r="AG10" s="33">
        <f t="shared" si="11"/>
        <v>0.6229530764245124</v>
      </c>
      <c r="AH10" s="33">
        <f t="shared" si="12"/>
        <v>-999</v>
      </c>
      <c r="AI10" s="34">
        <f t="shared" si="13"/>
        <v>0.7094713621255007</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129</v>
      </c>
      <c r="E11" s="38">
        <f>IF(LEFT(VLOOKUP($B11,'Indicator chart'!$D$1:$J$36,5,FALSE),1)=" "," ",VLOOKUP($B11,'Indicator chart'!$D$1:$J$36,5,FALSE))</f>
        <v>0.012</v>
      </c>
      <c r="F11" s="38">
        <f>IF(LEFT(VLOOKUP($B11,'Indicator chart'!$D$1:$J$36,6,FALSE),1)=" "," ",VLOOKUP($B11,'Indicator chart'!$D$1:$J$36,6,FALSE))</f>
        <v>0.010033301879465868</v>
      </c>
      <c r="G11" s="38">
        <f>IF(LEFT(VLOOKUP($B11,'Indicator chart'!$D$1:$J$36,7,FALSE),1)=" "," ",VLOOKUP($B11,'Indicator chart'!$D$1:$J$36,7,FALSE))</f>
        <v>0.014133327377024598</v>
      </c>
      <c r="H11" s="50">
        <f t="shared" si="0"/>
        <v>3</v>
      </c>
      <c r="I11" s="38">
        <v>0.004000000189989805</v>
      </c>
      <c r="J11" s="38">
        <v>0.007000000216066837</v>
      </c>
      <c r="K11" s="38">
        <v>0.008999999612569809</v>
      </c>
      <c r="L11" s="38">
        <v>0.010999999940395355</v>
      </c>
      <c r="M11" s="38">
        <v>0.017000000923871994</v>
      </c>
      <c r="N11" s="80">
        <f>VLOOKUP('Hide - Control'!B$3,'All practice data'!A:CA,A11+29,FALSE)</f>
        <v>0.008940578691026692</v>
      </c>
      <c r="O11" s="80">
        <f>VLOOKUP('Hide - Control'!C$3,'All practice data'!A:CA,A11+29,FALSE)</f>
        <v>0.015940726342527432</v>
      </c>
      <c r="P11" s="38">
        <f>VLOOKUP('Hide - Control'!$B$4,'All practice data'!B:BC,A11+2,FALSE)</f>
        <v>2759</v>
      </c>
      <c r="Q11" s="38">
        <f>VLOOKUP('Hide - Control'!$B$4,'All practice data'!B:BC,3,FALSE)</f>
        <v>308593</v>
      </c>
      <c r="R11" s="80">
        <f aca="true" t="shared" si="17" ref="R11:R16">+((2*P11+1.96^2-1.96*SQRT(1.96^2+4*P11*(1-P11/Q11)))/(2*(Q11+1.96^2)))</f>
        <v>0.008614516997543321</v>
      </c>
      <c r="S11" s="80">
        <f aca="true" t="shared" si="18" ref="S11:S16">+((2*P11+1.96^2+1.96*SQRT(1.96^2+4*P11*(1-P11/Q11)))/(2*(Q11+1.96^2)))</f>
        <v>0.009278866393455066</v>
      </c>
      <c r="T11" s="53">
        <f t="shared" si="16"/>
        <v>0.017000000923871994</v>
      </c>
      <c r="U11" s="51">
        <f t="shared" si="1"/>
        <v>0.004000000189989805</v>
      </c>
      <c r="V11" s="7"/>
      <c r="W11" s="27">
        <f t="shared" si="2"/>
        <v>0.000999998301267624</v>
      </c>
      <c r="X11" s="27">
        <f t="shared" si="3"/>
        <v>0.017000000923871994</v>
      </c>
      <c r="Y11" s="27">
        <f t="shared" si="4"/>
        <v>0.000999998301267624</v>
      </c>
      <c r="Z11" s="27">
        <f t="shared" si="5"/>
        <v>0.017000000923871994</v>
      </c>
      <c r="AA11" s="32">
        <f t="shared" si="6"/>
        <v>0.18750008731147705</v>
      </c>
      <c r="AB11" s="33">
        <f t="shared" si="7"/>
        <v>0.37500005820765137</v>
      </c>
      <c r="AC11" s="33">
        <v>0.5</v>
      </c>
      <c r="AD11" s="33">
        <f t="shared" si="8"/>
        <v>0.625</v>
      </c>
      <c r="AE11" s="33">
        <f t="shared" si="9"/>
        <v>1</v>
      </c>
      <c r="AF11" s="33">
        <f t="shared" si="10"/>
        <v>-999</v>
      </c>
      <c r="AG11" s="33">
        <f t="shared" si="11"/>
        <v>-999</v>
      </c>
      <c r="AH11" s="33">
        <f t="shared" si="12"/>
        <v>0.6874999934807431</v>
      </c>
      <c r="AI11" s="34">
        <f t="shared" si="13"/>
        <v>0.9337953495177528</v>
      </c>
      <c r="AJ11" s="4">
        <v>7.0060329939666</v>
      </c>
      <c r="AK11" s="32">
        <f t="shared" si="14"/>
        <v>-999</v>
      </c>
      <c r="AL11" s="34">
        <f t="shared" si="15"/>
        <v>0.6874999934807431</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421</v>
      </c>
      <c r="E12" s="38">
        <f>IF(LEFT(VLOOKUP($B12,'Indicator chart'!$D$1:$J$36,5,FALSE),1)=" "," ",VLOOKUP($B12,'Indicator chart'!$D$1:$J$36,5,FALSE))</f>
        <v>0.601429</v>
      </c>
      <c r="F12" s="38">
        <f>IF(LEFT(VLOOKUP($B12,'Indicator chart'!$D$1:$J$36,6,FALSE),1)=" "," ",VLOOKUP($B12,'Indicator chart'!$D$1:$J$36,6,FALSE))</f>
        <v>0.5646994669386651</v>
      </c>
      <c r="G12" s="38">
        <f>IF(LEFT(VLOOKUP($B12,'Indicator chart'!$D$1:$J$36,7,FALSE),1)=" "," ",VLOOKUP($B12,'Indicator chart'!$D$1:$J$36,7,FALSE))</f>
        <v>0.6370504722521982</v>
      </c>
      <c r="H12" s="50">
        <f t="shared" si="0"/>
        <v>2</v>
      </c>
      <c r="I12" s="38">
        <v>0.4470990002155304</v>
      </c>
      <c r="J12" s="38">
        <v>0.5409137606620789</v>
      </c>
      <c r="K12" s="38">
        <v>0.5949525237083435</v>
      </c>
      <c r="L12" s="38">
        <v>0.6391785144805908</v>
      </c>
      <c r="M12" s="38">
        <v>0.7187060117721558</v>
      </c>
      <c r="N12" s="80">
        <f>VLOOKUP('Hide - Control'!B$3,'All practice data'!A:CA,A12+29,FALSE)</f>
        <v>0.6036223681231605</v>
      </c>
      <c r="O12" s="80">
        <f>VLOOKUP('Hide - Control'!C$3,'All practice data'!A:CA,A12+29,FALSE)</f>
        <v>0.7248631360507991</v>
      </c>
      <c r="P12" s="38">
        <f>VLOOKUP('Hide - Control'!$B$4,'All practice data'!B:BC,A12+2,FALSE)</f>
        <v>13331</v>
      </c>
      <c r="Q12" s="38">
        <f>VLOOKUP('Hide - Control'!$B$4,'All practice data'!B:BJ,57,FALSE)</f>
        <v>22085</v>
      </c>
      <c r="R12" s="38">
        <f t="shared" si="17"/>
        <v>0.5971536215558061</v>
      </c>
      <c r="S12" s="38">
        <f t="shared" si="18"/>
        <v>0.610055071542885</v>
      </c>
      <c r="T12" s="53">
        <f t="shared" si="16"/>
        <v>0.7187060117721558</v>
      </c>
      <c r="U12" s="51">
        <f t="shared" si="1"/>
        <v>0.4470990002155304</v>
      </c>
      <c r="V12" s="7"/>
      <c r="W12" s="27">
        <f t="shared" si="2"/>
        <v>0.4470990002155304</v>
      </c>
      <c r="X12" s="27">
        <f t="shared" si="3"/>
        <v>0.7428060472011566</v>
      </c>
      <c r="Y12" s="27">
        <f t="shared" si="4"/>
        <v>0.4470990002155304</v>
      </c>
      <c r="Z12" s="27">
        <f t="shared" si="5"/>
        <v>0.7428060472011566</v>
      </c>
      <c r="AA12" s="32">
        <f t="shared" si="6"/>
        <v>0</v>
      </c>
      <c r="AB12" s="33">
        <f t="shared" si="7"/>
        <v>0.3172557482240477</v>
      </c>
      <c r="AC12" s="33">
        <v>0.5</v>
      </c>
      <c r="AD12" s="33">
        <f t="shared" si="8"/>
        <v>0.6495601515860968</v>
      </c>
      <c r="AE12" s="33">
        <f t="shared" si="9"/>
        <v>0.9185003006364867</v>
      </c>
      <c r="AF12" s="33">
        <f t="shared" si="10"/>
        <v>-999</v>
      </c>
      <c r="AG12" s="33">
        <f t="shared" si="11"/>
        <v>0.5219016636826085</v>
      </c>
      <c r="AH12" s="33">
        <f t="shared" si="12"/>
        <v>-999</v>
      </c>
      <c r="AI12" s="34">
        <f t="shared" si="13"/>
        <v>0.9393220035394365</v>
      </c>
      <c r="AJ12" s="4">
        <v>8.082028419348523</v>
      </c>
      <c r="AK12" s="32">
        <f t="shared" si="14"/>
        <v>-999</v>
      </c>
      <c r="AL12" s="34">
        <f t="shared" si="15"/>
        <v>-999</v>
      </c>
      <c r="AY12" s="103" t="s">
        <v>261</v>
      </c>
      <c r="AZ12" s="103" t="s">
        <v>443</v>
      </c>
      <c r="BA12" s="103" t="s">
        <v>327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0.36</v>
      </c>
      <c r="F13" s="38">
        <f>IF(LEFT(VLOOKUP($B13,'Indicator chart'!$D$1:$J$36,6,FALSE),1)=" "," ",VLOOKUP($B13,'Indicator chart'!$D$1:$J$36,6,FALSE))</f>
        <v>0.20247656431735636</v>
      </c>
      <c r="G13" s="38">
        <f>IF(LEFT(VLOOKUP($B13,'Indicator chart'!$D$1:$J$36,7,FALSE),1)=" "," ",VLOOKUP($B13,'Indicator chart'!$D$1:$J$36,7,FALSE))</f>
        <v>0.5548184539895337</v>
      </c>
      <c r="H13" s="50">
        <f t="shared" si="0"/>
        <v>1</v>
      </c>
      <c r="I13" s="38">
        <v>0.10526300221681595</v>
      </c>
      <c r="J13" s="38">
        <v>0.37469249963760376</v>
      </c>
      <c r="K13" s="38">
        <v>0.48076900839805603</v>
      </c>
      <c r="L13" s="38">
        <v>0.6030692458152771</v>
      </c>
      <c r="M13" s="38">
        <v>0.7114430069923401</v>
      </c>
      <c r="N13" s="80">
        <f>VLOOKUP('Hide - Control'!B$3,'All practice data'!A:CA,A13+29,FALSE)</f>
        <v>0.5941666666666666</v>
      </c>
      <c r="O13" s="80">
        <f>VLOOKUP('Hide - Control'!C$3,'All practice data'!A:CA,A13+29,FALSE)</f>
        <v>0.7467412166569077</v>
      </c>
      <c r="P13" s="38">
        <f>VLOOKUP('Hide - Control'!$B$4,'All practice data'!B:BC,A13+2,FALSE)</f>
        <v>2852</v>
      </c>
      <c r="Q13" s="38">
        <f>VLOOKUP('Hide - Control'!$B$4,'All practice data'!B:BJ,58,FALSE)</f>
        <v>4800</v>
      </c>
      <c r="R13" s="38">
        <f t="shared" si="17"/>
        <v>0.5802047560973647</v>
      </c>
      <c r="S13" s="38">
        <f t="shared" si="18"/>
        <v>0.607977968328853</v>
      </c>
      <c r="T13" s="53">
        <f t="shared" si="16"/>
        <v>0.7114430069923401</v>
      </c>
      <c r="U13" s="51">
        <f t="shared" si="1"/>
        <v>0.10526300221681595</v>
      </c>
      <c r="V13" s="7"/>
      <c r="W13" s="27">
        <f t="shared" si="2"/>
        <v>0.10526300221681595</v>
      </c>
      <c r="X13" s="27">
        <f t="shared" si="3"/>
        <v>0.8562750145792961</v>
      </c>
      <c r="Y13" s="27">
        <f t="shared" si="4"/>
        <v>0.10526300221681595</v>
      </c>
      <c r="Z13" s="27">
        <f t="shared" si="5"/>
        <v>0.8562750145792961</v>
      </c>
      <c r="AA13" s="32">
        <f t="shared" si="6"/>
        <v>0</v>
      </c>
      <c r="AB13" s="33">
        <f t="shared" si="7"/>
        <v>0.3587552435722508</v>
      </c>
      <c r="AC13" s="33">
        <v>0.5</v>
      </c>
      <c r="AD13" s="33">
        <f t="shared" si="8"/>
        <v>0.6628472453223454</v>
      </c>
      <c r="AE13" s="33">
        <f t="shared" si="9"/>
        <v>0.8071508774788384</v>
      </c>
      <c r="AF13" s="33">
        <f t="shared" si="10"/>
        <v>-999</v>
      </c>
      <c r="AG13" s="33">
        <f t="shared" si="11"/>
        <v>-999</v>
      </c>
      <c r="AH13" s="33">
        <f t="shared" si="12"/>
        <v>0.3391916421973738</v>
      </c>
      <c r="AI13" s="34">
        <f t="shared" si="13"/>
        <v>0.854151736431186</v>
      </c>
      <c r="AJ13" s="4">
        <v>9.158023844730446</v>
      </c>
      <c r="AK13" s="32">
        <f t="shared" si="14"/>
        <v>0.3391916421973738</v>
      </c>
      <c r="AL13" s="34">
        <f t="shared" si="15"/>
        <v>-999</v>
      </c>
      <c r="AY13" s="103" t="s">
        <v>260</v>
      </c>
      <c r="AZ13" s="103" t="s">
        <v>442</v>
      </c>
      <c r="BA13" s="103" t="s">
        <v>327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2412</v>
      </c>
      <c r="E14" s="38">
        <f>IF(LEFT(VLOOKUP($B14,'Indicator chart'!$D$1:$J$36,5,FALSE),1)=" "," ",VLOOKUP($B14,'Indicator chart'!$D$1:$J$36,5,FALSE))</f>
        <v>0.699739</v>
      </c>
      <c r="F14" s="38">
        <f>IF(LEFT(VLOOKUP($B14,'Indicator chart'!$D$1:$J$36,6,FALSE),1)=" "," ",VLOOKUP($B14,'Indicator chart'!$D$1:$J$36,6,FALSE))</f>
        <v>0.6842212821485704</v>
      </c>
      <c r="G14" s="38">
        <f>IF(LEFT(VLOOKUP($B14,'Indicator chart'!$D$1:$J$36,7,FALSE),1)=" "," ",VLOOKUP($B14,'Indicator chart'!$D$1:$J$36,7,FALSE))</f>
        <v>0.7148118116914944</v>
      </c>
      <c r="H14" s="50">
        <f t="shared" si="0"/>
        <v>2</v>
      </c>
      <c r="I14" s="38">
        <v>0.5280609726905823</v>
      </c>
      <c r="J14" s="38">
        <v>0.641086995601654</v>
      </c>
      <c r="K14" s="38">
        <v>0.6921985149383545</v>
      </c>
      <c r="L14" s="38">
        <v>0.7265162467956543</v>
      </c>
      <c r="M14" s="38">
        <v>0.8202300071716309</v>
      </c>
      <c r="N14" s="80">
        <f>VLOOKUP('Hide - Control'!B$3,'All practice data'!A:CA,A14+29,FALSE)</f>
        <v>0.6994314849072779</v>
      </c>
      <c r="O14" s="80">
        <f>VLOOKUP('Hide - Control'!C$3,'All practice data'!A:CA,A14+29,FALSE)</f>
        <v>0.7559681673907895</v>
      </c>
      <c r="P14" s="38">
        <f>VLOOKUP('Hide - Control'!$B$4,'All practice data'!B:BC,A14+2,FALSE)</f>
        <v>62006</v>
      </c>
      <c r="Q14" s="38">
        <f>VLOOKUP('Hide - Control'!$B$4,'All practice data'!B:BJ,59,FALSE)</f>
        <v>88652</v>
      </c>
      <c r="R14" s="38">
        <f t="shared" si="17"/>
        <v>0.6964046398134912</v>
      </c>
      <c r="S14" s="38">
        <f t="shared" si="18"/>
        <v>0.7024410466279988</v>
      </c>
      <c r="T14" s="53">
        <f t="shared" si="16"/>
        <v>0.8202300071716309</v>
      </c>
      <c r="U14" s="51">
        <f t="shared" si="1"/>
        <v>0.5280609726905823</v>
      </c>
      <c r="V14" s="7"/>
      <c r="W14" s="27">
        <f t="shared" si="2"/>
        <v>0.5280609726905823</v>
      </c>
      <c r="X14" s="27">
        <f t="shared" si="3"/>
        <v>0.8563360571861267</v>
      </c>
      <c r="Y14" s="27">
        <f t="shared" si="4"/>
        <v>0.5280609726905823</v>
      </c>
      <c r="Z14" s="27">
        <f t="shared" si="5"/>
        <v>0.8563360571861267</v>
      </c>
      <c r="AA14" s="32">
        <f t="shared" si="6"/>
        <v>0</v>
      </c>
      <c r="AB14" s="33">
        <f t="shared" si="7"/>
        <v>0.3443027760841406</v>
      </c>
      <c r="AC14" s="33">
        <v>0.5</v>
      </c>
      <c r="AD14" s="33">
        <f t="shared" si="8"/>
        <v>0.6045395568476827</v>
      </c>
      <c r="AE14" s="33">
        <f t="shared" si="9"/>
        <v>0.8900128224169693</v>
      </c>
      <c r="AF14" s="33">
        <f t="shared" si="10"/>
        <v>-999</v>
      </c>
      <c r="AG14" s="33">
        <f t="shared" si="11"/>
        <v>0.5229700194068425</v>
      </c>
      <c r="AH14" s="33">
        <f t="shared" si="12"/>
        <v>-999</v>
      </c>
      <c r="AI14" s="34">
        <f t="shared" si="13"/>
        <v>0.6942567543632772</v>
      </c>
      <c r="AJ14" s="4">
        <v>10.234019270112368</v>
      </c>
      <c r="AK14" s="32">
        <f t="shared" si="14"/>
        <v>-999</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217</v>
      </c>
      <c r="E15" s="38">
        <f>IF(LEFT(VLOOKUP($B15,'Indicator chart'!$D$1:$J$36,5,FALSE),1)=" "," ",VLOOKUP($B15,'Indicator chart'!$D$1:$J$36,5,FALSE))</f>
        <v>0.420543</v>
      </c>
      <c r="F15" s="38">
        <f>IF(LEFT(VLOOKUP($B15,'Indicator chart'!$D$1:$J$36,6,FALSE),1)=" "," ",VLOOKUP($B15,'Indicator chart'!$D$1:$J$36,6,FALSE))</f>
        <v>0.3786895756793286</v>
      </c>
      <c r="G15" s="38">
        <f>IF(LEFT(VLOOKUP($B15,'Indicator chart'!$D$1:$J$36,7,FALSE),1)=" "," ",VLOOKUP($B15,'Indicator chart'!$D$1:$J$36,7,FALSE))</f>
        <v>0.4635700664885933</v>
      </c>
      <c r="H15" s="50">
        <f t="shared" si="0"/>
        <v>3</v>
      </c>
      <c r="I15" s="38">
        <v>0.20196999609470367</v>
      </c>
      <c r="J15" s="38">
        <v>0.30142223834991455</v>
      </c>
      <c r="K15" s="38">
        <v>0.33961549401283264</v>
      </c>
      <c r="L15" s="38">
        <v>0.3962257504463196</v>
      </c>
      <c r="M15" s="38">
        <v>0.48591500520706177</v>
      </c>
      <c r="N15" s="80">
        <f>VLOOKUP('Hide - Control'!B$3,'All practice data'!A:CA,A15+29,FALSE)</f>
        <v>0.3598142414860681</v>
      </c>
      <c r="O15" s="80">
        <f>VLOOKUP('Hide - Control'!C$3,'All practice data'!A:CA,A15+29,FALSE)</f>
        <v>0.5147293797466616</v>
      </c>
      <c r="P15" s="38">
        <f>VLOOKUP('Hide - Control'!$B$4,'All practice data'!B:BC,A15+2,FALSE)</f>
        <v>5811</v>
      </c>
      <c r="Q15" s="38">
        <f>VLOOKUP('Hide - Control'!$B$4,'All practice data'!B:BJ,60,FALSE)</f>
        <v>16150</v>
      </c>
      <c r="R15" s="38">
        <f t="shared" si="17"/>
        <v>0.35244616471215745</v>
      </c>
      <c r="S15" s="38">
        <f t="shared" si="18"/>
        <v>0.3672489943638112</v>
      </c>
      <c r="T15" s="53">
        <f t="shared" si="16"/>
        <v>0.48591500520706177</v>
      </c>
      <c r="U15" s="51">
        <f t="shared" si="1"/>
        <v>0.20196999609470367</v>
      </c>
      <c r="V15" s="7"/>
      <c r="W15" s="27">
        <f t="shared" si="2"/>
        <v>0.19331598281860352</v>
      </c>
      <c r="X15" s="27">
        <f t="shared" si="3"/>
        <v>0.48591500520706177</v>
      </c>
      <c r="Y15" s="27">
        <f t="shared" si="4"/>
        <v>0.19331598281860352</v>
      </c>
      <c r="Z15" s="27">
        <f t="shared" si="5"/>
        <v>0.48591500520706177</v>
      </c>
      <c r="AA15" s="32">
        <f t="shared" si="6"/>
        <v>0.029576357451430505</v>
      </c>
      <c r="AB15" s="33">
        <f t="shared" si="7"/>
        <v>0.3694689566931901</v>
      </c>
      <c r="AC15" s="33">
        <v>0.5</v>
      </c>
      <c r="AD15" s="33">
        <f t="shared" si="8"/>
        <v>0.6934738399717906</v>
      </c>
      <c r="AE15" s="33">
        <f t="shared" si="9"/>
        <v>1</v>
      </c>
      <c r="AF15" s="33">
        <f t="shared" si="10"/>
        <v>-999</v>
      </c>
      <c r="AG15" s="33">
        <f t="shared" si="11"/>
        <v>-999</v>
      </c>
      <c r="AH15" s="33">
        <f t="shared" si="12"/>
        <v>0.776581600740029</v>
      </c>
      <c r="AI15" s="34">
        <f t="shared" si="13"/>
        <v>1.0984773438557338</v>
      </c>
      <c r="AJ15" s="4">
        <v>11.310014695494289</v>
      </c>
      <c r="AK15" s="32">
        <f t="shared" si="14"/>
        <v>-999</v>
      </c>
      <c r="AL15" s="34">
        <f t="shared" si="15"/>
        <v>0.776581600740029</v>
      </c>
      <c r="AY15" s="103" t="s">
        <v>229</v>
      </c>
      <c r="AZ15" s="103" t="s">
        <v>230</v>
      </c>
      <c r="BA15" s="103" t="s">
        <v>327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88</v>
      </c>
      <c r="E16" s="38">
        <f>IF(LEFT(VLOOKUP($B16,'Indicator chart'!$D$1:$J$36,5,FALSE),1)=" "," ",VLOOKUP($B16,'Indicator chart'!$D$1:$J$36,5,FALSE))</f>
        <v>0.446701</v>
      </c>
      <c r="F16" s="38">
        <f>IF(LEFT(VLOOKUP($B16,'Indicator chart'!$D$1:$J$36,6,FALSE),1)=" "," ",VLOOKUP($B16,'Indicator chart'!$D$1:$J$36,6,FALSE))</f>
        <v>0.3789553297185429</v>
      </c>
      <c r="G16" s="38">
        <f>IF(LEFT(VLOOKUP($B16,'Indicator chart'!$D$1:$J$36,7,FALSE),1)=" "," ",VLOOKUP($B16,'Indicator chart'!$D$1:$J$36,7,FALSE))</f>
        <v>0.5164846588097302</v>
      </c>
      <c r="H16" s="50">
        <f t="shared" si="0"/>
        <v>2</v>
      </c>
      <c r="I16" s="38">
        <v>0.22413800656795502</v>
      </c>
      <c r="J16" s="38">
        <v>0.32486748695373535</v>
      </c>
      <c r="K16" s="38">
        <v>0.3937639892101288</v>
      </c>
      <c r="L16" s="38">
        <v>0.43546223640441895</v>
      </c>
      <c r="M16" s="38">
        <v>0.5477179884910583</v>
      </c>
      <c r="N16" s="80">
        <f>VLOOKUP('Hide - Control'!B$3,'All practice data'!A:CA,A16+29,FALSE)</f>
        <v>0.40320918592668925</v>
      </c>
      <c r="O16" s="80">
        <f>VLOOKUP('Hide - Control'!C$3,'All practice data'!A:CA,A16+29,FALSE)</f>
        <v>0.5752927626212945</v>
      </c>
      <c r="P16" s="38">
        <f>VLOOKUP('Hide - Control'!$B$4,'All practice data'!B:BC,A16+2,FALSE)</f>
        <v>2739</v>
      </c>
      <c r="Q16" s="38">
        <f>VLOOKUP('Hide - Control'!$B$4,'All practice data'!B:BJ,61,FALSE)</f>
        <v>6793</v>
      </c>
      <c r="R16" s="38">
        <f t="shared" si="17"/>
        <v>0.3916016101775596</v>
      </c>
      <c r="S16" s="38">
        <f t="shared" si="18"/>
        <v>0.4149261747277117</v>
      </c>
      <c r="T16" s="53">
        <f aca="true" t="shared" si="19" ref="T16:T31">IF($C16=1,M16,I16)</f>
        <v>0.5477179884910583</v>
      </c>
      <c r="U16" s="51">
        <f aca="true" t="shared" si="20" ref="U16:U31">IF($C16=1,I16,M16)</f>
        <v>0.22413800656795502</v>
      </c>
      <c r="V16" s="7"/>
      <c r="W16" s="27">
        <f t="shared" si="2"/>
        <v>0.22413800656795502</v>
      </c>
      <c r="X16" s="27">
        <f t="shared" si="3"/>
        <v>0.5633899718523026</v>
      </c>
      <c r="Y16" s="27">
        <f t="shared" si="4"/>
        <v>0.22413800656795502</v>
      </c>
      <c r="Z16" s="27">
        <f t="shared" si="5"/>
        <v>0.5633899718523026</v>
      </c>
      <c r="AA16" s="32">
        <f t="shared" si="6"/>
        <v>0</v>
      </c>
      <c r="AB16" s="33">
        <f t="shared" si="7"/>
        <v>0.29691642405476676</v>
      </c>
      <c r="AC16" s="33">
        <v>0.5</v>
      </c>
      <c r="AD16" s="33">
        <f t="shared" si="8"/>
        <v>0.6229123231735455</v>
      </c>
      <c r="AE16" s="33">
        <f t="shared" si="9"/>
        <v>0.9538042960249071</v>
      </c>
      <c r="AF16" s="33">
        <f t="shared" si="10"/>
        <v>-999</v>
      </c>
      <c r="AG16" s="33">
        <f t="shared" si="11"/>
        <v>0.6560403953607211</v>
      </c>
      <c r="AH16" s="33">
        <f t="shared" si="12"/>
        <v>-999</v>
      </c>
      <c r="AI16" s="34">
        <f t="shared" si="13"/>
        <v>1.035085399605616</v>
      </c>
      <c r="AJ16" s="4">
        <v>12.386010120876215</v>
      </c>
      <c r="AK16" s="32">
        <f t="shared" si="14"/>
        <v>-999</v>
      </c>
      <c r="AL16" s="34">
        <f t="shared" si="15"/>
        <v>-999</v>
      </c>
      <c r="AY16" s="103" t="s">
        <v>325</v>
      </c>
      <c r="AZ16" s="103" t="s">
        <v>346</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153</v>
      </c>
      <c r="E17" s="38">
        <f>IF(LEFT(VLOOKUP($B17,'Indicator chart'!$D$1:$J$36,5,FALSE),1)=" "," ",VLOOKUP($B17,'Indicator chart'!$D$1:$J$36,5,FALSE))</f>
        <v>1412.6119471886252</v>
      </c>
      <c r="F17" s="38">
        <f>IF(LEFT(VLOOKUP($B17,'Indicator chart'!$D$1:$J$36,6,FALSE),1)=" "," ",VLOOKUP($B17,'Indicator chart'!$D$1:$J$36,6,FALSE))</f>
        <v>1197.630000399354</v>
      </c>
      <c r="G17" s="38">
        <f>IF(LEFT(VLOOKUP($B17,'Indicator chart'!$D$1:$J$36,7,FALSE),1)=" "," ",VLOOKUP($B17,'Indicator chart'!$D$1:$J$36,7,FALSE))</f>
        <v>1655.035210044015</v>
      </c>
      <c r="H17" s="50">
        <f t="shared" si="0"/>
        <v>2</v>
      </c>
      <c r="I17" s="38">
        <v>234.85205078125</v>
      </c>
      <c r="J17" s="38">
        <v>880.8931274414062</v>
      </c>
      <c r="K17" s="38">
        <v>1174.3206787109375</v>
      </c>
      <c r="L17" s="38">
        <v>1558.6744384765625</v>
      </c>
      <c r="M17" s="38">
        <v>2599.539306640625</v>
      </c>
      <c r="N17" s="80">
        <f>VLOOKUP('Hide - Control'!B$3,'All practice data'!A:CA,A17+29,FALSE)</f>
        <v>1319.5373841921237</v>
      </c>
      <c r="O17" s="80">
        <f>VLOOKUP('Hide - Control'!C$3,'All practice data'!A:CA,A17+29,FALSE)</f>
        <v>1812.1669120472948</v>
      </c>
      <c r="P17" s="38">
        <f>VLOOKUP('Hide - Control'!$B$4,'All practice data'!B:BC,A17+2,FALSE)</f>
        <v>4072</v>
      </c>
      <c r="Q17" s="38">
        <f>VLOOKUP('Hide - Control'!$B$4,'All practice data'!B:BC,3,FALSE)</f>
        <v>308593</v>
      </c>
      <c r="R17" s="38">
        <f>100000*(P17*(1-1/(9*P17)-1.96/(3*SQRT(P17)))^3)/Q17</f>
        <v>1279.315366636055</v>
      </c>
      <c r="S17" s="38">
        <f>100000*((P17+1)*(1-1/(9*(P17+1))+1.96/(3*SQRT(P17+1)))^3)/Q17</f>
        <v>1360.7022958617997</v>
      </c>
      <c r="T17" s="53">
        <f t="shared" si="19"/>
        <v>2599.539306640625</v>
      </c>
      <c r="U17" s="51">
        <f t="shared" si="20"/>
        <v>234.85205078125</v>
      </c>
      <c r="V17" s="7"/>
      <c r="W17" s="27">
        <f t="shared" si="2"/>
        <v>-250.89794921875</v>
      </c>
      <c r="X17" s="27">
        <f t="shared" si="3"/>
        <v>2599.539306640625</v>
      </c>
      <c r="Y17" s="27">
        <f t="shared" si="4"/>
        <v>-250.89794921875</v>
      </c>
      <c r="Z17" s="27">
        <f t="shared" si="5"/>
        <v>2599.539306640625</v>
      </c>
      <c r="AA17" s="32">
        <f t="shared" si="6"/>
        <v>0.17041245128321614</v>
      </c>
      <c r="AB17" s="33">
        <f t="shared" si="7"/>
        <v>0.3970587580321721</v>
      </c>
      <c r="AC17" s="33">
        <v>0.5</v>
      </c>
      <c r="AD17" s="33">
        <f t="shared" si="8"/>
        <v>0.6348402807237891</v>
      </c>
      <c r="AE17" s="33">
        <f t="shared" si="9"/>
        <v>1</v>
      </c>
      <c r="AF17" s="33">
        <f t="shared" si="10"/>
        <v>-999</v>
      </c>
      <c r="AG17" s="33">
        <f t="shared" si="11"/>
        <v>0.5835981455083268</v>
      </c>
      <c r="AH17" s="33">
        <f t="shared" si="12"/>
        <v>-999</v>
      </c>
      <c r="AI17" s="34">
        <f t="shared" si="13"/>
        <v>0.7237713642091917</v>
      </c>
      <c r="AJ17" s="4">
        <v>13.462005546258133</v>
      </c>
      <c r="AK17" s="32">
        <f t="shared" si="14"/>
        <v>-999</v>
      </c>
      <c r="AL17" s="34">
        <f t="shared" si="15"/>
        <v>-999</v>
      </c>
      <c r="AY17" s="103" t="s">
        <v>103</v>
      </c>
      <c r="AZ17" s="103" t="s">
        <v>104</v>
      </c>
      <c r="BA17" s="103" t="s">
        <v>327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153</v>
      </c>
      <c r="E18" s="80">
        <f>IF(LEFT(VLOOKUP($B18,'Indicator chart'!$D$1:$J$36,5,FALSE),1)=" "," ",VLOOKUP($B18,'Indicator chart'!$D$1:$J$36,5,FALSE))</f>
        <v>1.056151428</v>
      </c>
      <c r="F18" s="81">
        <f>IF(LEFT(VLOOKUP($B18,'Indicator chart'!$D$1:$J$36,6,FALSE),1)=" "," ",VLOOKUP($B18,'Indicator chart'!$D$1:$J$36,6,FALSE))</f>
        <v>0.8954312134</v>
      </c>
      <c r="G18" s="38">
        <f>IF(LEFT(VLOOKUP($B18,'Indicator chart'!$D$1:$J$36,7,FALSE),1)=" "," ",VLOOKUP($B18,'Indicator chart'!$D$1:$J$36,7,FALSE))</f>
        <v>1.237391052</v>
      </c>
      <c r="H18" s="50">
        <f>IF(LEFT(F18,1)=" ",4,IF(AND(ABS(N18-E18)&gt;SQRT((E18-G18)^2+(N18-R18)^2),E18&lt;N18),1,IF(AND(ABS(N18-E18)&gt;SQRT((E18-F18)^2+(N18-S18)^2),E18&gt;N18),3,2)))</f>
        <v>2</v>
      </c>
      <c r="I18" s="38">
        <v>0.16080518066883087</v>
      </c>
      <c r="J18" s="38"/>
      <c r="K18" s="38">
        <v>1</v>
      </c>
      <c r="L18" s="38"/>
      <c r="M18" s="38">
        <v>2.076692819595337</v>
      </c>
      <c r="N18" s="80">
        <v>1</v>
      </c>
      <c r="O18" s="80">
        <f>VLOOKUP('Hide - Control'!C$3,'All practice data'!A:CA,A18+29,FALSE)</f>
        <v>1</v>
      </c>
      <c r="P18" s="38">
        <f>VLOOKUP('Hide - Control'!$B$4,'All practice data'!B:BC,A18+2,FALSE)</f>
        <v>4072</v>
      </c>
      <c r="Q18" s="38">
        <f>VLOOKUP('Hide - Control'!$B$4,'All practice data'!B:BC,14,FALSE)</f>
        <v>4072</v>
      </c>
      <c r="R18" s="81">
        <v>1</v>
      </c>
      <c r="S18" s="38">
        <v>1</v>
      </c>
      <c r="T18" s="53">
        <f t="shared" si="19"/>
        <v>2.076692819595337</v>
      </c>
      <c r="U18" s="51">
        <f t="shared" si="20"/>
        <v>0.16080518066883087</v>
      </c>
      <c r="V18" s="7"/>
      <c r="W18" s="27">
        <f>IF((K18-I18)&gt;(M18-K18),I18,(K18-(M18-K18)))</f>
        <v>-0.07669281959533691</v>
      </c>
      <c r="X18" s="27">
        <f t="shared" si="3"/>
        <v>2.076692819595337</v>
      </c>
      <c r="Y18" s="27">
        <f t="shared" si="4"/>
        <v>-0.07669281959533691</v>
      </c>
      <c r="Z18" s="27">
        <f t="shared" si="5"/>
        <v>2.076692819595337</v>
      </c>
      <c r="AA18" s="32" t="s">
        <v>327</v>
      </c>
      <c r="AB18" s="33" t="s">
        <v>327</v>
      </c>
      <c r="AC18" s="33">
        <v>0.5</v>
      </c>
      <c r="AD18" s="33" t="s">
        <v>327</v>
      </c>
      <c r="AE18" s="33" t="s">
        <v>327</v>
      </c>
      <c r="AF18" s="33">
        <f t="shared" si="10"/>
        <v>-999</v>
      </c>
      <c r="AG18" s="33">
        <f t="shared" si="11"/>
        <v>0.5260758811510899</v>
      </c>
      <c r="AH18" s="33">
        <f t="shared" si="12"/>
        <v>-999</v>
      </c>
      <c r="AI18" s="34">
        <v>0.5</v>
      </c>
      <c r="AJ18" s="4">
        <v>14.538000971640056</v>
      </c>
      <c r="AK18" s="32">
        <f t="shared" si="14"/>
        <v>-999</v>
      </c>
      <c r="AL18" s="34">
        <f t="shared" si="15"/>
        <v>-999</v>
      </c>
      <c r="AY18" s="103" t="s">
        <v>105</v>
      </c>
      <c r="AZ18" s="103" t="s">
        <v>106</v>
      </c>
      <c r="BA18" s="103" t="s">
        <v>327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0.058823529411764705</v>
      </c>
      <c r="F19" s="38">
        <f>IF(LEFT(VLOOKUP($B19,'Indicator chart'!$D$1:$J$36,6,FALSE),1)=" "," ",VLOOKUP($B19,'Indicator chart'!$D$1:$J$36,6,FALSE))</f>
        <v>0.0312522751489112</v>
      </c>
      <c r="G19" s="38">
        <f>IF(LEFT(VLOOKUP($B19,'Indicator chart'!$D$1:$J$36,7,FALSE),1)=" "," ",VLOOKUP($B19,'Indicator chart'!$D$1:$J$36,7,FALSE))</f>
        <v>0.10800669696052914</v>
      </c>
      <c r="H19" s="50">
        <f t="shared" si="0"/>
        <v>2</v>
      </c>
      <c r="I19" s="38">
        <v>0.02070442959666252</v>
      </c>
      <c r="J19" s="38">
        <v>0.05482051149010658</v>
      </c>
      <c r="K19" s="38">
        <v>0.08477570861577988</v>
      </c>
      <c r="L19" s="38">
        <v>0.12215909361839294</v>
      </c>
      <c r="M19" s="38">
        <v>0.3529411852359772</v>
      </c>
      <c r="N19" s="80">
        <f>VLOOKUP('Hide - Control'!B$3,'All practice data'!A:CA,A19+29,FALSE)</f>
        <v>0.08055009823182711</v>
      </c>
      <c r="O19" s="80">
        <f>VLOOKUP('Hide - Control'!C$3,'All practice data'!A:CA,A19+29,FALSE)</f>
        <v>0.10919341638628717</v>
      </c>
      <c r="P19" s="38">
        <f>VLOOKUP('Hide - Control'!$B$4,'All practice data'!B:BC,A19+2,FALSE)</f>
        <v>328</v>
      </c>
      <c r="Q19" s="38">
        <f>VLOOKUP('Hide - Control'!$B$4,'All practice data'!B:BC,15,FALSE)</f>
        <v>4072</v>
      </c>
      <c r="R19" s="38">
        <f>+((2*P19+1.96^2-1.96*SQRT(1.96^2+4*P19*(1-P19/Q19)))/(2*(Q19+1.96^2)))</f>
        <v>0.07258113143349496</v>
      </c>
      <c r="S19" s="38">
        <f>+((2*P19+1.96^2+1.96*SQRT(1.96^2+4*P19*(1-P19/Q19)))/(2*(Q19+1.96^2)))</f>
        <v>0.08930975264796688</v>
      </c>
      <c r="T19" s="53">
        <f t="shared" si="19"/>
        <v>0.3529411852359772</v>
      </c>
      <c r="U19" s="51">
        <f t="shared" si="20"/>
        <v>0.02070442959666252</v>
      </c>
      <c r="V19" s="7"/>
      <c r="W19" s="27">
        <f t="shared" si="2"/>
        <v>-0.18338976800441742</v>
      </c>
      <c r="X19" s="27">
        <f t="shared" si="3"/>
        <v>0.3529411852359772</v>
      </c>
      <c r="Y19" s="27">
        <f t="shared" si="4"/>
        <v>-0.18338976800441742</v>
      </c>
      <c r="Z19" s="27">
        <f t="shared" si="5"/>
        <v>0.3529411852359772</v>
      </c>
      <c r="AA19" s="32">
        <f t="shared" si="6"/>
        <v>0.38053779362907797</v>
      </c>
      <c r="AB19" s="33">
        <f t="shared" si="7"/>
        <v>0.4441479240668648</v>
      </c>
      <c r="AC19" s="33">
        <v>0.5</v>
      </c>
      <c r="AD19" s="33">
        <f t="shared" si="8"/>
        <v>0.569702083716688</v>
      </c>
      <c r="AE19" s="33">
        <f t="shared" si="9"/>
        <v>1</v>
      </c>
      <c r="AF19" s="33">
        <f t="shared" si="10"/>
        <v>-999</v>
      </c>
      <c r="AG19" s="33">
        <f t="shared" si="11"/>
        <v>0.45161163261747667</v>
      </c>
      <c r="AH19" s="33">
        <f t="shared" si="12"/>
        <v>-999</v>
      </c>
      <c r="AI19" s="34">
        <f t="shared" si="13"/>
        <v>0.5455273141014533</v>
      </c>
      <c r="AJ19" s="4">
        <v>15.61399639702198</v>
      </c>
      <c r="AK19" s="32">
        <f t="shared" si="14"/>
        <v>-999</v>
      </c>
      <c r="AL19" s="34">
        <f t="shared" si="15"/>
        <v>-999</v>
      </c>
      <c r="AY19" s="103" t="s">
        <v>270</v>
      </c>
      <c r="AZ19" s="103" t="s">
        <v>446</v>
      </c>
      <c r="BA19" s="103" t="s">
        <v>327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0.375</v>
      </c>
      <c r="F20" s="38">
        <f>IF(LEFT(VLOOKUP($B20,'Indicator chart'!$D$1:$J$36,6,FALSE),1)=" "," ",VLOOKUP($B20,'Indicator chart'!$D$1:$J$36,6,FALSE))</f>
        <v>0.21159133433631455</v>
      </c>
      <c r="G20" s="38">
        <f>IF(LEFT(VLOOKUP($B20,'Indicator chart'!$D$1:$J$36,7,FALSE),1)=" "," ",VLOOKUP($B20,'Indicator chart'!$D$1:$J$36,7,FALSE))</f>
        <v>0.5729038096209292</v>
      </c>
      <c r="H20" s="50">
        <f t="shared" si="0"/>
        <v>2</v>
      </c>
      <c r="I20" s="38">
        <v>0.09238772839307785</v>
      </c>
      <c r="J20" s="38">
        <v>0.3145161271095276</v>
      </c>
      <c r="K20" s="38">
        <v>0.4330357015132904</v>
      </c>
      <c r="L20" s="38">
        <v>0.5065789222717285</v>
      </c>
      <c r="M20" s="38">
        <v>0.8571428656578064</v>
      </c>
      <c r="N20" s="80">
        <f>VLOOKUP('Hide - Control'!B$3,'All practice data'!A:CA,A20+29,FALSE)</f>
        <v>0.4281984334203655</v>
      </c>
      <c r="O20" s="80">
        <f>VLOOKUP('Hide - Control'!C$3,'All practice data'!A:CA,A20+29,FALSE)</f>
        <v>0.4534552930810221</v>
      </c>
      <c r="P20" s="38">
        <f>VLOOKUP('Hide - Control'!$B$4,'All practice data'!B:BC,A20+1,FALSE)</f>
        <v>328</v>
      </c>
      <c r="Q20" s="38">
        <f>VLOOKUP('Hide - Control'!$B$4,'All practice data'!B:BC,A20+2,FALSE)</f>
        <v>766</v>
      </c>
      <c r="R20" s="38">
        <f>+((2*P20+1.96^2-1.96*SQRT(1.96^2+4*P20*(1-P20/Q20)))/(2*(Q20+1.96^2)))</f>
        <v>0.3936005968175755</v>
      </c>
      <c r="S20" s="38">
        <f>+((2*P20+1.96^2+1.96*SQRT(1.96^2+4*P20*(1-P20/Q20)))/(2*(Q20+1.96^2)))</f>
        <v>0.4635128665234547</v>
      </c>
      <c r="T20" s="53">
        <f t="shared" si="19"/>
        <v>0.8571428656578064</v>
      </c>
      <c r="U20" s="51">
        <f t="shared" si="20"/>
        <v>0.09238772839307785</v>
      </c>
      <c r="V20" s="7"/>
      <c r="W20" s="27">
        <f t="shared" si="2"/>
        <v>0.008928537368774414</v>
      </c>
      <c r="X20" s="27">
        <f t="shared" si="3"/>
        <v>0.8571428656578064</v>
      </c>
      <c r="Y20" s="27">
        <f t="shared" si="4"/>
        <v>0.008928537368774414</v>
      </c>
      <c r="Z20" s="27">
        <f t="shared" si="5"/>
        <v>0.8571428656578064</v>
      </c>
      <c r="AA20" s="32">
        <f t="shared" si="6"/>
        <v>0.0983939886899251</v>
      </c>
      <c r="AB20" s="33">
        <f t="shared" si="7"/>
        <v>0.3602716666637387</v>
      </c>
      <c r="AC20" s="33">
        <v>0.5</v>
      </c>
      <c r="AD20" s="33">
        <f t="shared" si="8"/>
        <v>0.5867035822264228</v>
      </c>
      <c r="AE20" s="33">
        <f t="shared" si="9"/>
        <v>1</v>
      </c>
      <c r="AF20" s="33">
        <f t="shared" si="10"/>
        <v>-999</v>
      </c>
      <c r="AG20" s="33">
        <f t="shared" si="11"/>
        <v>0.43157896586071987</v>
      </c>
      <c r="AH20" s="33">
        <f t="shared" si="12"/>
        <v>-999</v>
      </c>
      <c r="AI20" s="34">
        <f t="shared" si="13"/>
        <v>0.5240736225346734</v>
      </c>
      <c r="AJ20" s="4">
        <v>16.689991822403904</v>
      </c>
      <c r="AK20" s="32">
        <f t="shared" si="14"/>
        <v>-999</v>
      </c>
      <c r="AL20" s="34">
        <f t="shared" si="15"/>
        <v>-999</v>
      </c>
      <c r="AY20" s="103" t="s">
        <v>211</v>
      </c>
      <c r="AZ20" s="103" t="s">
        <v>427</v>
      </c>
      <c r="BA20" s="103" t="s">
        <v>327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39</v>
      </c>
      <c r="E21" s="38">
        <f>IF(LEFT(VLOOKUP($B21,'Indicator chart'!$D$1:$J$36,5,FALSE),1)=" "," ",VLOOKUP($B21,'Indicator chart'!$D$1:$J$36,5,FALSE))</f>
        <v>360.07755516572803</v>
      </c>
      <c r="F21" s="38">
        <f>IF(LEFT(VLOOKUP($B21,'Indicator chart'!$D$1:$J$36,6,FALSE),1)=" "," ",VLOOKUP($B21,'Indicator chart'!$D$1:$J$36,6,FALSE))</f>
        <v>256.0178616034127</v>
      </c>
      <c r="G21" s="38">
        <f>IF(LEFT(VLOOKUP($B21,'Indicator chart'!$D$1:$J$36,7,FALSE),1)=" "," ",VLOOKUP($B21,'Indicator chart'!$D$1:$J$36,7,FALSE))</f>
        <v>492.2538843719712</v>
      </c>
      <c r="H21" s="50">
        <f t="shared" si="0"/>
        <v>2</v>
      </c>
      <c r="I21" s="38">
        <v>61.46357345581055</v>
      </c>
      <c r="J21" s="38">
        <v>195.74520874023438</v>
      </c>
      <c r="K21" s="38">
        <v>309.9298095703125</v>
      </c>
      <c r="L21" s="38">
        <v>370.3627014160156</v>
      </c>
      <c r="M21" s="38">
        <v>551.1681518554688</v>
      </c>
      <c r="N21" s="80">
        <f>VLOOKUP('Hide - Control'!B$3,'All practice data'!A:CA,A21+29,FALSE)</f>
        <v>312.3855693421432</v>
      </c>
      <c r="O21" s="80">
        <f>VLOOKUP('Hide - Control'!C$3,'All practice data'!A:CA,A21+29,FALSE)</f>
        <v>377.7293140102421</v>
      </c>
      <c r="P21" s="38">
        <f>VLOOKUP('Hide - Control'!$B$4,'All practice data'!B:BC,A21+2,FALSE)</f>
        <v>964</v>
      </c>
      <c r="Q21" s="38">
        <f>VLOOKUP('Hide - Control'!$B$4,'All practice data'!B:BC,3,FALSE)</f>
        <v>308593</v>
      </c>
      <c r="R21" s="38">
        <f aca="true" t="shared" si="21" ref="R21:R27">100000*(P21*(1-1/(9*P21)-1.96/(3*SQRT(P21)))^3)/Q21</f>
        <v>292.97403753586974</v>
      </c>
      <c r="S21" s="38">
        <f aca="true" t="shared" si="22" ref="S21:S27">100000*((P21+1)*(1-1/(9*(P21+1))+1.96/(3*SQRT(P21+1)))^3)/Q21</f>
        <v>332.7451913086641</v>
      </c>
      <c r="T21" s="53">
        <f t="shared" si="19"/>
        <v>551.1681518554688</v>
      </c>
      <c r="U21" s="51">
        <f t="shared" si="20"/>
        <v>61.46357345581055</v>
      </c>
      <c r="V21" s="7"/>
      <c r="W21" s="27">
        <f t="shared" si="2"/>
        <v>61.46357345581055</v>
      </c>
      <c r="X21" s="27">
        <f t="shared" si="3"/>
        <v>558.3960456848145</v>
      </c>
      <c r="Y21" s="27">
        <f t="shared" si="4"/>
        <v>61.46357345581055</v>
      </c>
      <c r="Z21" s="27">
        <f t="shared" si="5"/>
        <v>558.3960456848145</v>
      </c>
      <c r="AA21" s="32">
        <f t="shared" si="6"/>
        <v>0</v>
      </c>
      <c r="AB21" s="33">
        <f t="shared" si="7"/>
        <v>0.27022109197674277</v>
      </c>
      <c r="AC21" s="33">
        <v>0.5</v>
      </c>
      <c r="AD21" s="33">
        <f t="shared" si="8"/>
        <v>0.6216118793256351</v>
      </c>
      <c r="AE21" s="33">
        <f t="shared" si="9"/>
        <v>0.9854549778223894</v>
      </c>
      <c r="AF21" s="33">
        <f t="shared" si="10"/>
        <v>-999</v>
      </c>
      <c r="AG21" s="33">
        <f t="shared" si="11"/>
        <v>0.6009146079153903</v>
      </c>
      <c r="AH21" s="33">
        <f t="shared" si="12"/>
        <v>-999</v>
      </c>
      <c r="AI21" s="34">
        <f t="shared" si="13"/>
        <v>0.6364360516345674</v>
      </c>
      <c r="AJ21" s="4">
        <v>17.765987247785823</v>
      </c>
      <c r="AK21" s="32">
        <f t="shared" si="14"/>
        <v>-999</v>
      </c>
      <c r="AL21" s="34">
        <f t="shared" si="15"/>
        <v>-999</v>
      </c>
      <c r="AY21" s="103" t="s">
        <v>123</v>
      </c>
      <c r="AZ21" s="103" t="s">
        <v>401</v>
      </c>
      <c r="BA21" s="103" t="s">
        <v>327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147.7241251961961</v>
      </c>
      <c r="F22" s="38">
        <f>IF(LEFT(VLOOKUP($B22,'Indicator chart'!$D$1:$J$36,6,FALSE),1)=" "," ",VLOOKUP($B22,'Indicator chart'!$D$1:$J$36,6,FALSE))</f>
        <v>84.38195679436625</v>
      </c>
      <c r="G22" s="38">
        <f>IF(LEFT(VLOOKUP($B22,'Indicator chart'!$D$1:$J$36,7,FALSE),1)=" "," ",VLOOKUP($B22,'Indicator chart'!$D$1:$J$36,7,FALSE))</f>
        <v>239.9098442937115</v>
      </c>
      <c r="H22" s="50">
        <f t="shared" si="0"/>
        <v>2</v>
      </c>
      <c r="I22" s="38">
        <v>18.07059669494629</v>
      </c>
      <c r="J22" s="38">
        <v>68.52142333984375</v>
      </c>
      <c r="K22" s="38">
        <v>141.74290466308594</v>
      </c>
      <c r="L22" s="38">
        <v>198.69020080566406</v>
      </c>
      <c r="M22" s="38">
        <v>350.877197265625</v>
      </c>
      <c r="N22" s="80">
        <f>VLOOKUP('Hide - Control'!B$3,'All practice data'!A:CA,A22+29,FALSE)</f>
        <v>148.41555057956597</v>
      </c>
      <c r="O22" s="80">
        <f>VLOOKUP('Hide - Control'!C$3,'All practice data'!A:CA,A22+29,FALSE)</f>
        <v>282.45290788403287</v>
      </c>
      <c r="P22" s="38">
        <f>VLOOKUP('Hide - Control'!$B$4,'All practice data'!B:BC,A22+2,FALSE)</f>
        <v>458</v>
      </c>
      <c r="Q22" s="38">
        <f>VLOOKUP('Hide - Control'!$B$4,'All practice data'!B:BC,3,FALSE)</f>
        <v>308593</v>
      </c>
      <c r="R22" s="38">
        <f t="shared" si="21"/>
        <v>135.13218295724684</v>
      </c>
      <c r="S22" s="38">
        <f t="shared" si="22"/>
        <v>162.65153744490206</v>
      </c>
      <c r="T22" s="53">
        <f t="shared" si="19"/>
        <v>350.877197265625</v>
      </c>
      <c r="U22" s="51">
        <f t="shared" si="20"/>
        <v>18.07059669494629</v>
      </c>
      <c r="V22" s="7"/>
      <c r="W22" s="27">
        <f t="shared" si="2"/>
        <v>-67.39138793945312</v>
      </c>
      <c r="X22" s="27">
        <f t="shared" si="3"/>
        <v>350.877197265625</v>
      </c>
      <c r="Y22" s="27">
        <f t="shared" si="4"/>
        <v>-67.39138793945312</v>
      </c>
      <c r="Z22" s="27">
        <f t="shared" si="5"/>
        <v>350.877197265625</v>
      </c>
      <c r="AA22" s="32">
        <f t="shared" si="6"/>
        <v>0.20432322114867218</v>
      </c>
      <c r="AB22" s="33">
        <f t="shared" si="7"/>
        <v>0.3249414756134709</v>
      </c>
      <c r="AC22" s="33">
        <v>0.5</v>
      </c>
      <c r="AD22" s="33">
        <f t="shared" si="8"/>
        <v>0.6361500675807549</v>
      </c>
      <c r="AE22" s="33">
        <f t="shared" si="9"/>
        <v>1</v>
      </c>
      <c r="AF22" s="33">
        <f t="shared" si="10"/>
        <v>-999</v>
      </c>
      <c r="AG22" s="33">
        <f t="shared" si="11"/>
        <v>0.5142999516212233</v>
      </c>
      <c r="AH22" s="33">
        <f t="shared" si="12"/>
        <v>-999</v>
      </c>
      <c r="AI22" s="34">
        <f t="shared" si="13"/>
        <v>0.8364106418653374</v>
      </c>
      <c r="AJ22" s="4">
        <v>18.841982673167745</v>
      </c>
      <c r="AK22" s="32">
        <f t="shared" si="14"/>
        <v>-999</v>
      </c>
      <c r="AL22" s="34">
        <f t="shared" si="15"/>
        <v>-999</v>
      </c>
      <c r="AY22" s="103" t="s">
        <v>149</v>
      </c>
      <c r="AZ22" s="103" t="s">
        <v>411</v>
      </c>
      <c r="BA22" s="103" t="s">
        <v>327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64.62930477333579</v>
      </c>
      <c r="F23" s="38">
        <f>IF(LEFT(VLOOKUP($B23,'Indicator chart'!$D$1:$J$36,6,FALSE),1)=" "," ",VLOOKUP($B23,'Indicator chart'!$D$1:$J$36,6,FALSE))</f>
        <v>25.892151237913566</v>
      </c>
      <c r="G23" s="38">
        <f>IF(LEFT(VLOOKUP($B23,'Indicator chart'!$D$1:$J$36,7,FALSE),1)=" "," ",VLOOKUP($B23,'Indicator chart'!$D$1:$J$36,7,FALSE))</f>
        <v>133.16788346679127</v>
      </c>
      <c r="H23" s="50">
        <f t="shared" si="0"/>
        <v>2</v>
      </c>
      <c r="I23" s="38">
        <v>3.248678207397461</v>
      </c>
      <c r="J23" s="38">
        <v>35.105587005615234</v>
      </c>
      <c r="K23" s="38">
        <v>48.23714828491211</v>
      </c>
      <c r="L23" s="38">
        <v>77.34255981445312</v>
      </c>
      <c r="M23" s="38">
        <v>154.16238403320312</v>
      </c>
      <c r="N23" s="80">
        <f>VLOOKUP('Hide - Control'!B$3,'All practice data'!A:CA,A23+29,FALSE)</f>
        <v>56.708998583895294</v>
      </c>
      <c r="O23" s="80">
        <f>VLOOKUP('Hide - Control'!C$3,'All practice data'!A:CA,A23+29,FALSE)</f>
        <v>70.46674929228394</v>
      </c>
      <c r="P23" s="38">
        <f>VLOOKUP('Hide - Control'!$B$4,'All practice data'!B:BC,A23+2,FALSE)</f>
        <v>175</v>
      </c>
      <c r="Q23" s="38">
        <f>VLOOKUP('Hide - Control'!$B$4,'All practice data'!B:BC,3,FALSE)</f>
        <v>308593</v>
      </c>
      <c r="R23" s="38">
        <f t="shared" si="21"/>
        <v>48.61745711778881</v>
      </c>
      <c r="S23" s="38">
        <f t="shared" si="22"/>
        <v>65.76206855177789</v>
      </c>
      <c r="T23" s="53">
        <f t="shared" si="19"/>
        <v>154.16238403320312</v>
      </c>
      <c r="U23" s="51">
        <f t="shared" si="20"/>
        <v>3.248678207397461</v>
      </c>
      <c r="V23" s="7"/>
      <c r="W23" s="27">
        <f t="shared" si="2"/>
        <v>-57.688087463378906</v>
      </c>
      <c r="X23" s="27">
        <f t="shared" si="3"/>
        <v>154.16238403320312</v>
      </c>
      <c r="Y23" s="27">
        <f t="shared" si="4"/>
        <v>-57.688087463378906</v>
      </c>
      <c r="Z23" s="27">
        <f t="shared" si="5"/>
        <v>154.16238403320312</v>
      </c>
      <c r="AA23" s="32">
        <f t="shared" si="6"/>
        <v>0.2876404533834588</v>
      </c>
      <c r="AB23" s="33">
        <f t="shared" si="7"/>
        <v>0.4380149537240528</v>
      </c>
      <c r="AC23" s="33">
        <v>0.5</v>
      </c>
      <c r="AD23" s="33">
        <f t="shared" si="8"/>
        <v>0.6373865789579354</v>
      </c>
      <c r="AE23" s="33">
        <f t="shared" si="9"/>
        <v>1</v>
      </c>
      <c r="AF23" s="33">
        <f t="shared" si="10"/>
        <v>-999</v>
      </c>
      <c r="AG23" s="33">
        <f t="shared" si="11"/>
        <v>0.5773760680003402</v>
      </c>
      <c r="AH23" s="33">
        <f t="shared" si="12"/>
        <v>-999</v>
      </c>
      <c r="AI23" s="34">
        <f t="shared" si="13"/>
        <v>0.6049306185175541</v>
      </c>
      <c r="AJ23" s="4">
        <v>19.917978098549675</v>
      </c>
      <c r="AK23" s="32">
        <f t="shared" si="14"/>
        <v>-999</v>
      </c>
      <c r="AL23" s="34">
        <f t="shared" si="15"/>
        <v>-999</v>
      </c>
      <c r="AY23" s="103" t="s">
        <v>264</v>
      </c>
      <c r="AZ23" s="103" t="s">
        <v>265</v>
      </c>
      <c r="BA23" s="103" t="s">
        <v>327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378.5430708152525</v>
      </c>
      <c r="F24" s="38">
        <f>IF(LEFT(VLOOKUP($B24,'Indicator chart'!$D$1:$J$36,6,FALSE),1)=" "," ",VLOOKUP($B24,'Indicator chart'!$D$1:$J$36,6,FALSE))</f>
        <v>271.61745430985366</v>
      </c>
      <c r="G24" s="38">
        <f>IF(LEFT(VLOOKUP($B24,'Indicator chart'!$D$1:$J$36,7,FALSE),1)=" "," ",VLOOKUP($B24,'Indicator chart'!$D$1:$J$36,7,FALSE))</f>
        <v>513.5523702979009</v>
      </c>
      <c r="H24" s="50">
        <f t="shared" si="0"/>
        <v>2</v>
      </c>
      <c r="I24" s="38">
        <v>27.3076171875</v>
      </c>
      <c r="J24" s="38">
        <v>150.99530029296875</v>
      </c>
      <c r="K24" s="38">
        <v>222.48683166503906</v>
      </c>
      <c r="L24" s="38">
        <v>309.53167724609375</v>
      </c>
      <c r="M24" s="38">
        <v>732.1487426757812</v>
      </c>
      <c r="N24" s="80">
        <f>VLOOKUP('Hide - Control'!B$3,'All practice data'!A:CA,A24+29,FALSE)</f>
        <v>278.68422161228546</v>
      </c>
      <c r="O24" s="80">
        <f>VLOOKUP('Hide - Control'!C$3,'All practice data'!A:CA,A24+29,FALSE)</f>
        <v>323.23046266988894</v>
      </c>
      <c r="P24" s="38">
        <f>VLOOKUP('Hide - Control'!$B$4,'All practice data'!B:BC,A24+2,FALSE)</f>
        <v>860</v>
      </c>
      <c r="Q24" s="38">
        <f>VLOOKUP('Hide - Control'!$B$4,'All practice data'!B:BC,3,FALSE)</f>
        <v>308593</v>
      </c>
      <c r="R24" s="38">
        <f t="shared" si="21"/>
        <v>260.36687047530665</v>
      </c>
      <c r="S24" s="38">
        <f t="shared" si="22"/>
        <v>297.950254832032</v>
      </c>
      <c r="T24" s="53">
        <f t="shared" si="19"/>
        <v>732.1487426757812</v>
      </c>
      <c r="U24" s="51">
        <f t="shared" si="20"/>
        <v>27.3076171875</v>
      </c>
      <c r="V24" s="7"/>
      <c r="W24" s="27">
        <f t="shared" si="2"/>
        <v>-287.1750793457031</v>
      </c>
      <c r="X24" s="27">
        <f t="shared" si="3"/>
        <v>732.1487426757812</v>
      </c>
      <c r="Y24" s="27">
        <f t="shared" si="4"/>
        <v>-287.1750793457031</v>
      </c>
      <c r="Z24" s="27">
        <f t="shared" si="5"/>
        <v>732.1487426757812</v>
      </c>
      <c r="AA24" s="32">
        <f t="shared" si="6"/>
        <v>0.3085208936935595</v>
      </c>
      <c r="AB24" s="33">
        <f t="shared" si="7"/>
        <v>0.42986376867922993</v>
      </c>
      <c r="AC24" s="33">
        <v>0.5</v>
      </c>
      <c r="AD24" s="33">
        <f t="shared" si="8"/>
        <v>0.5853946937180676</v>
      </c>
      <c r="AE24" s="33">
        <f t="shared" si="9"/>
        <v>1</v>
      </c>
      <c r="AF24" s="33">
        <f t="shared" si="10"/>
        <v>-999</v>
      </c>
      <c r="AG24" s="33">
        <f t="shared" si="11"/>
        <v>0.6530978044256129</v>
      </c>
      <c r="AH24" s="33">
        <f t="shared" si="12"/>
        <v>-999</v>
      </c>
      <c r="AI24" s="34">
        <f t="shared" si="13"/>
        <v>0.5988337845426382</v>
      </c>
      <c r="AJ24" s="4">
        <v>20.99397352393159</v>
      </c>
      <c r="AK24" s="32">
        <f t="shared" si="14"/>
        <v>-999</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48</v>
      </c>
      <c r="E25" s="38">
        <f>IF(LEFT(VLOOKUP($B25,'Indicator chart'!$D$1:$J$36,5,FALSE),1)=" "," ",VLOOKUP($B25,'Indicator chart'!$D$1:$J$36,5,FALSE))</f>
        <v>443.1723755885883</v>
      </c>
      <c r="F25" s="38">
        <f>IF(LEFT(VLOOKUP($B25,'Indicator chart'!$D$1:$J$36,6,FALSE),1)=" "," ",VLOOKUP($B25,'Indicator chart'!$D$1:$J$36,6,FALSE))</f>
        <v>326.7313367550449</v>
      </c>
      <c r="G25" s="38">
        <f>IF(LEFT(VLOOKUP($B25,'Indicator chart'!$D$1:$J$36,7,FALSE),1)=" "," ",VLOOKUP($B25,'Indicator chart'!$D$1:$J$36,7,FALSE))</f>
        <v>587.5979939267255</v>
      </c>
      <c r="H25" s="50">
        <f t="shared" si="0"/>
        <v>2</v>
      </c>
      <c r="I25" s="38">
        <v>107.56543731689453</v>
      </c>
      <c r="J25" s="38">
        <v>289.3741455078125</v>
      </c>
      <c r="K25" s="38">
        <v>424.79315185546875</v>
      </c>
      <c r="L25" s="38">
        <v>532.3321533203125</v>
      </c>
      <c r="M25" s="38">
        <v>1169.230712890625</v>
      </c>
      <c r="N25" s="80">
        <f>VLOOKUP('Hide - Control'!B$3,'All practice data'!A:CA,A25+29,FALSE)</f>
        <v>421.5908980437016</v>
      </c>
      <c r="O25" s="80">
        <f>VLOOKUP('Hide - Control'!C$3,'All practice data'!A:CA,A25+29,FALSE)</f>
        <v>562.6134400960308</v>
      </c>
      <c r="P25" s="38">
        <f>VLOOKUP('Hide - Control'!$B$4,'All practice data'!B:BC,A25+2,FALSE)</f>
        <v>1301</v>
      </c>
      <c r="Q25" s="38">
        <f>VLOOKUP('Hide - Control'!$B$4,'All practice data'!B:BC,3,FALSE)</f>
        <v>308593</v>
      </c>
      <c r="R25" s="38">
        <f t="shared" si="21"/>
        <v>398.9900880650247</v>
      </c>
      <c r="S25" s="38">
        <f t="shared" si="22"/>
        <v>445.1383933266705</v>
      </c>
      <c r="T25" s="53">
        <f t="shared" si="19"/>
        <v>1169.230712890625</v>
      </c>
      <c r="U25" s="51">
        <f t="shared" si="20"/>
        <v>107.56543731689453</v>
      </c>
      <c r="V25" s="7"/>
      <c r="W25" s="27">
        <f t="shared" si="2"/>
        <v>-319.6444091796875</v>
      </c>
      <c r="X25" s="27">
        <f t="shared" si="3"/>
        <v>1169.230712890625</v>
      </c>
      <c r="Y25" s="27">
        <f t="shared" si="4"/>
        <v>-319.6444091796875</v>
      </c>
      <c r="Z25" s="27">
        <f t="shared" si="5"/>
        <v>1169.230712890625</v>
      </c>
      <c r="AA25" s="32">
        <f t="shared" si="6"/>
        <v>0.28693463955696813</v>
      </c>
      <c r="AB25" s="33">
        <f t="shared" si="7"/>
        <v>0.4090460950416357</v>
      </c>
      <c r="AC25" s="33">
        <v>0.5</v>
      </c>
      <c r="AD25" s="33">
        <f t="shared" si="8"/>
        <v>0.5722283554011625</v>
      </c>
      <c r="AE25" s="33">
        <f t="shared" si="9"/>
        <v>1</v>
      </c>
      <c r="AF25" s="33">
        <f t="shared" si="10"/>
        <v>-999</v>
      </c>
      <c r="AG25" s="33">
        <f t="shared" si="11"/>
        <v>0.5123443688867356</v>
      </c>
      <c r="AH25" s="33">
        <f t="shared" si="12"/>
        <v>-999</v>
      </c>
      <c r="AI25" s="34">
        <f t="shared" si="13"/>
        <v>0.5925667211424153</v>
      </c>
      <c r="AJ25" s="4">
        <v>22.06996894931352</v>
      </c>
      <c r="AK25" s="32">
        <f t="shared" si="14"/>
        <v>-999</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147.7241251961961</v>
      </c>
      <c r="F26" s="38">
        <f>IF(LEFT(VLOOKUP($B26,'Indicator chart'!$D$1:$J$36,6,FALSE),1)=" "," ",VLOOKUP($B26,'Indicator chart'!$D$1:$J$36,6,FALSE))</f>
        <v>84.38195679436625</v>
      </c>
      <c r="G26" s="38">
        <f>IF(LEFT(VLOOKUP($B26,'Indicator chart'!$D$1:$J$36,7,FALSE),1)=" "," ",VLOOKUP($B26,'Indicator chart'!$D$1:$J$36,7,FALSE))</f>
        <v>239.9098442937115</v>
      </c>
      <c r="H26" s="50">
        <f t="shared" si="0"/>
        <v>2</v>
      </c>
      <c r="I26" s="38">
        <v>98.57072448730469</v>
      </c>
      <c r="J26" s="38">
        <v>107.966064453125</v>
      </c>
      <c r="K26" s="38">
        <v>184.00794982910156</v>
      </c>
      <c r="L26" s="38">
        <v>247.29251098632812</v>
      </c>
      <c r="M26" s="38">
        <v>408.10772705078125</v>
      </c>
      <c r="N26" s="80">
        <f>VLOOKUP('Hide - Control'!B$3,'All practice data'!A:CA,A26+29,FALSE)</f>
        <v>196.3751608105174</v>
      </c>
      <c r="O26" s="80">
        <f>VLOOKUP('Hide - Control'!C$3,'All practice data'!A:CA,A26+29,FALSE)</f>
        <v>405.57105879375996</v>
      </c>
      <c r="P26" s="38">
        <f>VLOOKUP('Hide - Control'!$B$4,'All practice data'!B:BC,A26+2,FALSE)</f>
        <v>606</v>
      </c>
      <c r="Q26" s="38">
        <f>VLOOKUP('Hide - Control'!$B$4,'All practice data'!B:BC,3,FALSE)</f>
        <v>308593</v>
      </c>
      <c r="R26" s="38">
        <f t="shared" si="21"/>
        <v>181.048804651941</v>
      </c>
      <c r="S26" s="38">
        <f t="shared" si="22"/>
        <v>212.65223573049224</v>
      </c>
      <c r="T26" s="53">
        <f t="shared" si="19"/>
        <v>408.10772705078125</v>
      </c>
      <c r="U26" s="51">
        <f t="shared" si="20"/>
        <v>98.57072448730469</v>
      </c>
      <c r="V26" s="7"/>
      <c r="W26" s="27">
        <f t="shared" si="2"/>
        <v>-40.091827392578125</v>
      </c>
      <c r="X26" s="27">
        <f t="shared" si="3"/>
        <v>408.10772705078125</v>
      </c>
      <c r="Y26" s="27">
        <f t="shared" si="4"/>
        <v>-40.091827392578125</v>
      </c>
      <c r="Z26" s="27">
        <f t="shared" si="5"/>
        <v>408.10772705078125</v>
      </c>
      <c r="AA26" s="32">
        <f t="shared" si="6"/>
        <v>0.30937681777058995</v>
      </c>
      <c r="AB26" s="33">
        <f t="shared" si="7"/>
        <v>0.33033922139789573</v>
      </c>
      <c r="AC26" s="33">
        <v>0.5</v>
      </c>
      <c r="AD26" s="33">
        <f t="shared" si="8"/>
        <v>0.6411972870785708</v>
      </c>
      <c r="AE26" s="33">
        <f t="shared" si="9"/>
        <v>1</v>
      </c>
      <c r="AF26" s="33">
        <f t="shared" si="10"/>
        <v>-999</v>
      </c>
      <c r="AG26" s="33">
        <f t="shared" si="11"/>
        <v>0.4190453799581124</v>
      </c>
      <c r="AH26" s="33">
        <f t="shared" si="12"/>
        <v>-999</v>
      </c>
      <c r="AI26" s="34">
        <f t="shared" si="13"/>
        <v>0.9943403150853827</v>
      </c>
      <c r="AJ26" s="4">
        <v>23.145964374695435</v>
      </c>
      <c r="AK26" s="32">
        <f t="shared" si="14"/>
        <v>-999</v>
      </c>
      <c r="AL26" s="34">
        <f t="shared" si="15"/>
        <v>-999</v>
      </c>
      <c r="AY26" s="103" t="s">
        <v>120</v>
      </c>
      <c r="AZ26" s="103" t="s">
        <v>400</v>
      </c>
      <c r="BA26" s="103" t="s">
        <v>327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76</v>
      </c>
      <c r="E27" s="38">
        <f>IF(LEFT(VLOOKUP($B27,'Indicator chart'!$D$1:$J$36,5,FALSE),1)=" "," ",VLOOKUP($B27,'Indicator chart'!$D$1:$J$36,5,FALSE))</f>
        <v>701.6895946819315</v>
      </c>
      <c r="F27" s="38">
        <f>IF(LEFT(VLOOKUP($B27,'Indicator chart'!$D$1:$J$36,6,FALSE),1)=" "," ",VLOOKUP($B27,'Indicator chart'!$D$1:$J$36,6,FALSE))</f>
        <v>552.8286165383162</v>
      </c>
      <c r="G27" s="38">
        <f>IF(LEFT(VLOOKUP($B27,'Indicator chart'!$D$1:$J$36,7,FALSE),1)=" "," ",VLOOKUP($B27,'Indicator chart'!$D$1:$J$36,7,FALSE))</f>
        <v>878.2840290592573</v>
      </c>
      <c r="H27" s="50">
        <f t="shared" si="0"/>
        <v>2</v>
      </c>
      <c r="I27" s="38">
        <v>253.6461639404297</v>
      </c>
      <c r="J27" s="38">
        <v>536.3343505859375</v>
      </c>
      <c r="K27" s="38">
        <v>648.47216796875</v>
      </c>
      <c r="L27" s="38">
        <v>829.20068359375</v>
      </c>
      <c r="M27" s="38">
        <v>1310.3802490234375</v>
      </c>
      <c r="N27" s="80">
        <f>VLOOKUP('Hide - Control'!B$3,'All practice data'!A:CA,A27+29,FALSE)</f>
        <v>690.8776284620843</v>
      </c>
      <c r="O27" s="80">
        <f>VLOOKUP('Hide - Control'!C$3,'All practice data'!A:CA,A27+29,FALSE)</f>
        <v>1059.3522061277838</v>
      </c>
      <c r="P27" s="38">
        <f>VLOOKUP('Hide - Control'!$B$4,'All practice data'!B:BC,A27+2,FALSE)</f>
        <v>2132</v>
      </c>
      <c r="Q27" s="38">
        <f>VLOOKUP('Hide - Control'!$B$4,'All practice data'!B:BC,3,FALSE)</f>
        <v>308593</v>
      </c>
      <c r="R27" s="38">
        <f t="shared" si="21"/>
        <v>661.8589262009115</v>
      </c>
      <c r="S27" s="38">
        <f t="shared" si="22"/>
        <v>720.841110370674</v>
      </c>
      <c r="T27" s="53">
        <f t="shared" si="19"/>
        <v>1310.3802490234375</v>
      </c>
      <c r="U27" s="51">
        <f t="shared" si="20"/>
        <v>253.6461639404297</v>
      </c>
      <c r="V27" s="7"/>
      <c r="W27" s="27">
        <f t="shared" si="2"/>
        <v>-13.4359130859375</v>
      </c>
      <c r="X27" s="27">
        <f t="shared" si="3"/>
        <v>1310.3802490234375</v>
      </c>
      <c r="Y27" s="27">
        <f t="shared" si="4"/>
        <v>-13.4359130859375</v>
      </c>
      <c r="Z27" s="27">
        <f t="shared" si="5"/>
        <v>1310.3802490234375</v>
      </c>
      <c r="AA27" s="32">
        <f t="shared" si="6"/>
        <v>0.20175163642117597</v>
      </c>
      <c r="AB27" s="33">
        <f t="shared" si="7"/>
        <v>0.4152920015690611</v>
      </c>
      <c r="AC27" s="33">
        <v>0.5</v>
      </c>
      <c r="AD27" s="33">
        <f t="shared" si="8"/>
        <v>0.6365208559903259</v>
      </c>
      <c r="AE27" s="33">
        <f t="shared" si="9"/>
        <v>1</v>
      </c>
      <c r="AF27" s="33">
        <f t="shared" si="10"/>
        <v>-999</v>
      </c>
      <c r="AG27" s="33">
        <f t="shared" si="11"/>
        <v>0.5402000128389312</v>
      </c>
      <c r="AH27" s="33">
        <f t="shared" si="12"/>
        <v>-999</v>
      </c>
      <c r="AI27" s="34">
        <f t="shared" si="13"/>
        <v>0.8103754508513747</v>
      </c>
      <c r="AJ27" s="4">
        <v>24.221959800077364</v>
      </c>
      <c r="AK27" s="32">
        <f t="shared" si="14"/>
        <v>-999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323.146523866679</v>
      </c>
      <c r="F28" s="38">
        <f>IF(LEFT(VLOOKUP($B28,'Indicator chart'!$D$1:$J$36,6,FALSE),1)=" "," ",VLOOKUP($B28,'Indicator chart'!$D$1:$J$36,6,FALSE))</f>
        <v>225.04886958896722</v>
      </c>
      <c r="G28" s="38">
        <f>IF(LEFT(VLOOKUP($B28,'Indicator chart'!$D$1:$J$36,7,FALSE),1)=" "," ",VLOOKUP($B28,'Indicator chart'!$D$1:$J$36,7,FALSE))</f>
        <v>449.43471087678034</v>
      </c>
      <c r="H28" s="50">
        <f t="shared" si="0"/>
        <v>2</v>
      </c>
      <c r="I28" s="38">
        <v>172.7541961669922</v>
      </c>
      <c r="J28" s="38">
        <v>249.03829956054688</v>
      </c>
      <c r="K28" s="38">
        <v>334.1101379394531</v>
      </c>
      <c r="L28" s="38">
        <v>428.774169921875</v>
      </c>
      <c r="M28" s="38">
        <v>923.076904296875</v>
      </c>
      <c r="N28" s="80">
        <f>VLOOKUP('Hide - Control'!B$3,'All practice data'!A:CA,A28+29,FALSE)</f>
        <v>337.66158013953657</v>
      </c>
      <c r="O28" s="80">
        <f>VLOOKUP('Hide - Control'!C$3,'All practice data'!A:CA,A28+29,FALSE)</f>
        <v>582.9390489900089</v>
      </c>
      <c r="P28" s="38">
        <f>VLOOKUP('Hide - Control'!$B$4,'All practice data'!B:BC,A28+2,FALSE)</f>
        <v>1042</v>
      </c>
      <c r="Q28" s="38">
        <f>VLOOKUP('Hide - Control'!$B$4,'All practice data'!B:BC,3,FALSE)</f>
        <v>308593</v>
      </c>
      <c r="R28" s="38">
        <f>100000*(P28*(1-1/(9*P28)-1.96/(3*SQRT(P28)))^3)/Q28</f>
        <v>317.46770134029987</v>
      </c>
      <c r="S28" s="38">
        <f>100000*((P28+1)*(1-1/(9*(P28+1))+1.96/(3*SQRT(P28+1)))^3)/Q28</f>
        <v>358.8031643202793</v>
      </c>
      <c r="T28" s="53">
        <f t="shared" si="19"/>
        <v>923.076904296875</v>
      </c>
      <c r="U28" s="51">
        <f t="shared" si="20"/>
        <v>172.7541961669922</v>
      </c>
      <c r="V28" s="7"/>
      <c r="W28" s="27">
        <f t="shared" si="2"/>
        <v>-254.85662841796875</v>
      </c>
      <c r="X28" s="27">
        <f t="shared" si="3"/>
        <v>923.076904296875</v>
      </c>
      <c r="Y28" s="27">
        <f t="shared" si="4"/>
        <v>-254.85662841796875</v>
      </c>
      <c r="Z28" s="27">
        <f t="shared" si="5"/>
        <v>923.076904296875</v>
      </c>
      <c r="AA28" s="32">
        <f t="shared" si="6"/>
        <v>0.3630177872595446</v>
      </c>
      <c r="AB28" s="33">
        <f t="shared" si="7"/>
        <v>0.4277787447116504</v>
      </c>
      <c r="AC28" s="33">
        <v>0.5</v>
      </c>
      <c r="AD28" s="33">
        <f t="shared" si="8"/>
        <v>0.5803644937114956</v>
      </c>
      <c r="AE28" s="33">
        <f t="shared" si="9"/>
        <v>1</v>
      </c>
      <c r="AF28" s="33">
        <f t="shared" si="10"/>
        <v>-999</v>
      </c>
      <c r="AG28" s="33">
        <f t="shared" si="11"/>
        <v>0.4906925019381138</v>
      </c>
      <c r="AH28" s="33">
        <f t="shared" si="12"/>
        <v>-999</v>
      </c>
      <c r="AI28" s="34">
        <f t="shared" si="13"/>
        <v>0.7112418945040703</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327</v>
      </c>
      <c r="BB34" s="10">
        <v>532801</v>
      </c>
      <c r="BE34" s="77"/>
      <c r="BF34" s="253"/>
    </row>
    <row r="35" spans="2:58" ht="12.75">
      <c r="B35" s="17" t="s">
        <v>41</v>
      </c>
      <c r="C35" s="18"/>
      <c r="H35" s="290" t="s">
        <v>564</v>
      </c>
      <c r="I35" s="291"/>
      <c r="Y35" s="43"/>
      <c r="Z35" s="44"/>
      <c r="AA35" s="44"/>
      <c r="AB35" s="43"/>
      <c r="AC35" s="43"/>
      <c r="AY35" s="103" t="s">
        <v>159</v>
      </c>
      <c r="AZ35" s="103" t="s">
        <v>415</v>
      </c>
      <c r="BA35" s="103" t="s">
        <v>327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327</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327</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327</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327</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327</v>
      </c>
      <c r="BB65" s="10">
        <v>1169302</v>
      </c>
      <c r="BE65" s="70"/>
      <c r="BF65" s="241"/>
    </row>
    <row r="66" spans="1:58" ht="12.75">
      <c r="A66" s="3"/>
      <c r="B66" s="12"/>
      <c r="C66" s="3"/>
      <c r="E66" s="2"/>
      <c r="F66" s="2"/>
      <c r="G66" s="2"/>
      <c r="V66" s="2"/>
      <c r="AY66" s="103" t="s">
        <v>200</v>
      </c>
      <c r="AZ66" s="103" t="s">
        <v>426</v>
      </c>
      <c r="BA66" s="103" t="s">
        <v>327</v>
      </c>
      <c r="BB66" s="10">
        <v>217916</v>
      </c>
      <c r="BE66" s="70"/>
      <c r="BF66" s="239"/>
    </row>
    <row r="67" spans="1:58" ht="12.75">
      <c r="A67" s="3"/>
      <c r="B67" s="12"/>
      <c r="C67" s="3"/>
      <c r="AY67" s="103" t="s">
        <v>69</v>
      </c>
      <c r="AZ67" s="103" t="s">
        <v>70</v>
      </c>
      <c r="BA67" s="103" t="s">
        <v>327</v>
      </c>
      <c r="BB67" s="10">
        <v>270842</v>
      </c>
      <c r="BE67" s="70"/>
      <c r="BF67" s="239"/>
    </row>
    <row r="68" spans="1:58" ht="12.75">
      <c r="A68" s="3"/>
      <c r="B68" s="12"/>
      <c r="C68" s="3"/>
      <c r="AY68" s="103" t="s">
        <v>109</v>
      </c>
      <c r="AZ68" s="103" t="s">
        <v>110</v>
      </c>
      <c r="BA68" s="103" t="s">
        <v>327</v>
      </c>
      <c r="BB68" s="10">
        <v>251613</v>
      </c>
      <c r="BF68" s="252"/>
    </row>
    <row r="69" spans="1:58" ht="12.75">
      <c r="A69" s="3"/>
      <c r="B69" s="12"/>
      <c r="C69" s="3"/>
      <c r="AY69" s="103" t="s">
        <v>209</v>
      </c>
      <c r="AZ69" s="103" t="s">
        <v>210</v>
      </c>
      <c r="BA69" s="103" t="s">
        <v>327</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327</v>
      </c>
      <c r="BB71" s="10">
        <v>213326</v>
      </c>
      <c r="BE71" s="70"/>
      <c r="BF71" s="239"/>
    </row>
    <row r="72" spans="1:58" ht="12.75">
      <c r="A72" s="3"/>
      <c r="B72" s="12"/>
      <c r="C72" s="3"/>
      <c r="AY72" s="103" t="s">
        <v>136</v>
      </c>
      <c r="AZ72" s="103" t="s">
        <v>137</v>
      </c>
      <c r="BA72" s="103" t="s">
        <v>327</v>
      </c>
      <c r="BB72" s="10">
        <v>183220</v>
      </c>
      <c r="BE72" s="250"/>
      <c r="BF72" s="239"/>
    </row>
    <row r="73" spans="1:58" ht="12.75">
      <c r="A73" s="3"/>
      <c r="B73" s="12"/>
      <c r="C73" s="3"/>
      <c r="AY73" s="103" t="s">
        <v>64</v>
      </c>
      <c r="AZ73" s="103" t="s">
        <v>378</v>
      </c>
      <c r="BA73" s="103" t="s">
        <v>327</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327</v>
      </c>
      <c r="BB75" s="10">
        <v>158106</v>
      </c>
      <c r="BE75" s="70"/>
      <c r="BF75" s="241"/>
    </row>
    <row r="76" spans="1:58" ht="12.75">
      <c r="A76" s="3"/>
      <c r="B76" s="12"/>
      <c r="C76" s="3"/>
      <c r="AY76" s="103" t="s">
        <v>140</v>
      </c>
      <c r="AZ76" s="103" t="s">
        <v>141</v>
      </c>
      <c r="BA76" s="103" t="s">
        <v>327</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327</v>
      </c>
      <c r="BB78" s="10">
        <v>362638</v>
      </c>
      <c r="BE78" s="70"/>
      <c r="BF78" s="239"/>
    </row>
    <row r="79" spans="1:58" ht="12.75">
      <c r="A79" s="3"/>
      <c r="B79" s="12"/>
      <c r="C79" s="3"/>
      <c r="AY79" s="103" t="s">
        <v>223</v>
      </c>
      <c r="AZ79" s="103" t="s">
        <v>431</v>
      </c>
      <c r="BA79" s="103" t="s">
        <v>327</v>
      </c>
      <c r="BB79" s="10">
        <v>678998</v>
      </c>
      <c r="BF79" s="239"/>
    </row>
    <row r="80" spans="1:58" ht="12.75">
      <c r="A80" s="3"/>
      <c r="B80" s="12"/>
      <c r="C80" s="3"/>
      <c r="AY80" s="103" t="s">
        <v>144</v>
      </c>
      <c r="AZ80" s="103" t="s">
        <v>145</v>
      </c>
      <c r="BA80" s="103" t="s">
        <v>327</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327</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327</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327</v>
      </c>
      <c r="BB89" s="10">
        <v>283085</v>
      </c>
      <c r="BE89" s="70"/>
      <c r="BF89" s="241"/>
    </row>
    <row r="90" spans="1:58" ht="12.75">
      <c r="A90" s="3"/>
      <c r="B90" s="12"/>
      <c r="C90" s="3"/>
      <c r="AY90" s="103" t="s">
        <v>76</v>
      </c>
      <c r="AZ90" s="103" t="s">
        <v>384</v>
      </c>
      <c r="BA90" s="103" t="s">
        <v>327</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327</v>
      </c>
      <c r="BB93" s="10">
        <v>165284</v>
      </c>
      <c r="BF93" s="252"/>
    </row>
    <row r="94" spans="1:58" ht="12.75">
      <c r="A94" s="3"/>
      <c r="B94" s="12"/>
      <c r="C94" s="3"/>
      <c r="AY94" s="103" t="s">
        <v>186</v>
      </c>
      <c r="AZ94" s="103" t="s">
        <v>422</v>
      </c>
      <c r="BA94" s="103" t="s">
        <v>327</v>
      </c>
      <c r="BB94" s="10">
        <v>339272</v>
      </c>
      <c r="BE94" s="70"/>
      <c r="BF94" s="241"/>
    </row>
    <row r="95" spans="1:58" ht="12.75">
      <c r="A95" s="3"/>
      <c r="B95" s="12"/>
      <c r="C95" s="3"/>
      <c r="AY95" s="103" t="s">
        <v>86</v>
      </c>
      <c r="AZ95" s="103" t="s">
        <v>87</v>
      </c>
      <c r="BA95" s="103" t="s">
        <v>327</v>
      </c>
      <c r="BB95" s="10">
        <v>165642</v>
      </c>
      <c r="BE95" s="247"/>
      <c r="BF95" s="249"/>
    </row>
    <row r="96" spans="1:58" ht="12.75">
      <c r="A96" s="3"/>
      <c r="B96" s="12"/>
      <c r="C96" s="3"/>
      <c r="AY96" s="103" t="s">
        <v>157</v>
      </c>
      <c r="AZ96" s="103" t="s">
        <v>158</v>
      </c>
      <c r="BA96" s="103" t="s">
        <v>327</v>
      </c>
      <c r="BB96" s="10">
        <v>208351</v>
      </c>
      <c r="BE96" s="243"/>
      <c r="BF96" s="238"/>
    </row>
    <row r="97" spans="1:58" ht="12.75">
      <c r="A97" s="3"/>
      <c r="B97" s="12"/>
      <c r="C97" s="3"/>
      <c r="AY97" s="103" t="s">
        <v>231</v>
      </c>
      <c r="AZ97" s="103" t="s">
        <v>232</v>
      </c>
      <c r="BA97" s="103" t="s">
        <v>327</v>
      </c>
      <c r="BB97" s="10">
        <v>203178</v>
      </c>
      <c r="BE97" s="243"/>
      <c r="BF97" s="238"/>
    </row>
    <row r="98" spans="1:58" ht="12.75">
      <c r="A98" s="3"/>
      <c r="B98" s="12"/>
      <c r="C98" s="3"/>
      <c r="AY98" s="103" t="s">
        <v>82</v>
      </c>
      <c r="AZ98" s="103" t="s">
        <v>388</v>
      </c>
      <c r="BA98" s="103" t="s">
        <v>327</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327</v>
      </c>
      <c r="BB100" s="10">
        <v>648340</v>
      </c>
      <c r="BE100" s="70"/>
      <c r="BF100" s="249"/>
    </row>
    <row r="101" spans="51:58" ht="12.75">
      <c r="AY101" s="103" t="s">
        <v>51</v>
      </c>
      <c r="AZ101" s="103" t="s">
        <v>52</v>
      </c>
      <c r="BA101" s="103" t="s">
        <v>327</v>
      </c>
      <c r="BB101" s="10">
        <v>320818</v>
      </c>
      <c r="BE101" s="237"/>
      <c r="BF101" s="238"/>
    </row>
    <row r="102" spans="51:58" ht="12.75">
      <c r="AY102" s="103" t="s">
        <v>88</v>
      </c>
      <c r="AZ102" s="103" t="s">
        <v>89</v>
      </c>
      <c r="BA102" s="103" t="s">
        <v>327</v>
      </c>
      <c r="BB102" s="10">
        <v>339920</v>
      </c>
      <c r="BE102" s="237"/>
      <c r="BF102" s="238"/>
    </row>
    <row r="103" spans="51:58" ht="12.75">
      <c r="AY103" s="103" t="s">
        <v>177</v>
      </c>
      <c r="AZ103" s="103" t="s">
        <v>419</v>
      </c>
      <c r="BA103" s="103" t="s">
        <v>327</v>
      </c>
      <c r="BB103" s="10">
        <v>656875</v>
      </c>
      <c r="BE103" s="70"/>
      <c r="BF103" s="239"/>
    </row>
    <row r="104" spans="51:58" ht="12.75">
      <c r="AY104" s="103" t="s">
        <v>114</v>
      </c>
      <c r="AZ104" s="103" t="s">
        <v>398</v>
      </c>
      <c r="BA104" s="103" t="s">
        <v>327</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327</v>
      </c>
      <c r="BB107" s="10">
        <v>274443</v>
      </c>
      <c r="BF107" s="252"/>
    </row>
    <row r="108" spans="51:58" ht="12.75">
      <c r="AY108" s="103" t="s">
        <v>95</v>
      </c>
      <c r="AZ108" s="103" t="s">
        <v>393</v>
      </c>
      <c r="BA108" s="103" t="s">
        <v>327</v>
      </c>
      <c r="BB108" s="10">
        <v>213174</v>
      </c>
      <c r="BE108" s="70"/>
      <c r="BF108" s="239"/>
    </row>
    <row r="109" spans="51:58" ht="12.75">
      <c r="AY109" s="103" t="s">
        <v>179</v>
      </c>
      <c r="AZ109" s="103" t="s">
        <v>180</v>
      </c>
      <c r="BA109" s="103" t="s">
        <v>327</v>
      </c>
      <c r="BB109" s="10">
        <v>278950</v>
      </c>
      <c r="BE109" s="237"/>
      <c r="BF109" s="238"/>
    </row>
    <row r="110" spans="51:58" ht="12.75">
      <c r="AY110" s="103" t="s">
        <v>273</v>
      </c>
      <c r="AZ110" s="103" t="s">
        <v>274</v>
      </c>
      <c r="BA110" s="103" t="s">
        <v>327</v>
      </c>
      <c r="BB110" s="10">
        <v>133304</v>
      </c>
      <c r="BE110" s="70"/>
      <c r="BF110" s="249"/>
    </row>
    <row r="111" spans="51:58" ht="12.75">
      <c r="AY111" s="103" t="s">
        <v>155</v>
      </c>
      <c r="AZ111" s="103" t="s">
        <v>413</v>
      </c>
      <c r="BA111" s="103" t="s">
        <v>327</v>
      </c>
      <c r="BB111" s="10">
        <v>197060</v>
      </c>
      <c r="BE111" s="70"/>
      <c r="BF111" s="239"/>
    </row>
    <row r="112" spans="51:58" ht="12.75">
      <c r="AY112" s="103" t="s">
        <v>100</v>
      </c>
      <c r="AZ112" s="103" t="s">
        <v>101</v>
      </c>
      <c r="BA112" s="103" t="s">
        <v>327</v>
      </c>
      <c r="BB112" s="10">
        <v>253140</v>
      </c>
      <c r="BE112" s="250"/>
      <c r="BF112" s="249"/>
    </row>
    <row r="113" spans="51:58" ht="12.75">
      <c r="AY113" s="103" t="s">
        <v>92</v>
      </c>
      <c r="AZ113" s="103" t="s">
        <v>93</v>
      </c>
      <c r="BA113" s="103" t="s">
        <v>327</v>
      </c>
      <c r="BB113" s="10">
        <v>240983</v>
      </c>
      <c r="BE113" s="70"/>
      <c r="BF113" s="241"/>
    </row>
    <row r="114" spans="51:58" ht="12.75">
      <c r="AY114" s="103" t="s">
        <v>228</v>
      </c>
      <c r="AZ114" s="103" t="s">
        <v>434</v>
      </c>
      <c r="BA114" s="103" t="s">
        <v>327</v>
      </c>
      <c r="BB114" s="10">
        <v>340451</v>
      </c>
      <c r="BF114" s="241"/>
    </row>
    <row r="115" spans="51:58" ht="12.75">
      <c r="AY115" s="103" t="s">
        <v>189</v>
      </c>
      <c r="AZ115" s="103" t="s">
        <v>190</v>
      </c>
      <c r="BA115" s="103" t="s">
        <v>327</v>
      </c>
      <c r="BB115" s="10">
        <v>280673</v>
      </c>
      <c r="BE115" s="248"/>
      <c r="BF115" s="241"/>
    </row>
    <row r="116" spans="51:58" ht="12.75">
      <c r="AY116" s="103" t="s">
        <v>169</v>
      </c>
      <c r="AZ116" s="103" t="s">
        <v>170</v>
      </c>
      <c r="BA116" s="103" t="s">
        <v>327</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327</v>
      </c>
      <c r="BB118" s="10">
        <v>217094</v>
      </c>
      <c r="BE118" s="70"/>
      <c r="BF118" s="239"/>
    </row>
    <row r="119" spans="51:58" ht="12.75">
      <c r="AY119" s="103" t="s">
        <v>268</v>
      </c>
      <c r="AZ119" s="103" t="s">
        <v>444</v>
      </c>
      <c r="BA119" s="103" t="s">
        <v>327</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327</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327</v>
      </c>
      <c r="BB124" s="10">
        <v>150179</v>
      </c>
      <c r="BF124" s="252"/>
    </row>
    <row r="125" spans="51:58" ht="12.75">
      <c r="AY125" s="103" t="s">
        <v>253</v>
      </c>
      <c r="AZ125" s="103" t="s">
        <v>254</v>
      </c>
      <c r="BA125" s="103" t="s">
        <v>327</v>
      </c>
      <c r="BB125" s="10">
        <v>420503</v>
      </c>
      <c r="BE125" s="70"/>
      <c r="BF125" s="249"/>
    </row>
    <row r="126" spans="51:58" ht="12.75">
      <c r="AY126" s="103" t="s">
        <v>134</v>
      </c>
      <c r="AZ126" s="103" t="s">
        <v>408</v>
      </c>
      <c r="BA126" s="103" t="s">
        <v>327</v>
      </c>
      <c r="BB126" s="10">
        <v>263936</v>
      </c>
      <c r="BE126" s="70"/>
      <c r="BF126" s="239"/>
    </row>
    <row r="127" spans="51:58" ht="12.75">
      <c r="AY127" s="103" t="s">
        <v>142</v>
      </c>
      <c r="AZ127" s="103" t="s">
        <v>143</v>
      </c>
      <c r="BA127" s="103" t="s">
        <v>327</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327</v>
      </c>
      <c r="BB129" s="10">
        <v>191885</v>
      </c>
      <c r="BE129" s="70"/>
      <c r="BF129" s="249"/>
    </row>
    <row r="130" spans="51:58" ht="12.75">
      <c r="AY130" s="103" t="s">
        <v>233</v>
      </c>
      <c r="AZ130" s="103" t="s">
        <v>435</v>
      </c>
      <c r="BA130" s="103" t="s">
        <v>327</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327</v>
      </c>
      <c r="BB132" s="10">
        <v>283991</v>
      </c>
      <c r="BE132" s="247"/>
      <c r="BF132" s="249"/>
    </row>
    <row r="133" spans="51:58" ht="12.75">
      <c r="AY133" s="103" t="s">
        <v>216</v>
      </c>
      <c r="AZ133" s="103" t="s">
        <v>217</v>
      </c>
      <c r="BA133" s="103" t="s">
        <v>327</v>
      </c>
      <c r="BB133" s="10">
        <v>1156805</v>
      </c>
      <c r="BE133" s="247"/>
      <c r="BF133" s="251"/>
    </row>
    <row r="134" spans="51:58" ht="12.75">
      <c r="AY134" s="103" t="s">
        <v>156</v>
      </c>
      <c r="AZ134" s="103" t="s">
        <v>414</v>
      </c>
      <c r="BA134" s="103" t="s">
        <v>327</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327</v>
      </c>
      <c r="BB138" s="10">
        <v>145889</v>
      </c>
      <c r="BE138" s="70"/>
      <c r="BF138" s="239"/>
    </row>
    <row r="139" spans="51:58" ht="12.75">
      <c r="AY139" s="103" t="s">
        <v>75</v>
      </c>
      <c r="AZ139" s="103" t="s">
        <v>383</v>
      </c>
      <c r="BA139" s="103" t="s">
        <v>327</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327</v>
      </c>
      <c r="BB142" s="10">
        <v>265654</v>
      </c>
      <c r="BE142" s="70"/>
      <c r="BF142" s="241"/>
    </row>
    <row r="143" spans="51:58" ht="12.75">
      <c r="AY143" s="103" t="s">
        <v>181</v>
      </c>
      <c r="AZ143" s="103" t="s">
        <v>182</v>
      </c>
      <c r="BA143" s="103" t="s">
        <v>327</v>
      </c>
      <c r="BB143" s="10">
        <v>284466</v>
      </c>
      <c r="BE143" s="70"/>
      <c r="BF143" s="249"/>
    </row>
    <row r="144" spans="51:58" ht="12.75">
      <c r="AY144" s="103" t="s">
        <v>146</v>
      </c>
      <c r="AZ144" s="103" t="s">
        <v>147</v>
      </c>
      <c r="BA144" s="103" t="s">
        <v>327</v>
      </c>
      <c r="BB144" s="10">
        <v>319933</v>
      </c>
      <c r="BE144" s="70"/>
      <c r="BF144" s="241"/>
    </row>
    <row r="145" spans="51:58" ht="12.75">
      <c r="AY145" s="103" t="s">
        <v>111</v>
      </c>
      <c r="AZ145" s="103" t="s">
        <v>112</v>
      </c>
      <c r="BA145" s="103" t="s">
        <v>327</v>
      </c>
      <c r="BB145" s="10">
        <v>192336</v>
      </c>
      <c r="BE145" s="248"/>
      <c r="BF145" s="249"/>
    </row>
    <row r="146" spans="51:58" ht="12.75">
      <c r="AY146" s="103" t="s">
        <v>237</v>
      </c>
      <c r="AZ146" s="103" t="s">
        <v>238</v>
      </c>
      <c r="BA146" s="103" t="s">
        <v>327</v>
      </c>
      <c r="BB146" s="10">
        <v>548313</v>
      </c>
      <c r="BF146" s="252"/>
    </row>
    <row r="147" spans="51:58" ht="12.75">
      <c r="AY147" s="103" t="s">
        <v>247</v>
      </c>
      <c r="AZ147" s="103" t="s">
        <v>248</v>
      </c>
      <c r="BA147" s="103" t="s">
        <v>327</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327</v>
      </c>
      <c r="BB150" s="10">
        <v>259945</v>
      </c>
      <c r="BF150" s="252"/>
    </row>
    <row r="151" spans="51:58" ht="12.75">
      <c r="AY151" s="103" t="s">
        <v>138</v>
      </c>
      <c r="AZ151" s="103" t="s">
        <v>139</v>
      </c>
      <c r="BA151" s="103" t="s">
        <v>327</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327</v>
      </c>
      <c r="BB153" s="10">
        <v>332176</v>
      </c>
      <c r="BF153" s="252"/>
    </row>
    <row r="154" spans="51:58" ht="12.75">
      <c r="AY154" s="103" t="s">
        <v>161</v>
      </c>
      <c r="AZ154" s="103" t="s">
        <v>417</v>
      </c>
      <c r="BA154" s="103" t="s">
        <v>327</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539</v>
      </c>
      <c r="B3" s="56" t="s">
        <v>143</v>
      </c>
      <c r="C3" s="56" t="s">
        <v>24</v>
      </c>
    </row>
    <row r="4" spans="1:2" ht="12.75">
      <c r="A4" s="76">
        <v>1</v>
      </c>
      <c r="B4" s="78" t="s">
        <v>142</v>
      </c>
    </row>
    <row r="5" ht="12.75">
      <c r="A5" s="280" t="s">
        <v>539</v>
      </c>
    </row>
    <row r="6" ht="12.75">
      <c r="A6" s="280" t="s">
        <v>515</v>
      </c>
    </row>
    <row r="7" ht="12.75">
      <c r="A7" s="280" t="s">
        <v>530</v>
      </c>
    </row>
    <row r="8" ht="12.75">
      <c r="A8" s="280" t="s">
        <v>519</v>
      </c>
    </row>
    <row r="9" ht="12.75">
      <c r="A9" s="280" t="s">
        <v>520</v>
      </c>
    </row>
    <row r="10" ht="12.75">
      <c r="A10" s="280" t="s">
        <v>528</v>
      </c>
    </row>
    <row r="11" ht="12.75">
      <c r="A11" s="280" t="s">
        <v>513</v>
      </c>
    </row>
    <row r="12" ht="12.75">
      <c r="A12" s="280" t="s">
        <v>522</v>
      </c>
    </row>
    <row r="13" ht="12.75">
      <c r="A13" s="280" t="s">
        <v>551</v>
      </c>
    </row>
    <row r="14" ht="12.75">
      <c r="A14" s="280" t="s">
        <v>529</v>
      </c>
    </row>
    <row r="15" ht="12.75">
      <c r="A15" s="280" t="s">
        <v>512</v>
      </c>
    </row>
    <row r="16" ht="12.75">
      <c r="A16" s="280" t="s">
        <v>533</v>
      </c>
    </row>
    <row r="17" ht="12.75">
      <c r="A17" s="280" t="s">
        <v>538</v>
      </c>
    </row>
    <row r="18" ht="12.75">
      <c r="A18" s="280" t="s">
        <v>549</v>
      </c>
    </row>
    <row r="19" ht="12.75">
      <c r="A19" s="280" t="s">
        <v>548</v>
      </c>
    </row>
    <row r="20" ht="12.75">
      <c r="A20" s="280" t="s">
        <v>554</v>
      </c>
    </row>
    <row r="21" ht="12.75">
      <c r="A21" s="280" t="s">
        <v>526</v>
      </c>
    </row>
    <row r="22" ht="12.75">
      <c r="A22" s="280" t="s">
        <v>516</v>
      </c>
    </row>
    <row r="23" ht="12.75">
      <c r="A23" s="280" t="s">
        <v>552</v>
      </c>
    </row>
    <row r="24" ht="12.75">
      <c r="A24" s="280" t="s">
        <v>541</v>
      </c>
    </row>
    <row r="25" ht="12.75">
      <c r="A25" s="280" t="s">
        <v>524</v>
      </c>
    </row>
    <row r="26" ht="12.75">
      <c r="A26" s="280" t="s">
        <v>518</v>
      </c>
    </row>
    <row r="27" ht="12.75">
      <c r="A27" s="280" t="s">
        <v>511</v>
      </c>
    </row>
    <row r="28" ht="12.75">
      <c r="A28" s="280" t="s">
        <v>550</v>
      </c>
    </row>
    <row r="29" ht="12.75">
      <c r="A29" s="280" t="s">
        <v>531</v>
      </c>
    </row>
    <row r="30" ht="12.75">
      <c r="A30" s="280" t="s">
        <v>537</v>
      </c>
    </row>
    <row r="31" ht="12.75">
      <c r="A31" s="280" t="s">
        <v>525</v>
      </c>
    </row>
    <row r="32" ht="12.75">
      <c r="A32" s="280" t="s">
        <v>536</v>
      </c>
    </row>
    <row r="33" ht="12.75">
      <c r="A33" s="280" t="s">
        <v>527</v>
      </c>
    </row>
    <row r="34" ht="12.75">
      <c r="A34" s="280" t="s">
        <v>521</v>
      </c>
    </row>
    <row r="35" ht="12.75">
      <c r="A35" s="280" t="s">
        <v>523</v>
      </c>
    </row>
    <row r="36" ht="12.75">
      <c r="A36" s="280" t="s">
        <v>553</v>
      </c>
    </row>
    <row r="37" ht="12.75">
      <c r="A37" s="280" t="s">
        <v>514</v>
      </c>
    </row>
    <row r="38" ht="12.75">
      <c r="A38" s="280" t="s">
        <v>535</v>
      </c>
    </row>
    <row r="39" ht="12.75">
      <c r="A39" s="280" t="s">
        <v>546</v>
      </c>
    </row>
    <row r="40" ht="12.75">
      <c r="A40" s="280" t="s">
        <v>543</v>
      </c>
    </row>
    <row r="41" ht="12.75">
      <c r="A41" s="280" t="s">
        <v>542</v>
      </c>
    </row>
    <row r="42" ht="12.75">
      <c r="A42" s="280" t="s">
        <v>532</v>
      </c>
    </row>
    <row r="43" ht="12.75">
      <c r="A43" s="280" t="s">
        <v>534</v>
      </c>
    </row>
    <row r="44" ht="12.75">
      <c r="A44" s="280" t="s">
        <v>544</v>
      </c>
    </row>
    <row r="45" ht="12.75">
      <c r="A45" s="280" t="s">
        <v>547</v>
      </c>
    </row>
    <row r="46" ht="12.75">
      <c r="A46" s="280" t="s">
        <v>545</v>
      </c>
    </row>
    <row r="47" ht="12.75">
      <c r="A47" s="280" t="s">
        <v>540</v>
      </c>
    </row>
    <row r="48" ht="12.75">
      <c r="A48" s="280" t="s">
        <v>517</v>
      </c>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