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<sst xmlns="http://schemas.openxmlformats.org/spreadsheetml/2006/main" count="1508" uniqueCount="567">
  <si>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</si>
  <si>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</si>
  <si>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</si>
  <si>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</si>
  <si>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</si>
  <si>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</si>
  <si>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</si>
  <si>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</si>
  <si>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</si>
  <si>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</si>
  <si>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</si>
  <si>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</si>
  <si>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</si>
  <si>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</si>
  <si>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</si>
  <si>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</si>
  <si>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</si>
  <si>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</si>
  <si>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</si>
  <si>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</si>
  <si>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</si>
  <si>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</si>
  <si>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</si>
  <si>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</si>
  <si>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</si>
  <si>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</si>
  <si>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</si>
  <si>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</si>
  <si>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</si>
  <si>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</si>
  <si>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</si>
  <si>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</si>
  <si>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</si>
  <si>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</si>
  <si>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</si>
  <si>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</si>
  <si>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</si>
  <si>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</si>
  <si>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</si>
  <si>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</si>
  <si>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</si>
  <si>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</si>
  <si>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</si>
  <si>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</si>
  <si>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</si>
  <si>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</si>
  <si>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</si>
  <si>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</si>
  <si>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</si>
  <si>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</si>
  <si>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</si>
  <si>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</si>
  <si>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</si>
  <si>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</si>
  <si>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</si>
  <si>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</si>
  <si>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</si>
  <si>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</si>
  <si>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</si>
  <si>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</si>
  <si>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</si>
  <si>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</si>
  <si>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</si>
  <si>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</si>
  <si>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</si>
  <si>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</si>
  <si>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</si>
  <si>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</si>
  <si>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</si>
  <si>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</si>
  <si>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</si>
  <si>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</si>
  <si>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</si>
  <si>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</si>
  <si>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</si>
  <si>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</si>
  <si>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</si>
  <si>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</si>
  <si>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</si>
  <si>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</si>
  <si>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</si>
  <si>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</si>
  <si>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</si>
  <si>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</si>
  <si>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</si>
  <si>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</si>
  <si>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</si>
  <si>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</si>
  <si>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</si>
  <si>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</si>
  <si>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</si>
  <si>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</si>
  <si>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</si>
  <si>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</si>
  <si>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</si>
  <si>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</si>
  <si>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</si>
  <si>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</si>
  <si>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</si>
  <si>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</si>
  <si>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</si>
  <si>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</si>
  <si>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</si>
  <si>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</si>
  <si>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</si>
  <si>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</si>
  <si>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</si>
  <si>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</si>
  <si>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</si>
  <si>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</si>
  <si>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</si>
  <si>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</si>
  <si>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</si>
  <si>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</si>
  <si>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</si>
  <si>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</si>
  <si>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</si>
  <si>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</si>
  <si>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</si>
  <si>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</si>
  <si>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</si>
  <si>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</si>
  <si>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</si>
  <si>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</si>
  <si>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</si>
  <si>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</si>
  <si>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</si>
  <si>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</si>
  <si>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</si>
  <si>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</si>
  <si>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</si>
  <si>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</si>
  <si>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</si>
  <si>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</si>
  <si>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</si>
  <si>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</si>
  <si>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</si>
  <si>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</si>
  <si>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</si>
  <si>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</si>
  <si>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</si>
  <si>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</si>
  <si>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</si>
  <si>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</si>
  <si>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</si>
  <si>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</si>
  <si>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</si>
  <si>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</si>
  <si>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</si>
  <si>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</si>
  <si>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</si>
  <si>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</si>
  <si>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</si>
  <si>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</si>
  <si>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</si>
  <si>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</si>
  <si>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</si>
  <si>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</si>
  <si>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</si>
  <si>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</si>
  <si>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</si>
  <si>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</si>
  <si>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</si>
  <si>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</si>
  <si>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</si>
  <si>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</si>
  <si>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</si>
  <si>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</si>
  <si>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</si>
  <si>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</si>
  <si>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</si>
  <si>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</si>
  <si>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</si>
  <si>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</si>
  <si>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</si>
  <si>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</si>
  <si>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</si>
  <si>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</si>
  <si>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</si>
  <si>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</si>
  <si>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</si>
  <si>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</si>
  <si>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</si>
  <si>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</si>
  <si>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</si>
  <si>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</si>
  <si>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</si>
  <si>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</si>
  <si>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</si>
  <si>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</si>
  <si>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</si>
  <si>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</si>
  <si>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</si>
  <si>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</si>
  <si>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</si>
  <si>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</si>
  <si>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</si>
  <si>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</si>
  <si>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</si>
  <si>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</si>
  <si>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</si>
  <si>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</si>
  <si>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</si>
  <si>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</si>
  <si>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</si>
  <si>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</si>
  <si>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</si>
  <si>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</si>
  <si>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</si>
  <si>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</si>
  <si>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</si>
  <si>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</si>
  <si>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</si>
  <si>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</si>
  <si>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</si>
  <si>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</si>
  <si>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</si>
  <si>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</si>
  <si>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</si>
  <si>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</si>
  <si>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</si>
  <si>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</si>
  <si>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</si>
  <si>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</si>
  <si>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</si>
  <si>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</si>
  <si>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</si>
  <si>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</si>
  <si>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</si>
  <si>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</si>
  <si>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</si>
  <si>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</si>
  <si>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</si>
  <si>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</si>
  <si>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</si>
  <si>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</si>
  <si>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</si>
  <si>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</si>
  <si>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</si>
  <si>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</si>
  <si>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</si>
  <si>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</si>
  <si>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</si>
  <si>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</si>
  <si>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</si>
  <si>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</si>
  <si>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</si>
  <si>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</si>
  <si>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</si>
  <si>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</si>
  <si>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</si>
  <si>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</si>
  <si>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</si>
  <si>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</si>
  <si>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</si>
  <si>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</si>
  <si>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</si>
  <si>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</si>
  <si>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</si>
  <si>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</si>
  <si>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</si>
  <si>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</si>
  <si>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</si>
  <si>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</si>
  <si>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</si>
  <si>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</si>
  <si>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</si>
  <si>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</si>
  <si>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</si>
  <si>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</si>
  <si>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</si>
  <si>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</si>
  <si>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</si>
  <si>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</si>
  <si>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</si>
  <si>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</si>
  <si>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</si>
  <si>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</si>
  <si>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</si>
  <si>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</si>
  <si>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</si>
  <si>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</si>
  <si>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G85003</t>
  </si>
  <si>
    <t>G85004</t>
  </si>
  <si>
    <t>G85005</t>
  </si>
  <si>
    <t>G85008</t>
  </si>
  <si>
    <t>G85015</t>
  </si>
  <si>
    <t>G85020</t>
  </si>
  <si>
    <t>G85023</t>
  </si>
  <si>
    <t>G85024</t>
  </si>
  <si>
    <t>G85026</t>
  </si>
  <si>
    <t>G85027</t>
  </si>
  <si>
    <t>G85032</t>
  </si>
  <si>
    <t>G85035</t>
  </si>
  <si>
    <t>G85036</t>
  </si>
  <si>
    <t>G85038</t>
  </si>
  <si>
    <t>G85046</t>
  </si>
  <si>
    <t>G85048</t>
  </si>
  <si>
    <t>G85055</t>
  </si>
  <si>
    <t>G85057</t>
  </si>
  <si>
    <t>G85061</t>
  </si>
  <si>
    <t>G85065</t>
  </si>
  <si>
    <t>G85076</t>
  </si>
  <si>
    <t>G85081</t>
  </si>
  <si>
    <t>G85085</t>
  </si>
  <si>
    <t>G85089</t>
  </si>
  <si>
    <t>G85099</t>
  </si>
  <si>
    <t>G85104</t>
  </si>
  <si>
    <t>G85105</t>
  </si>
  <si>
    <t>G85114</t>
  </si>
  <si>
    <t>G85120</t>
  </si>
  <si>
    <t>G85121</t>
  </si>
  <si>
    <t>G85124</t>
  </si>
  <si>
    <t>G85633</t>
  </si>
  <si>
    <t>G85650</t>
  </si>
  <si>
    <t>G85696</t>
  </si>
  <si>
    <t>G85699</t>
  </si>
  <si>
    <t>G85703</t>
  </si>
  <si>
    <t>G85711</t>
  </si>
  <si>
    <t>G85713</t>
  </si>
  <si>
    <t>G85716</t>
  </si>
  <si>
    <t>G85718</t>
  </si>
  <si>
    <t>G85722</t>
  </si>
  <si>
    <t>G85727</t>
  </si>
  <si>
    <t>G85730</t>
  </si>
  <si>
    <t>G85736</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</si>
  <si>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</si>
  <si>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</si>
  <si>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</si>
  <si>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</si>
  <si>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</si>
  <si>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</si>
  <si>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</si>
  <si>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</si>
  <si>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</si>
  <si>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</si>
  <si>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</si>
  <si>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</si>
  <si>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</si>
  <si>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</si>
  <si>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</si>
  <si>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</si>
  <si>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</si>
  <si>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</si>
  <si>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</si>
  <si>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</si>
  <si>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</si>
  <si>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</si>
  <si>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</si>
  <si>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</si>
  <si>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</si>
  <si>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</si>
  <si>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</si>
  <si>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</si>
  <si>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</si>
  <si>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</si>
  <si>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</si>
  <si>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</si>
  <si>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</si>
  <si>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</si>
  <si>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</si>
  <si>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</si>
  <si>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</si>
  <si>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</si>
  <si>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</si>
  <si>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</si>
  <si>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</si>
  <si>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</si>
  <si>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</si>
  <si>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</si>
  <si>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</si>
  <si>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</si>
  <si>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</si>
  <si>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</si>
  <si>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</si>
  <si>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</si>
  <si>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</si>
  <si>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</si>
  <si>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</si>
  <si>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</si>
  <si>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</si>
  <si>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</si>
  <si>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</si>
  <si>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</si>
  <si>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</si>
  <si>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</si>
  <si>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</si>
  <si>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</si>
  <si>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</si>
  <si>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</si>
  <si>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</si>
  <si>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</si>
  <si>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</si>
  <si>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</si>
  <si>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</si>
  <si>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</si>
  <si>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</si>
  <si>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</si>
  <si>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</si>
  <si>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</si>
  <si>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</si>
  <si>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</si>
  <si>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</si>
  <si>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</si>
  <si>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</si>
  <si>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</si>
  <si>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</si>
  <si>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</si>
  <si>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</si>
  <si>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</si>
  <si>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</si>
  <si>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</si>
  <si>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</si>
  <si>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</si>
  <si>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</si>
  <si>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</si>
  <si>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</si>
  <si>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</si>
  <si>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</si>
  <si>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</si>
  <si>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</si>
  <si>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</si>
  <si>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</si>
  <si>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</si>
  <si>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</si>
  <si>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</si>
  <si>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</si>
  <si>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</si>
  <si>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</si>
  <si>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</si>
  <si>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</si>
  <si>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</si>
  <si>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</si>
  <si>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</si>
  <si>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</si>
  <si>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</si>
  <si>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</si>
  <si>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</si>
  <si>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</si>
  <si>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</si>
  <si>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</si>
  <si>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</si>
  <si>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</si>
  <si>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</si>
  <si>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</si>
  <si>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</si>
  <si>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</si>
  <si>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</si>
  <si>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</si>
  <si>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</si>
  <si>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</si>
  <si>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</si>
  <si>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</si>
  <si>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</si>
  <si>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</si>
  <si>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</si>
  <si>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</si>
  <si>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</si>
  <si>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</si>
  <si>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</si>
  <si>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</si>
  <si>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</si>
  <si>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</si>
  <si>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</si>
  <si>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</si>
  <si>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</si>
  <si>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</si>
  <si>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</si>
  <si>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</si>
  <si>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</si>
  <si>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</si>
  <si>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</si>
  <si>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</si>
  <si>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</si>
  <si>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</si>
  <si>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</si>
  <si>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</si>
  <si>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</si>
  <si>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</si>
  <si>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</si>
  <si>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</si>
  <si>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</si>
  <si>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</si>
  <si>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</si>
  <si>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</si>
  <si>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</si>
  <si>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</si>
  <si>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</si>
  <si>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</si>
  <si>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</si>
  <si>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</si>
  <si>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</si>
  <si>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</si>
  <si>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</si>
  <si>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</si>
  <si>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</si>
  <si>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</si>
  <si>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</si>
  <si>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</si>
  <si>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</si>
  <si>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</si>
  <si>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</si>
  <si>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</si>
  <si>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</si>
  <si>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</si>
  <si>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</si>
  <si>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</si>
  <si>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</si>
  <si>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</si>
  <si>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</si>
  <si>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</si>
  <si>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(G85003) BELMONT HILL SURGERY</t>
  </si>
  <si>
    <t>(G85004) THE JENNER PRACTICE</t>
  </si>
  <si>
    <t>(G85005) SOUTH LEWISHAM GROUP PRACTICE</t>
  </si>
  <si>
    <t>(G85008) DR S SHRI-KRISHNAPALASURIYAR'S PRACTICE</t>
  </si>
  <si>
    <t>(G85015) THE QRP SURGERY</t>
  </si>
  <si>
    <t>(G85020) DR AK JAIN'S PRACTICE</t>
  </si>
  <si>
    <t>(G85023) LEWISHAM MEDICAL CENTRE</t>
  </si>
  <si>
    <t>(G85024) SYDENHAM GREEN GROUP PRACTICE</t>
  </si>
  <si>
    <t>(G85026) CLIFTON RISE FAMILY PRACTICE</t>
  </si>
  <si>
    <t>(G85027) DR IRJ MACDONAGH'S PRACTICE</t>
  </si>
  <si>
    <t>(G85032) TORRIDON ROAD MEDICAL PRACTICE</t>
  </si>
  <si>
    <t>(G85035) MORDEN HILL SURGERY</t>
  </si>
  <si>
    <t>(G85036) BARING ROAD MEDICAL CENTRE</t>
  </si>
  <si>
    <t>(G85038) ST. JOHN'S MEDICAL CENTRE</t>
  </si>
  <si>
    <t>(G85046) DR RA LUMB'S PRACTICE</t>
  </si>
  <si>
    <t>(G85048) THE BROCKLEY ROAD SURGERY</t>
  </si>
  <si>
    <t>(G85055) HILLY FIELDS MEDICAL CENTRE</t>
  </si>
  <si>
    <t>(G85057) THE DOWNHAM CLINIC</t>
  </si>
  <si>
    <t>(G85061) WOOLSTONE MEDICAL CENTRE</t>
  </si>
  <si>
    <t>(G85065) DOWNHAM WAY SURGERY</t>
  </si>
  <si>
    <t>(G85076) NEW CROSS HEALTH CENTRE</t>
  </si>
  <si>
    <t>(G85081) DR PGV MORANT'S PRACTICE</t>
  </si>
  <si>
    <t>(G85085) GROVE MEDICAL CENTRE</t>
  </si>
  <si>
    <t>(G85089) HONOR OAK GROUP PRACTICE</t>
  </si>
  <si>
    <t>(G85099) WINLATON SURGERY</t>
  </si>
  <si>
    <t>(G85104) DR YD MALIK'S PRACTICE</t>
  </si>
  <si>
    <t>(G85105) DR R BERMAN'S PRACTICE</t>
  </si>
  <si>
    <t>(G85114) WELLS PARK PRACTICE</t>
  </si>
  <si>
    <t>(G85120) TRIANGLE GROUP PRACTICE</t>
  </si>
  <si>
    <t>(G85121) AT PARKVIEW SURGERY</t>
  </si>
  <si>
    <t>(G85124) BELLINGHAM GREEN SURGERY</t>
  </si>
  <si>
    <t>(G85633) RUSHEY GREEN GP</t>
  </si>
  <si>
    <t>(G85650) ELFRIDA SURGERY</t>
  </si>
  <si>
    <t>(G85696) DR J ISRAEL'S PRACTICE</t>
  </si>
  <si>
    <t>(G85699) DR S LINGARAJAH'S PRACTICE</t>
  </si>
  <si>
    <t>(G85703) MUIRKIRK SURGERY</t>
  </si>
  <si>
    <t>(G85711) DEPTFORD SURGERY</t>
  </si>
  <si>
    <t>(G85713) BOUNDFIELD SURGERY</t>
  </si>
  <si>
    <t>(G85716) OAKVIEW</t>
  </si>
  <si>
    <t>(G85718) DR OA SARKER'S PRACTICE</t>
  </si>
  <si>
    <t>(G85722) DR NO UDUKU'S PRACTICE</t>
  </si>
  <si>
    <t>(G85727) NIGHTINGALE SURGERY</t>
  </si>
  <si>
    <t>(G85730) PENROSE LEE SURGERY</t>
  </si>
  <si>
    <t>(G85736) DR MOG SARDER'S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</si>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</sst>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0.9999999708961692</c:v>
                </c:pt>
                <c:pt idx="7">
                  <c:v>0.9683415879982007</c:v>
                </c:pt>
                <c:pt idx="8">
                  <c:v>0.6932625907720186</c:v>
                </c:pt>
                <c:pt idx="9">
                  <c:v>0.7906747361226373</c:v>
                </c:pt>
                <c:pt idx="10">
                  <c:v>0.9355256323142762</c:v>
                </c:pt>
                <c:pt idx="11">
                  <c:v>0.7833659796174057</c:v>
                </c:pt>
                <c:pt idx="12">
                  <c:v>1</c:v>
                </c:pt>
                <c:pt idx="13">
                  <c:v>0</c:v>
                </c:pt>
                <c:pt idx="14">
                  <c:v>1</c:v>
                </c:pt>
                <c:pt idx="15">
                  <c:v>0.9102638449911746</c:v>
                </c:pt>
                <c:pt idx="16">
                  <c:v>1</c:v>
                </c:pt>
                <c:pt idx="17">
                  <c:v>1</c:v>
                </c:pt>
                <c:pt idx="18">
                  <c:v>1</c:v>
                </c:pt>
                <c:pt idx="19">
                  <c:v>1</c:v>
                </c:pt>
                <c:pt idx="20">
                  <c:v>0.9458580362352728</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0.6214737502237414</c:v>
                </c:pt>
                <c:pt idx="3">
                  <c:v>0.5769231121920948</c:v>
                </c:pt>
                <c:pt idx="4">
                  <c:v>0.6833596330006517</c:v>
                </c:pt>
                <c:pt idx="5">
                  <c:v>0.594804143931058</c:v>
                </c:pt>
                <c:pt idx="6">
                  <c:v>0.6250000218278731</c:v>
                </c:pt>
                <c:pt idx="7">
                  <c:v>0.6000258156722125</c:v>
                </c:pt>
                <c:pt idx="8">
                  <c:v>0.531761692633556</c:v>
                </c:pt>
                <c:pt idx="9">
                  <c:v>0.5506662923299034</c:v>
                </c:pt>
                <c:pt idx="10">
                  <c:v>0.6530100167176732</c:v>
                </c:pt>
                <c:pt idx="11">
                  <c:v>0.6064544152811434</c:v>
                </c:pt>
                <c:pt idx="12">
                  <c:v>0.5781366236178617</c:v>
                </c:pt>
                <c:pt idx="13">
                  <c:v>0</c:v>
                </c:pt>
                <c:pt idx="14">
                  <c:v>0.6745242063427674</c:v>
                </c:pt>
                <c:pt idx="15">
                  <c:v>0.687170709869945</c:v>
                </c:pt>
                <c:pt idx="16">
                  <c:v>0.6490700968801822</c:v>
                </c:pt>
                <c:pt idx="17">
                  <c:v>0.5741932486717872</c:v>
                </c:pt>
                <c:pt idx="18">
                  <c:v>0.600838986644713</c:v>
                </c:pt>
                <c:pt idx="19">
                  <c:v>0.5340648387402529</c:v>
                </c:pt>
                <c:pt idx="20">
                  <c:v>0.6560334306033624</c:v>
                </c:pt>
                <c:pt idx="21">
                  <c:v>0.58855900393081</c:v>
                </c:pt>
                <c:pt idx="22">
                  <c:v>0.5659676859211622</c:v>
                </c:pt>
                <c:pt idx="23">
                  <c:v>0.5596411731663291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0.40606448239584475</c:v>
                </c:pt>
                <c:pt idx="3">
                  <c:v>0.3846154463361658</c:v>
                </c:pt>
                <c:pt idx="4">
                  <c:v>0.30650242875291983</c:v>
                </c:pt>
                <c:pt idx="5">
                  <c:v>0.3939629394196471</c:v>
                </c:pt>
                <c:pt idx="6">
                  <c:v>0.29687499363353703</c:v>
                </c:pt>
                <c:pt idx="7">
                  <c:v>0.37501948811098873</c:v>
                </c:pt>
                <c:pt idx="8">
                  <c:v>0.4394598214968736</c:v>
                </c:pt>
                <c:pt idx="9">
                  <c:v>0.390163393989797</c:v>
                </c:pt>
                <c:pt idx="10">
                  <c:v>0.29698265179531996</c:v>
                </c:pt>
                <c:pt idx="11">
                  <c:v>0.3806520762366056</c:v>
                </c:pt>
                <c:pt idx="12">
                  <c:v>0.3837950958750614</c:v>
                </c:pt>
                <c:pt idx="13">
                  <c:v>0</c:v>
                </c:pt>
                <c:pt idx="14">
                  <c:v>0.41379473775013254</c:v>
                </c:pt>
                <c:pt idx="15">
                  <c:v>0.27432045897487856</c:v>
                </c:pt>
                <c:pt idx="16">
                  <c:v>0.30355600985141223</c:v>
                </c:pt>
                <c:pt idx="17">
                  <c:v>0.33431591322711596</c:v>
                </c:pt>
                <c:pt idx="18">
                  <c:v>0.3868168767930546</c:v>
                </c:pt>
                <c:pt idx="19">
                  <c:v>0.459684612803166</c:v>
                </c:pt>
                <c:pt idx="20">
                  <c:v>0.3050462251327227</c:v>
                </c:pt>
                <c:pt idx="21">
                  <c:v>0.41548173396608423</c:v>
                </c:pt>
                <c:pt idx="22">
                  <c:v>0.44498517374677543</c:v>
                </c:pt>
                <c:pt idx="23">
                  <c:v>0.41815031283265064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0.0735463061898469</c:v>
                </c:pt>
                <c:pt idx="3">
                  <c:v>0.1538461957281125</c:v>
                </c:pt>
                <c:pt idx="4">
                  <c:v>0.11712769075801621</c:v>
                </c:pt>
                <c:pt idx="5">
                  <c:v>0.2960299459549274</c:v>
                </c:pt>
                <c:pt idx="6">
                  <c:v>0</c:v>
                </c:pt>
                <c:pt idx="7">
                  <c:v>0</c:v>
                </c:pt>
                <c:pt idx="8">
                  <c:v>0</c:v>
                </c:pt>
                <c:pt idx="9">
                  <c:v>0</c:v>
                </c:pt>
                <c:pt idx="10">
                  <c:v>0</c:v>
                </c:pt>
                <c:pt idx="11">
                  <c:v>0</c:v>
                </c:pt>
                <c:pt idx="12">
                  <c:v>0.21007553186610817</c:v>
                </c:pt>
                <c:pt idx="13">
                  <c:v>0</c:v>
                </c:pt>
                <c:pt idx="14">
                  <c:v>0.25081467235613436</c:v>
                </c:pt>
                <c:pt idx="15">
                  <c:v>0</c:v>
                </c:pt>
                <c:pt idx="16">
                  <c:v>0.06629249763344938</c:v>
                </c:pt>
                <c:pt idx="17">
                  <c:v>0.2597028719718242</c:v>
                </c:pt>
                <c:pt idx="18">
                  <c:v>0.33985066521900786</c:v>
                </c:pt>
                <c:pt idx="19">
                  <c:v>0.3935675649951534</c:v>
                </c:pt>
                <c:pt idx="20">
                  <c:v>0</c:v>
                </c:pt>
                <c:pt idx="21">
                  <c:v>0.24772892152240106</c:v>
                </c:pt>
                <c:pt idx="22">
                  <c:v>0.18105311936337123</c:v>
                </c:pt>
                <c:pt idx="23">
                  <c:v>0.23572047978502025</c:v>
                </c:pt>
                <c:pt idx="24">
                  <c:v>0</c:v>
                </c:pt>
                <c:pt idx="25">
                  <c:v>0</c:v>
                </c:pt>
                <c:pt idx="26">
                  <c:v>0</c:v>
                </c:pt>
              </c:numCache>
            </c:numRef>
          </c:val>
        </c:ser>
        <c:overlap val="100"/>
        <c:gapWidth val="100"/>
        <c:axId val="30260582"/>
        <c:axId val="3518803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0.8774108464201097</c:v>
                </c:pt>
                <c:pt idx="3">
                  <c:v>0.26965120827002365</c:v>
                </c:pt>
                <c:pt idx="4">
                  <c:v>0.778865551192883</c:v>
                </c:pt>
                <c:pt idx="5">
                  <c:v>0.6770921418590871</c:v>
                </c:pt>
                <c:pt idx="6">
                  <c:v>0.8087954034405184</c:v>
                </c:pt>
                <c:pt idx="7">
                  <c:v>0.8886756295703059</c:v>
                </c:pt>
                <c:pt idx="8">
                  <c:v>0.6937762323070714</c:v>
                </c:pt>
                <c:pt idx="9">
                  <c:v>0.5892695628309327</c:v>
                </c:pt>
                <c:pt idx="10">
                  <c:v>0.9816478606899238</c:v>
                </c:pt>
                <c:pt idx="11">
                  <c:v>0.8734495967325021</c:v>
                </c:pt>
                <c:pt idx="12">
                  <c:v>0.5542419906789273</c:v>
                </c:pt>
                <c:pt idx="13">
                  <c:v>0.5</c:v>
                </c:pt>
                <c:pt idx="14">
                  <c:v>0.7424282745563368</c:v>
                </c:pt>
                <c:pt idx="15">
                  <c:v>0.6284296207160841</c:v>
                </c:pt>
                <c:pt idx="16">
                  <c:v>0.43910545867149015</c:v>
                </c:pt>
                <c:pt idx="17">
                  <c:v>0.6172863597608841</c:v>
                </c:pt>
                <c:pt idx="18">
                  <c:v>0.6935648930332171</c:v>
                </c:pt>
                <c:pt idx="19">
                  <c:v>0.5000928262161183</c:v>
                </c:pt>
                <c:pt idx="20">
                  <c:v>0.8859979775252699</c:v>
                </c:pt>
                <c:pt idx="21">
                  <c:v>0.6510187307706411</c:v>
                </c:pt>
                <c:pt idx="22">
                  <c:v>0.6561342524209037</c:v>
                </c:pt>
                <c:pt idx="23">
                  <c:v>0.7034219662075709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0.5418304750301497</c:v>
                </c:pt>
                <c:pt idx="3">
                  <c:v>-999</c:v>
                </c:pt>
                <c:pt idx="4">
                  <c:v>0.5440268532267356</c:v>
                </c:pt>
                <c:pt idx="5">
                  <c:v>0.6893970754673191</c:v>
                </c:pt>
                <c:pt idx="6">
                  <c:v>0.5625000043946785</c:v>
                </c:pt>
                <c:pt idx="7">
                  <c:v>0.5200674846305384</c:v>
                </c:pt>
                <c:pt idx="8">
                  <c:v>0.5006019782081143</c:v>
                </c:pt>
                <c:pt idx="9">
                  <c:v>0.44969011215982774</c:v>
                </c:pt>
                <c:pt idx="10">
                  <c:v>0.42092335501837336</c:v>
                </c:pt>
                <c:pt idx="11">
                  <c:v>0.5001772986079503</c:v>
                </c:pt>
                <c:pt idx="12">
                  <c:v>-999</c:v>
                </c:pt>
                <c:pt idx="13">
                  <c:v>0.4129875920582607</c:v>
                </c:pt>
                <c:pt idx="14">
                  <c:v>-999</c:v>
                </c:pt>
                <c:pt idx="15">
                  <c:v>-999</c:v>
                </c:pt>
                <c:pt idx="16">
                  <c:v>0.3085208543008121</c:v>
                </c:pt>
                <c:pt idx="17">
                  <c:v>0.45189690935889154</c:v>
                </c:pt>
                <c:pt idx="18">
                  <c:v>-999</c:v>
                </c:pt>
                <c:pt idx="19">
                  <c:v>0.47022407047131626</c:v>
                </c:pt>
                <c:pt idx="20">
                  <c:v>0.5676601989550243</c:v>
                </c:pt>
                <c:pt idx="21">
                  <c:v>0.4971681907818301</c:v>
                </c:pt>
                <c:pt idx="22">
                  <c:v>0.5008181211975581</c:v>
                </c:pt>
                <c:pt idx="23">
                  <c:v>0.5035057899741848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0.42307695429000386</c:v>
                </c:pt>
                <c:pt idx="4">
                  <c:v>-999</c:v>
                </c:pt>
                <c:pt idx="5">
                  <c:v>-999</c:v>
                </c:pt>
                <c:pt idx="6">
                  <c:v>-999</c:v>
                </c:pt>
                <c:pt idx="7">
                  <c:v>-999</c:v>
                </c:pt>
                <c:pt idx="8">
                  <c:v>-999</c:v>
                </c:pt>
                <c:pt idx="9">
                  <c:v>-999</c:v>
                </c:pt>
                <c:pt idx="10">
                  <c:v>-999</c:v>
                </c:pt>
                <c:pt idx="11">
                  <c:v>-999</c:v>
                </c:pt>
                <c:pt idx="12">
                  <c:v>0.41132984716363324</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658872"/>
        <c:axId val="14231801"/>
      </c:scatterChart>
      <c:catAx>
        <c:axId val="30260582"/>
        <c:scaling>
          <c:orientation val="maxMin"/>
        </c:scaling>
        <c:axPos val="l"/>
        <c:delete val="0"/>
        <c:numFmt formatCode="General" sourceLinked="1"/>
        <c:majorTickMark val="out"/>
        <c:minorTickMark val="none"/>
        <c:tickLblPos val="none"/>
        <c:spPr>
          <a:ln w="3175">
            <a:noFill/>
          </a:ln>
        </c:spPr>
        <c:crossAx val="35188039"/>
        <c:crosses val="autoZero"/>
        <c:auto val="1"/>
        <c:lblOffset val="100"/>
        <c:tickLblSkip val="1"/>
        <c:noMultiLvlLbl val="0"/>
      </c:catAx>
      <c:valAx>
        <c:axId val="35188039"/>
        <c:scaling>
          <c:orientation val="minMax"/>
          <c:max val="1"/>
          <c:min val="0"/>
        </c:scaling>
        <c:axPos val="t"/>
        <c:delete val="0"/>
        <c:numFmt formatCode="General" sourceLinked="1"/>
        <c:majorTickMark val="none"/>
        <c:minorTickMark val="none"/>
        <c:tickLblPos val="none"/>
        <c:spPr>
          <a:ln w="3175">
            <a:noFill/>
          </a:ln>
        </c:spPr>
        <c:crossAx val="30260582"/>
        <c:crossesAt val="1"/>
        <c:crossBetween val="between"/>
        <c:dispUnits/>
        <c:majorUnit val="1"/>
      </c:valAx>
      <c:valAx>
        <c:axId val="31658872"/>
        <c:scaling>
          <c:orientation val="minMax"/>
          <c:max val="1"/>
          <c:min val="0"/>
        </c:scaling>
        <c:axPos val="t"/>
        <c:delete val="0"/>
        <c:numFmt formatCode="General" sourceLinked="1"/>
        <c:majorTickMark val="none"/>
        <c:minorTickMark val="none"/>
        <c:tickLblPos val="none"/>
        <c:spPr>
          <a:ln w="3175">
            <a:noFill/>
          </a:ln>
        </c:spPr>
        <c:crossAx val="14231801"/>
        <c:crosses val="max"/>
        <c:crossBetween val="midCat"/>
        <c:dispUnits/>
        <c:majorUnit val="0.1"/>
        <c:minorUnit val="0.020000000000000004"/>
      </c:valAx>
      <c:valAx>
        <c:axId val="14231801"/>
        <c:scaling>
          <c:orientation val="maxMin"/>
          <c:max val="29"/>
          <c:min val="0"/>
        </c:scaling>
        <c:axPos val="l"/>
        <c:delete val="0"/>
        <c:numFmt formatCode="General" sourceLinked="1"/>
        <c:majorTickMark val="none"/>
        <c:minorTickMark val="none"/>
        <c:tickLblPos val="none"/>
        <c:spPr>
          <a:ln w="3175">
            <a:noFill/>
          </a:ln>
        </c:spPr>
        <c:crossAx val="316588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(G85121) AT PARKVIEW SURGERY, LEWISHAM PCT (5LF)</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558</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557</v>
      </c>
      <c r="C8" s="115"/>
      <c r="D8" s="115"/>
      <c r="E8" s="128">
        <f>VLOOKUP('Hide - Control'!A$3,'All practice data'!A:CA,4,FALSE)</f>
        <v>3746</v>
      </c>
      <c r="F8" s="310" t="str">
        <f>VLOOKUP('Hide - Control'!B4,'Hide - Calculation'!AY:BA,3,FALSE)</f>
        <v> </v>
      </c>
      <c r="G8" s="310"/>
      <c r="H8" s="310"/>
      <c r="I8" s="115"/>
      <c r="J8" s="115"/>
      <c r="K8" s="115"/>
      <c r="L8" s="115"/>
      <c r="M8" s="109"/>
      <c r="N8" s="314" t="s">
        <v>490</v>
      </c>
      <c r="O8" s="314"/>
      <c r="P8" s="314"/>
      <c r="Q8" s="314" t="s">
        <v>32</v>
      </c>
      <c r="R8" s="314"/>
      <c r="S8" s="314"/>
      <c r="T8" s="314" t="s">
        <v>561</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290986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336</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334</v>
      </c>
      <c r="C13" s="163">
        <v>1</v>
      </c>
      <c r="D13" s="312" t="s">
        <v>330</v>
      </c>
      <c r="E13" s="313"/>
      <c r="F13" s="313"/>
      <c r="G13" s="166">
        <f>IF(VLOOKUP('Hide - Control'!A$3,'All practice data'!A:CA,C13+4,FALSE)=" "," ",VLOOKUP('Hide - Control'!A$3,'All practice data'!A:CA,C13+4,FALSE))</f>
        <v>383</v>
      </c>
      <c r="H13" s="190">
        <f>IF(VLOOKUP('Hide - Control'!A$3,'All practice data'!A:CA,C13+30,FALSE)=" "," ",VLOOKUP('Hide - Control'!A$3,'All practice data'!A:CA,C13+30,FALSE))</f>
        <v>0.10224239188467699</v>
      </c>
      <c r="I13" s="191">
        <f>IF(LEFT(G13,1)=" "," n/a",+((2*G13+1.96^2-1.96*SQRT(1.96^2+4*G13*(1-G13/E$8)))/(2*(E$8+1.96^2))))</f>
        <v>0.09294416251075983</v>
      </c>
      <c r="J13" s="191">
        <f>IF(LEFT(G13,1)=" "," n/a",+((2*G13+1.96^2+1.96*SQRT(1.96^2+4*G13*(1-G13/E$8)))/(2*(E$8+1.96^2))))</f>
        <v>0.11235560268465535</v>
      </c>
      <c r="K13" s="190">
        <f>IF('Hide - Calculation'!N7="","",'Hide - Calculation'!N7)</f>
        <v>0.09529324434852536</v>
      </c>
      <c r="L13" s="192">
        <f>'Hide - Calculation'!O7</f>
        <v>0.1599882305185145</v>
      </c>
      <c r="M13" s="208">
        <f>IF(ISBLANK('Hide - Calculation'!K7),"",'Hide - Calculation'!U7)</f>
        <v>0.021661212667822838</v>
      </c>
      <c r="N13" s="173"/>
      <c r="O13" s="173"/>
      <c r="P13" s="173"/>
      <c r="Q13" s="173"/>
      <c r="R13" s="173"/>
      <c r="S13" s="173"/>
      <c r="T13" s="173"/>
      <c r="U13" s="173"/>
      <c r="V13" s="173"/>
      <c r="W13" s="173"/>
      <c r="X13" s="173"/>
      <c r="Y13" s="173"/>
      <c r="Z13" s="173"/>
      <c r="AA13" s="226">
        <f>IF(ISBLANK('Hide - Calculation'!K7),"",'Hide - Calculation'!T7)</f>
        <v>0.1810830682516098</v>
      </c>
      <c r="AB13" s="233" t="s">
        <v>555</v>
      </c>
      <c r="AC13" s="209" t="s">
        <v>556</v>
      </c>
    </row>
    <row r="14" spans="2:29" ht="33.75" customHeight="1">
      <c r="B14" s="306"/>
      <c r="C14" s="137">
        <v>2</v>
      </c>
      <c r="D14" s="132" t="s">
        <v>484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0.17775706083282977</v>
      </c>
      <c r="J14" s="120">
        <f>IF(LEFT(G14,1)=" "," n/a",+((2*H14*E8+1.96^2+1.96*SQRT(1.96^2+4*H14*E8*(1-H14*E8/E$8)))/(2*(E$8+1.96^2))))</f>
        <v>0.20287811053014193</v>
      </c>
      <c r="K14" s="119">
        <f>IF('Hide - Calculation'!N8="","",'Hide - Calculation'!N8)</f>
        <v>0.20694260204958317</v>
      </c>
      <c r="L14" s="155">
        <f>'Hide - Calculation'!O8</f>
        <v>0.15010930292554353</v>
      </c>
      <c r="M14" s="150">
        <f>IF(ISBLANK('Hide - Calculation'!K8),"",'Hide - Calculation'!U8)</f>
        <v>0.11999999731779099</v>
      </c>
      <c r="N14" s="84"/>
      <c r="O14" s="84"/>
      <c r="P14" s="84"/>
      <c r="Q14" s="84"/>
      <c r="R14" s="84"/>
      <c r="S14" s="84"/>
      <c r="T14" s="84"/>
      <c r="U14" s="84"/>
      <c r="V14" s="84"/>
      <c r="W14" s="84"/>
      <c r="X14" s="84"/>
      <c r="Y14" s="84"/>
      <c r="Z14" s="84"/>
      <c r="AA14" s="227">
        <f>IF(ISBLANK('Hide - Calculation'!K8),"",'Hide - Calculation'!T8)</f>
        <v>0.3400000035762787</v>
      </c>
      <c r="AB14" s="234" t="s">
        <v>39</v>
      </c>
      <c r="AC14" s="130" t="s">
        <v>556</v>
      </c>
    </row>
    <row r="15" spans="2:39" s="63" customFormat="1" ht="33.75" customHeight="1">
      <c r="B15" s="306"/>
      <c r="C15" s="137">
        <v>3</v>
      </c>
      <c r="D15" s="132" t="s">
        <v>339</v>
      </c>
      <c r="E15" s="85"/>
      <c r="F15" s="85"/>
      <c r="G15" s="121">
        <f>IF(VLOOKUP('Hide - Control'!A$3,'All practice data'!A:CA,C15+4,FALSE)=" "," ",VLOOKUP('Hide - Control'!A$3,'All practice data'!A:CA,C15+4,FALSE))</f>
        <v>12</v>
      </c>
      <c r="H15" s="122">
        <f>IF(VLOOKUP('Hide - Control'!A$3,'All practice data'!A:CA,C15+30,FALSE)=" "," ",VLOOKUP('Hide - Control'!A$3,'All practice data'!A:CA,C15+30,FALSE))</f>
        <v>320.3416978109984</v>
      </c>
      <c r="I15" s="123">
        <f>IF(LEFT(G15,1)=" "," n/a",IF(G15&lt;5,100000*VLOOKUP(G15,'Hide - Calculation'!AQ:AR,2,FALSE)/$E$8,100000*(G15*(1-1/(9*G15)-1.96/(3*SQRT(G15)))^3)/$E$8))</f>
        <v>165.33447858707015</v>
      </c>
      <c r="J15" s="123">
        <f>IF(LEFT(G15,1)=" "," n/a",IF(G15&lt;5,100000*VLOOKUP(G15,'Hide - Calculation'!AQ:AS,3,FALSE)/$E$8,100000*((G15+1)*(1-1/(9*(G15+1))+1.96/(3*SQRT(G15+1)))^3)/$E$8))</f>
        <v>559.6112285133355</v>
      </c>
      <c r="K15" s="122">
        <f>IF('Hide - Calculation'!N9="","",'Hide - Calculation'!N9)</f>
        <v>297.2651605231867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563.5873413085938</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9</v>
      </c>
      <c r="H16" s="122">
        <f>IF(VLOOKUP('Hide - Control'!A$3,'All practice data'!A:CA,C16+30,FALSE)=" "," ",VLOOKUP('Hide - Control'!A$3,'All practice data'!A:CA,C16+30,FALSE))</f>
        <v>240.2562733582488</v>
      </c>
      <c r="I16" s="123">
        <f>IF(LEFT(G16,1)=" "," n/a",IF(G16&lt;5,100000*VLOOKUP(G16,'Hide - Calculation'!AQ:AR,2,FALSE)/$E$8,100000*(G16*(1-1/(9*G16)-1.96/(3*SQRT(G16)))^3)/$E$8))</f>
        <v>109.63216720561022</v>
      </c>
      <c r="J16" s="123">
        <f>IF(LEFT(G16,1)=" "," n/a",IF(G16&lt;5,100000*VLOOKUP(G16,'Hide - Calculation'!AQ:AS,3,FALSE)/$E$8,100000*((G16+1)*(1-1/(9*(G16+1))+1.96/(3*SQRT(G16+1)))^3)/$E$8))</f>
        <v>456.1116780762216</v>
      </c>
      <c r="K16" s="122">
        <f>IF('Hide - Calculation'!N10="","",'Hide - Calculation'!N10)</f>
        <v>150.17904641460413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395.0834045410156</v>
      </c>
      <c r="AB16" s="234" t="s">
        <v>333</v>
      </c>
      <c r="AC16" s="131" t="s">
        <v>508</v>
      </c>
    </row>
    <row r="17" spans="2:29" s="63" customFormat="1" ht="33.75" customHeight="1" thickBot="1">
      <c r="B17" s="309"/>
      <c r="C17" s="180">
        <v>5</v>
      </c>
      <c r="D17" s="195" t="s">
        <v>338</v>
      </c>
      <c r="E17" s="182"/>
      <c r="F17" s="182"/>
      <c r="G17" s="140">
        <f>IF(VLOOKUP('Hide - Control'!A$3,'All practice data'!A:CA,C17+4,FALSE)=" "," ",VLOOKUP('Hide - Control'!A$3,'All practice data'!A:CA,C17+4,FALSE))</f>
        <v>44</v>
      </c>
      <c r="H17" s="141">
        <f>IF(VLOOKUP('Hide - Control'!A$3,'All practice data'!A:CA,C17+30,FALSE)=" "," ",VLOOKUP('Hide - Control'!A$3,'All practice data'!A:CA,C17+30,FALSE))</f>
        <v>0.012</v>
      </c>
      <c r="I17" s="142">
        <f>IF(LEFT(G17,1)=" "," n/a",+((2*G17+1.96^2-1.96*SQRT(1.96^2+4*G17*(1-G17/E$8)))/(2*(E$8+1.96^2))))</f>
        <v>0.008761506113840776</v>
      </c>
      <c r="J17" s="142">
        <f>IF(LEFT(G17,1)=" "," n/a",+((2*G17+1.96^2+1.96*SQRT(1.96^2+4*G17*(1-G17/E$8)))/(2*(E$8+1.96^2))))</f>
        <v>0.01573062176697424</v>
      </c>
      <c r="K17" s="141">
        <f>IF('Hide - Calculation'!N11="","",'Hide - Calculation'!N11)</f>
        <v>0.010969599912023259</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0.01899999938905239</v>
      </c>
      <c r="AB17" s="235" t="s">
        <v>477</v>
      </c>
      <c r="AC17" s="189" t="s">
        <v>508</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186</v>
      </c>
      <c r="H18" s="220">
        <f>IF(OR(VLOOKUP('Hide - Control'!A$3,'All practice data'!A:CA,C18+30,FALSE)=" ",VLOOKUP('Hide - Control'!A$3,'All practice data'!A:CA,C18+52,FALSE)=0)," n/a",VLOOKUP('Hide - Control'!A$3,'All practice data'!A:CA,C18+30,FALSE))</f>
        <v>0.611842</v>
      </c>
      <c r="I18" s="191">
        <f>IF(OR(LEFT(H18,1)=" ",VLOOKUP('Hide - Control'!A$3,'All practice data'!A:CA,C18+52,FALSE)=0)," n/a",+((2*G18+1.96^2-1.96*SQRT(1.96^2+4*G18*(1-G18/(VLOOKUP('Hide - Control'!A$3,'All practice data'!A:CA,C18+52,FALSE)))))/(2*(((VLOOKUP('Hide - Control'!A$3,'All practice data'!A:CA,C18+52,FALSE)))+1.96^2))))</f>
        <v>0.5559887498536348</v>
      </c>
      <c r="J18" s="191">
        <f>IF(OR(LEFT(H18,1)=" ",VLOOKUP('Hide - Control'!A$3,'All practice data'!A:CA,C18+52,FALSE)=0)," n/a",+((2*G18+1.96^2+1.96*SQRT(1.96^2+4*G18*(1-G18/(VLOOKUP('Hide - Control'!A$3,'All practice data'!A:CA,C18+52,FALSE)))))/(2*((VLOOKUP('Hide - Control'!A$3,'All practice data'!A:CA,C18+52,FALSE))+1.96^2))))</f>
        <v>0.6649040729487415</v>
      </c>
      <c r="K18" s="220">
        <f>IF('Hide - Calculation'!N12="","",'Hide - Calculation'!N12)</f>
        <v>0.6258357408171688</v>
      </c>
      <c r="L18" s="192">
        <f>'Hide - Calculation'!O12</f>
        <v>0.7248631360507991</v>
      </c>
      <c r="M18" s="193">
        <f>IF(ISBLANK('Hide - Calculation'!K12),"",'Hide - Calculation'!U12)</f>
        <v>0.4523810148239136</v>
      </c>
      <c r="N18" s="194"/>
      <c r="O18" s="173"/>
      <c r="P18" s="173"/>
      <c r="Q18" s="173"/>
      <c r="R18" s="173"/>
      <c r="S18" s="173"/>
      <c r="T18" s="173"/>
      <c r="U18" s="173"/>
      <c r="V18" s="173"/>
      <c r="W18" s="173"/>
      <c r="X18" s="173"/>
      <c r="Y18" s="173"/>
      <c r="Z18" s="174"/>
      <c r="AA18" s="193">
        <f>IF(ISBLANK('Hide - Calculation'!K12),"",'Hide - Calculation'!T12)</f>
        <v>0.7492899894714355</v>
      </c>
      <c r="AB18" s="233" t="s">
        <v>48</v>
      </c>
      <c r="AC18" s="175" t="s">
        <v>509</v>
      </c>
    </row>
    <row r="19" spans="2:29" s="63" customFormat="1" ht="33.75" customHeight="1">
      <c r="B19" s="306"/>
      <c r="C19" s="137">
        <v>7</v>
      </c>
      <c r="D19" s="132" t="s">
        <v>486</v>
      </c>
      <c r="E19" s="85"/>
      <c r="F19" s="85"/>
      <c r="G19" s="221">
        <f>IF(OR(VLOOKUP('Hide - Control'!A$3,'All practice data'!A:CA,C19+4,FALSE)=" ",VLOOKUP('Hide - Control'!A$3,'All practice data'!A:CA,C19+52,FALSE)=0)," n/a",VLOOKUP('Hide - Control'!A$3,'All practice data'!A:CA,C19+4,FALSE))</f>
        <v>158</v>
      </c>
      <c r="H19" s="218">
        <f>IF(OR(VLOOKUP('Hide - Control'!A$3,'All practice data'!A:CA,C19+30,FALSE)=" ",VLOOKUP('Hide - Control'!A$3,'All practice data'!A:CA,C19+52,FALSE)=0)," n/a",VLOOKUP('Hide - Control'!A$3,'All practice data'!A:CA,C19+30,FALSE))</f>
        <v>0.598485</v>
      </c>
      <c r="I19" s="120">
        <f>IF(OR(LEFT(H19,1)=" ",VLOOKUP('Hide - Control'!A$3,'All practice data'!A:CA,C19+52,FALSE)=0)," n/a",+((2*G19+1.96^2-1.96*SQRT(1.96^2+4*G19*(1-G19/(VLOOKUP('Hide - Control'!A$3,'All practice data'!A:CA,C19+52,FALSE)))))/(2*(((VLOOKUP('Hide - Control'!A$3,'All practice data'!A:CA,C19+52,FALSE)))+1.96^2))))</f>
        <v>0.5383476707430899</v>
      </c>
      <c r="J19" s="120">
        <f>IF(OR(LEFT(H19,1)=" ",VLOOKUP('Hide - Control'!A$3,'All practice data'!A:CA,C19+52,FALSE)=0)," n/a",+((2*G19+1.96^2+1.96*SQRT(1.96^2+4*G19*(1-G19/(VLOOKUP('Hide - Control'!A$3,'All practice data'!A:CA,C19+52,FALSE)))))/(2*((VLOOKUP('Hide - Control'!A$3,'All practice data'!A:CA,C19+52,FALSE))+1.96^2))))</f>
        <v>0.6557969281541688</v>
      </c>
      <c r="K19" s="218">
        <f>IF('Hide - Calculation'!N13="","",'Hide - Calculation'!N13)</f>
        <v>0.6200208279093986</v>
      </c>
      <c r="L19" s="155">
        <f>'Hide - Calculation'!O13</f>
        <v>0.7467412166569077</v>
      </c>
      <c r="M19" s="152">
        <f>IF(ISBLANK('Hide - Calculation'!K13),"",'Hide - Calculation'!U13)</f>
        <v>0.21428599953651428</v>
      </c>
      <c r="N19" s="160"/>
      <c r="O19" s="84"/>
      <c r="P19" s="84"/>
      <c r="Q19" s="84"/>
      <c r="R19" s="84"/>
      <c r="S19" s="84"/>
      <c r="T19" s="84"/>
      <c r="U19" s="84"/>
      <c r="V19" s="84"/>
      <c r="W19" s="84"/>
      <c r="X19" s="84"/>
      <c r="Y19" s="84"/>
      <c r="Z19" s="88"/>
      <c r="AA19" s="152">
        <f>IF(ISBLANK('Hide - Calculation'!K13),"",'Hide - Calculation'!T13)</f>
        <v>0.7463470101356506</v>
      </c>
      <c r="AB19" s="234" t="s">
        <v>48</v>
      </c>
      <c r="AC19" s="131" t="s">
        <v>508</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708</v>
      </c>
      <c r="H20" s="218">
        <f>IF(OR(VLOOKUP('Hide - Control'!A$3,'All practice data'!A:CA,C20+30,FALSE)=" ",VLOOKUP('Hide - Control'!A$3,'All practice data'!A:CA,C20+52,FALSE)=0)," n/a",VLOOKUP('Hide - Control'!A$3,'All practice data'!A:CA,C20+30,FALSE))</f>
        <v>0.685382</v>
      </c>
      <c r="I20" s="120">
        <f>IF(OR(LEFT(H20,1)=" ",VLOOKUP('Hide - Control'!A$3,'All practice data'!A:CA,C20+52,FALSE)=0)," n/a",+((2*G20+1.96^2-1.96*SQRT(1.96^2+4*G20*(1-G20/(VLOOKUP('Hide - Control'!A$3,'All practice data'!A:CA,C20+52,FALSE)))))/(2*(((VLOOKUP('Hide - Control'!A$3,'All practice data'!A:CA,C20+52,FALSE)))+1.96^2))))</f>
        <v>0.6564216004754582</v>
      </c>
      <c r="J20" s="120">
        <f>IF(OR(LEFT(H20,1)=" ",VLOOKUP('Hide - Control'!A$3,'All practice data'!A:CA,C20+52,FALSE)=0)," n/a",+((2*G20+1.96^2+1.96*SQRT(1.96^2+4*G20*(1-G20/(VLOOKUP('Hide - Control'!A$3,'All practice data'!A:CA,C20+52,FALSE)))))/(2*((VLOOKUP('Hide - Control'!A$3,'All practice data'!A:CA,C20+52,FALSE))+1.96^2))))</f>
        <v>0.7129694424765222</v>
      </c>
      <c r="K20" s="218">
        <f>IF('Hide - Calculation'!N14="","",'Hide - Calculation'!N14)</f>
        <v>0.7061520779142217</v>
      </c>
      <c r="L20" s="155">
        <f>'Hide - Calculation'!O14</f>
        <v>0.7559681673907895</v>
      </c>
      <c r="M20" s="152">
        <f>IF(ISBLANK('Hide - Calculation'!K14),"",'Hide - Calculation'!U14)</f>
        <v>0.4579710066318512</v>
      </c>
      <c r="N20" s="160"/>
      <c r="O20" s="84"/>
      <c r="P20" s="84"/>
      <c r="Q20" s="84"/>
      <c r="R20" s="84"/>
      <c r="S20" s="84"/>
      <c r="T20" s="84"/>
      <c r="U20" s="84"/>
      <c r="V20" s="84"/>
      <c r="W20" s="84"/>
      <c r="X20" s="84"/>
      <c r="Y20" s="84"/>
      <c r="Z20" s="88"/>
      <c r="AA20" s="152">
        <f>IF(ISBLANK('Hide - Calculation'!K14),"",'Hide - Calculation'!T14)</f>
        <v>0.8578199744224548</v>
      </c>
      <c r="AB20" s="234" t="s">
        <v>48</v>
      </c>
      <c r="AC20" s="131" t="s">
        <v>510</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82</v>
      </c>
      <c r="H21" s="218">
        <f>IF(OR(VLOOKUP('Hide - Control'!A$3,'All practice data'!A:CA,C21+30,FALSE)=" ",VLOOKUP('Hide - Control'!A$3,'All practice data'!A:CA,C21+52,FALSE)=0)," n/a",VLOOKUP('Hide - Control'!A$3,'All practice data'!A:CA,C21+30,FALSE))</f>
        <v>0.372727</v>
      </c>
      <c r="I21" s="120">
        <f>IF(OR(LEFT(H21,1)=" ",VLOOKUP('Hide - Control'!A$3,'All practice data'!A:CA,C21+52,FALSE)=0)," n/a",+((2*G21+1.96^2-1.96*SQRT(1.96^2+4*G21*(1-G21/(VLOOKUP('Hide - Control'!A$3,'All practice data'!A:CA,C21+52,FALSE)))))/(2*(((VLOOKUP('Hide - Control'!A$3,'All practice data'!A:CA,C21+52,FALSE)))+1.96^2))))</f>
        <v>0.31152931658860566</v>
      </c>
      <c r="J21" s="120">
        <f>IF(OR(LEFT(H21,1)=" ",VLOOKUP('Hide - Control'!A$3,'All practice data'!A:CA,C21+52,FALSE)=0)," n/a",+((2*G21+1.96^2+1.96*SQRT(1.96^2+4*G21*(1-G21/(VLOOKUP('Hide - Control'!A$3,'All practice data'!A:CA,C21+52,FALSE)))))/(2*((VLOOKUP('Hide - Control'!A$3,'All practice data'!A:CA,C21+52,FALSE))+1.96^2))))</f>
        <v>0.4382937725958891</v>
      </c>
      <c r="K21" s="218">
        <f>IF('Hide - Calculation'!N15="","",'Hide - Calculation'!N15)</f>
        <v>0.40886131547161525</v>
      </c>
      <c r="L21" s="155">
        <f>'Hide - Calculation'!O15</f>
        <v>0.5147293797466616</v>
      </c>
      <c r="M21" s="152">
        <f>IF(ISBLANK('Hide - Calculation'!K15),"",'Hide - Calculation'!U15)</f>
        <v>0.2661289870738983</v>
      </c>
      <c r="N21" s="160"/>
      <c r="O21" s="84"/>
      <c r="P21" s="84"/>
      <c r="Q21" s="84"/>
      <c r="R21" s="84"/>
      <c r="S21" s="84"/>
      <c r="T21" s="84"/>
      <c r="U21" s="84"/>
      <c r="V21" s="84"/>
      <c r="W21" s="84"/>
      <c r="X21" s="84"/>
      <c r="Y21" s="84"/>
      <c r="Z21" s="88"/>
      <c r="AA21" s="152">
        <f>IF(ISBLANK('Hide - Calculation'!K15),"",'Hide - Calculation'!T15)</f>
        <v>0.5030490159988403</v>
      </c>
      <c r="AB21" s="234" t="s">
        <v>48</v>
      </c>
      <c r="AC21" s="131" t="s">
        <v>509</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41</v>
      </c>
      <c r="H22" s="223">
        <f>IF(OR(VLOOKUP('Hide - Control'!A$3,'All practice data'!A:CA,C22+30,FALSE)=" ",VLOOKUP('Hide - Control'!A$3,'All practice data'!A:CA,C22+52,FALSE)=0)," n/a",VLOOKUP('Hide - Control'!A$3,'All practice data'!A:CA,C22+30,FALSE))</f>
        <v>0.42268</v>
      </c>
      <c r="I22" s="196">
        <f>IF(OR(LEFT(H22,1)=" ",VLOOKUP('Hide - Control'!A$3,'All practice data'!A:CA,C22+52,FALSE)=0)," n/a",+((2*G22+1.96^2-1.96*SQRT(1.96^2+4*G22*(1-G22/(VLOOKUP('Hide - Control'!A$3,'All practice data'!A:CA,C22+52,FALSE)))))/(2*(((VLOOKUP('Hide - Control'!A$3,'All practice data'!A:CA,C22+52,FALSE)))+1.96^2))))</f>
        <v>0.3291646600667981</v>
      </c>
      <c r="J22" s="196">
        <f>IF(OR(LEFT(H22,1)=" ",VLOOKUP('Hide - Control'!A$3,'All practice data'!A:CA,C22+52,FALSE)=0)," n/a",+((2*G22+1.96^2+1.96*SQRT(1.96^2+4*G22*(1-G22/(VLOOKUP('Hide - Control'!A$3,'All practice data'!A:CA,C22+52,FALSE)))))/(2*((VLOOKUP('Hide - Control'!A$3,'All practice data'!A:CA,C22+52,FALSE))+1.96^2))))</f>
        <v>0.5220872042431691</v>
      </c>
      <c r="K22" s="223">
        <f>IF('Hide - Calculation'!N16="","",'Hide - Calculation'!N16)</f>
        <v>0.4392935982339956</v>
      </c>
      <c r="L22" s="197">
        <f>'Hide - Calculation'!O16</f>
        <v>0.5752927626212945</v>
      </c>
      <c r="M22" s="198">
        <f>IF(ISBLANK('Hide - Calculation'!K16),"",'Hide - Calculation'!U16)</f>
        <v>0.21818199753761292</v>
      </c>
      <c r="N22" s="199"/>
      <c r="O22" s="91"/>
      <c r="P22" s="91"/>
      <c r="Q22" s="91"/>
      <c r="R22" s="91"/>
      <c r="S22" s="91"/>
      <c r="T22" s="91"/>
      <c r="U22" s="91"/>
      <c r="V22" s="91"/>
      <c r="W22" s="91"/>
      <c r="X22" s="91"/>
      <c r="Y22" s="91"/>
      <c r="Z22" s="188"/>
      <c r="AA22" s="198">
        <f>IF(ISBLANK('Hide - Calculation'!K16),"",'Hide - Calculation'!T16)</f>
        <v>0.5384619832038879</v>
      </c>
      <c r="AB22" s="235" t="s">
        <v>48</v>
      </c>
      <c r="AC22" s="189" t="s">
        <v>508</v>
      </c>
    </row>
    <row r="23" spans="2:29" s="63" customFormat="1" ht="33.75" customHeight="1">
      <c r="B23" s="308" t="s">
        <v>328</v>
      </c>
      <c r="C23" s="163">
        <v>11</v>
      </c>
      <c r="D23" s="179" t="s">
        <v>340</v>
      </c>
      <c r="E23" s="165"/>
      <c r="F23" s="165"/>
      <c r="G23" s="118">
        <f>IF(VLOOKUP('Hide - Control'!A$3,'All practice data'!A:CA,C23+4,FALSE)=" "," ",VLOOKUP('Hide - Control'!A$3,'All practice data'!A:CA,C23+4,FALSE))</f>
        <v>44</v>
      </c>
      <c r="H23" s="216">
        <f>IF(VLOOKUP('Hide - Control'!A$3,'All practice data'!A:CA,C23+30,FALSE)=" "," ",VLOOKUP('Hide - Control'!A$3,'All practice data'!A:CA,C23+30,FALSE))</f>
        <v>1174.586225306994</v>
      </c>
      <c r="I23" s="215">
        <f>IF(LEFT(G23,1)=" "," n/a",IF(G23&lt;5,100000*VLOOKUP(G23,'Hide - Calculation'!AQ:AR,2,FALSE)/$E$8,100000*(G23*(1-1/(9*G23)-1.96/(3*SQRT(G23)))^3)/$E$8))</f>
        <v>853.3682932817229</v>
      </c>
      <c r="J23" s="215">
        <f>IF(LEFT(G23,1)=" "," n/a",IF(G23&lt;5,100000*VLOOKUP(G23,'Hide - Calculation'!AQ:AS,3,FALSE)/$E$8,100000*((G23+1)*(1-1/(9*(G23+1))+1.96/(3*SQRT(G23+1)))^3)/$E$8))</f>
        <v>1576.8730212034268</v>
      </c>
      <c r="K23" s="216">
        <f>IF('Hide - Calculation'!N17="","",'Hide - Calculation'!N17)</f>
        <v>1812.458331328655</v>
      </c>
      <c r="L23" s="217">
        <f>'Hide - Calculation'!O17</f>
        <v>1812.1669120472948</v>
      </c>
      <c r="M23" s="170">
        <f>IF(ISBLANK('Hide - Calculation'!K17),"",'Hide - Calculation'!U17)</f>
        <v>276.7208557128906</v>
      </c>
      <c r="N23" s="171"/>
      <c r="O23" s="172"/>
      <c r="P23" s="172"/>
      <c r="Q23" s="172"/>
      <c r="R23" s="173"/>
      <c r="S23" s="173"/>
      <c r="T23" s="173"/>
      <c r="U23" s="173"/>
      <c r="V23" s="173"/>
      <c r="W23" s="173"/>
      <c r="X23" s="173"/>
      <c r="Y23" s="173"/>
      <c r="Z23" s="174"/>
      <c r="AA23" s="170">
        <f>IF(ISBLANK('Hide - Calculation'!K17),"",'Hide - Calculation'!T17)</f>
        <v>3800.84814453125</v>
      </c>
      <c r="AB23" s="233" t="s">
        <v>26</v>
      </c>
      <c r="AC23" s="175" t="s">
        <v>508</v>
      </c>
    </row>
    <row r="24" spans="2:29" s="63" customFormat="1" ht="33.75" customHeight="1">
      <c r="B24" s="306"/>
      <c r="C24" s="137">
        <v>12</v>
      </c>
      <c r="D24" s="147" t="s">
        <v>495</v>
      </c>
      <c r="E24" s="85"/>
      <c r="F24" s="85"/>
      <c r="G24" s="118">
        <f>IF(VLOOKUP('Hide - Control'!A$3,'All practice data'!A:CA,C24+4,FALSE)=" "," ",VLOOKUP('Hide - Control'!A$3,'All practice data'!A:CA,C24+4,FALSE))</f>
        <v>44</v>
      </c>
      <c r="H24" s="119">
        <f>IF(VLOOKUP('Hide - Control'!A$3,'All practice data'!A:CA,C24+30,FALSE)=" "," ",VLOOKUP('Hide - Control'!A$3,'All practice data'!A:CA,C24+30,FALSE))</f>
        <v>0.7744582366999999</v>
      </c>
      <c r="I24" s="212">
        <f>IF(LEFT(VLOOKUP('Hide - Control'!A$3,'All practice data'!A:CA,C24+44,FALSE),1)=" "," n/a",VLOOKUP('Hide - Control'!A$3,'All practice data'!A:CA,C24+44,FALSE))</f>
        <v>0.5627225113000001</v>
      </c>
      <c r="J24" s="212">
        <f>IF(LEFT(VLOOKUP('Hide - Control'!A$3,'All practice data'!A:CA,C24+45,FALSE),1)=" "," n/a",VLOOKUP('Hide - Control'!A$3,'All practice data'!A:CA,C24+45,FALSE))</f>
        <v>1.0396739959999999</v>
      </c>
      <c r="K24" s="152" t="s">
        <v>560</v>
      </c>
      <c r="L24" s="213">
        <v>1</v>
      </c>
      <c r="M24" s="152">
        <f>IF(ISBLANK('Hide - Calculation'!K18),"",'Hide - Calculation'!U18)</f>
        <v>0.18354327976703644</v>
      </c>
      <c r="N24" s="86"/>
      <c r="O24" s="87"/>
      <c r="P24" s="87"/>
      <c r="Q24" s="87"/>
      <c r="R24" s="84"/>
      <c r="S24" s="84"/>
      <c r="T24" s="84"/>
      <c r="U24" s="84"/>
      <c r="V24" s="84"/>
      <c r="W24" s="84"/>
      <c r="X24" s="84"/>
      <c r="Y24" s="84"/>
      <c r="Z24" s="88"/>
      <c r="AA24" s="152">
        <f>IF(ISBLANK('Hide - Calculation'!K18),"",'Hide - Calculation'!T18)</f>
        <v>2.296032190322876</v>
      </c>
      <c r="AB24" s="234" t="s">
        <v>26</v>
      </c>
      <c r="AC24" s="131" t="s">
        <v>508</v>
      </c>
    </row>
    <row r="25" spans="2:29" s="63" customFormat="1" ht="33.75" customHeight="1">
      <c r="B25" s="306"/>
      <c r="C25" s="137">
        <v>13</v>
      </c>
      <c r="D25" s="147" t="s">
        <v>335</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0.06958665149791429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0.15555556118488312</v>
      </c>
      <c r="AB25" s="234" t="s">
        <v>26</v>
      </c>
      <c r="AC25" s="131" t="s">
        <v>508</v>
      </c>
    </row>
    <row r="26" spans="2:29" s="63" customFormat="1" ht="33.75" customHeight="1">
      <c r="B26" s="306"/>
      <c r="C26" s="137">
        <v>14</v>
      </c>
      <c r="D26" s="147" t="s">
        <v>478</v>
      </c>
      <c r="E26" s="85"/>
      <c r="F26" s="85"/>
      <c r="G26" s="121">
        <f>IF(VLOOKUP('Hide - Control'!A$3,'All practice data'!A:CA,C26+4,FALSE)=" "," ",VLOOKUP('Hide - Control'!A$3,'All practice data'!A:CA,C26+4,FALSE))</f>
        <v>14</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0.3997821350762527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0.6153846383094788</v>
      </c>
      <c r="AB26" s="234" t="s">
        <v>26</v>
      </c>
      <c r="AC26" s="131" t="s">
        <v>508</v>
      </c>
    </row>
    <row r="27" spans="2:29" s="63" customFormat="1" ht="33.75" customHeight="1">
      <c r="B27" s="306"/>
      <c r="C27" s="137">
        <v>15</v>
      </c>
      <c r="D27" s="147" t="s">
        <v>465</v>
      </c>
      <c r="E27" s="85"/>
      <c r="F27" s="85"/>
      <c r="G27" s="121">
        <f>IF(VLOOKUP('Hide - Control'!A$3,'All practice data'!A:CA,C27+4,FALSE)=" "," ",VLOOKUP('Hide - Control'!A$3,'All practice data'!A:CA,C27+4,FALSE))</f>
        <v>10</v>
      </c>
      <c r="H27" s="122">
        <f>IF(VLOOKUP('Hide - Control'!A$3,'All practice data'!A:CA,C27+30,FALSE)=" "," ",VLOOKUP('Hide - Control'!A$3,'All practice data'!A:CA,C27+30,FALSE))</f>
        <v>266.95141484249865</v>
      </c>
      <c r="I27" s="123">
        <f>IF(LEFT(G27,1)=" "," n/a",IF(G27&lt;5,100000*VLOOKUP(G27,'Hide - Calculation'!AQ:AR,2,FALSE)/$E$8,100000*(G27*(1-1/(9*G27)-1.96/(3*SQRT(G27)))^3)/$E$8))</f>
        <v>127.79979219256812</v>
      </c>
      <c r="J27" s="123">
        <f>IF(LEFT(G27,1)=" "," n/a",IF(G27&lt;5,100000*VLOOKUP(G27,'Hide - Calculation'!AQ:AS,3,FALSE)/$E$8,100000*((G27+1)*(1-1/(9*(G27+1))+1.96/(3*SQRT(G27+1)))^3)/$E$8))</f>
        <v>490.9670815283107</v>
      </c>
      <c r="K27" s="122">
        <f>IF('Hide - Calculation'!N21="","",'Hide - Calculation'!N21)</f>
        <v>456.7230038558556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853.5489501953125</v>
      </c>
      <c r="AB27" s="234" t="s">
        <v>26</v>
      </c>
      <c r="AC27" s="131" t="s">
        <v>508</v>
      </c>
    </row>
    <row r="28" spans="2:29" s="63" customFormat="1" ht="33.75" customHeight="1">
      <c r="B28" s="306"/>
      <c r="C28" s="137">
        <v>16</v>
      </c>
      <c r="D28" s="147" t="s">
        <v>466</v>
      </c>
      <c r="E28" s="85"/>
      <c r="F28" s="85"/>
      <c r="G28" s="121">
        <f>IF(VLOOKUP('Hide - Control'!A$3,'All practice data'!A:CA,C28+4,FALSE)=" "," ",VLOOKUP('Hide - Control'!A$3,'All practice data'!A:CA,C28+4,FALSE))</f>
        <v>6</v>
      </c>
      <c r="H28" s="122">
        <f>IF(VLOOKUP('Hide - Control'!A$3,'All practice data'!A:CA,C28+30,FALSE)=" "," ",VLOOKUP('Hide - Control'!A$3,'All practice data'!A:CA,C28+30,FALSE))</f>
        <v>160.1708489054992</v>
      </c>
      <c r="I28" s="123">
        <f>IF(LEFT(G28,1)=" "," n/a",IF(G28&lt;5,100000*VLOOKUP(G28,'Hide - Calculation'!AQ:AR,2,FALSE)/$E$8,100000*(G28*(1-1/(9*G28)-1.96/(3*SQRT(G28)))^3)/$E$8))</f>
        <v>58.487473056158024</v>
      </c>
      <c r="J28" s="123">
        <f>IF(LEFT(G28,1)=" "," n/a",IF(G28&lt;5,100000*VLOOKUP(G28,'Hide - Calculation'!AQ:AS,3,FALSE)/$E$8,100000*((G28+1)*(1-1/(9*(G28+1))+1.96/(3*SQRT(G28+1)))^3)/$E$8))</f>
        <v>348.6357519668382</v>
      </c>
      <c r="K28" s="122">
        <f>IF('Hide - Calculation'!N22="","",'Hide - Calculation'!N22)</f>
        <v>224.06576261400892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565.4154052734375</v>
      </c>
      <c r="AB28" s="234" t="s">
        <v>26</v>
      </c>
      <c r="AC28" s="131" t="s">
        <v>508</v>
      </c>
    </row>
    <row r="29" spans="2:29" s="63" customFormat="1" ht="33.75" customHeight="1">
      <c r="B29" s="306"/>
      <c r="C29" s="137">
        <v>17</v>
      </c>
      <c r="D29" s="147" t="s">
        <v>467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42.61373399407532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128.70013427734375</v>
      </c>
      <c r="AB29" s="234" t="s">
        <v>26</v>
      </c>
      <c r="AC29" s="131" t="s">
        <v>508</v>
      </c>
    </row>
    <row r="30" spans="2:29" s="63" customFormat="1" ht="33.75" customHeight="1" thickBot="1">
      <c r="B30" s="309"/>
      <c r="C30" s="180">
        <v>18</v>
      </c>
      <c r="D30" s="181" t="s">
        <v>468</v>
      </c>
      <c r="E30" s="182"/>
      <c r="F30" s="182"/>
      <c r="G30" s="183">
        <f>IF(VLOOKUP('Hide - Control'!A$3,'All practice data'!A:CA,C30+4,FALSE)=" "," ",VLOOKUP('Hide - Control'!A$3,'All practice data'!A:CA,C30+4,FALSE))</f>
        <v>9</v>
      </c>
      <c r="H30" s="184">
        <f>IF(VLOOKUP('Hide - Control'!A$3,'All practice data'!A:CA,C30+30,FALSE)=" "," ",VLOOKUP('Hide - Control'!A$3,'All practice data'!A:CA,C30+30,FALSE))</f>
        <v>240.2562733582488</v>
      </c>
      <c r="I30" s="185">
        <f>IF(LEFT(G30,1)=" "," n/a",IF(G30&lt;5,100000*VLOOKUP(G30,'Hide - Calculation'!AQ:AR,2,FALSE)/$E$8,100000*(G30*(1-1/(9*G30)-1.96/(3*SQRT(G30)))^3)/$E$8))</f>
        <v>109.63216720561022</v>
      </c>
      <c r="J30" s="185">
        <f>IF(LEFT(G30,1)=" "," n/a",IF(G30&lt;5,100000*VLOOKUP(G30,'Hide - Calculation'!AQ:AS,3,FALSE)/$E$8,100000*((G30+1)*(1-1/(9*(G30+1))+1.96/(3*SQRT(G30+1)))^3)/$E$8))</f>
        <v>456.1116780762216</v>
      </c>
      <c r="K30" s="184">
        <f>IF('Hide - Calculation'!N24="","",'Hide - Calculation'!N24)</f>
        <v>372.870172448159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1711.9522705078125</v>
      </c>
      <c r="AB30" s="235" t="s">
        <v>26</v>
      </c>
      <c r="AC30" s="189" t="s">
        <v>508</v>
      </c>
    </row>
    <row r="31" spans="2:29" s="63" customFormat="1" ht="33.75" customHeight="1">
      <c r="B31" s="304" t="s">
        <v>337</v>
      </c>
      <c r="C31" s="163">
        <v>19</v>
      </c>
      <c r="D31" s="164" t="s">
        <v>341</v>
      </c>
      <c r="E31" s="165"/>
      <c r="F31" s="165"/>
      <c r="G31" s="166">
        <f>IF(VLOOKUP('Hide - Control'!A$3,'All practice data'!A:CA,C31+4,FALSE)=" "," ",VLOOKUP('Hide - Control'!A$3,'All practice data'!A:CA,C31+4,FALSE))</f>
        <v>16</v>
      </c>
      <c r="H31" s="167">
        <f>IF(VLOOKUP('Hide - Control'!A$3,'All practice data'!A:CA,C31+30,FALSE)=" "," ",VLOOKUP('Hide - Control'!A$3,'All practice data'!A:CA,C31+30,FALSE))</f>
        <v>427.12226374799786</v>
      </c>
      <c r="I31" s="168">
        <f>IF(LEFT(G31,1)=" "," n/a",IF(G31&lt;5,100000*VLOOKUP(G31,'Hide - Calculation'!AQ:AR,2,FALSE)/$E$8,100000*(G31*(1-1/(9*G31)-1.96/(3*SQRT(G31)))^3)/$E$8))</f>
        <v>243.97783610245082</v>
      </c>
      <c r="J31" s="168">
        <f>IF(LEFT(G31,1)=" "," n/a",IF(G31&lt;5,100000*VLOOKUP(G31,'Hide - Calculation'!AQ:AS,3,FALSE)/$E$8,100000*((G31+1)*(1-1/(9*(G31+1))+1.96/(3*SQRT(G31+1)))^3)/$E$8))</f>
        <v>693.6635140270126</v>
      </c>
      <c r="K31" s="167">
        <f>IF('Hide - Calculation'!N25="","",'Hide - Calculation'!N25)</f>
        <v>406.54876866928305</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588.0911254882812</v>
      </c>
      <c r="AB31" s="233" t="s">
        <v>47</v>
      </c>
      <c r="AC31" s="175" t="s">
        <v>508</v>
      </c>
    </row>
    <row r="32" spans="2:29" s="63" customFormat="1" ht="33.75" customHeight="1">
      <c r="B32" s="305"/>
      <c r="C32" s="137">
        <v>20</v>
      </c>
      <c r="D32" s="132" t="s">
        <v>342</v>
      </c>
      <c r="E32" s="85"/>
      <c r="F32" s="85"/>
      <c r="G32" s="121">
        <f>IF(VLOOKUP('Hide - Control'!A$3,'All practice data'!A:CA,C32+4,FALSE)=" "," ",VLOOKUP('Hide - Control'!A$3,'All practice data'!A:CA,C32+4,FALSE))</f>
        <v>11</v>
      </c>
      <c r="H32" s="122">
        <f>IF(VLOOKUP('Hide - Control'!A$3,'All practice data'!A:CA,C32+30,FALSE)=" "," ",VLOOKUP('Hide - Control'!A$3,'All practice data'!A:CA,C32+30,FALSE))</f>
        <v>293.6465563267485</v>
      </c>
      <c r="I32" s="123">
        <f>IF(LEFT(G32,1)=" "," n/a",IF(G32&lt;5,100000*VLOOKUP(G32,'Hide - Calculation'!AQ:AR,2,FALSE)/$E$8,100000*(G32*(1-1/(9*G32)-1.96/(3*SQRT(G32)))^3)/$E$8))</f>
        <v>146.38588091272786</v>
      </c>
      <c r="J32" s="123">
        <f>IF(LEFT(G32,1)=" "," n/a",IF(G32&lt;5,100000*VLOOKUP(G32,'Hide - Calculation'!AQ:AS,3,FALSE)/$E$8,100000*((G32+1)*(1-1/(9*(G32+1))+1.96/(3*SQRT(G32+1)))^3)/$E$8))</f>
        <v>525.4514319117412</v>
      </c>
      <c r="K32" s="122">
        <f>IF('Hide - Calculation'!N26="","",'Hide - Calculation'!N26)</f>
        <v>327.8508244382891</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659.450927734375</v>
      </c>
      <c r="AB32" s="234" t="s">
        <v>47</v>
      </c>
      <c r="AC32" s="131" t="s">
        <v>508</v>
      </c>
    </row>
    <row r="33" spans="2:29" s="63" customFormat="1" ht="33.75" customHeight="1">
      <c r="B33" s="305"/>
      <c r="C33" s="137">
        <v>21</v>
      </c>
      <c r="D33" s="132" t="s">
        <v>344</v>
      </c>
      <c r="E33" s="85"/>
      <c r="F33" s="85"/>
      <c r="G33" s="121">
        <f>IF(VLOOKUP('Hide - Control'!A$3,'All practice data'!A:CA,C33+4,FALSE)=" "," ",VLOOKUP('Hide - Control'!A$3,'All practice data'!A:CA,C33+4,FALSE))</f>
        <v>29</v>
      </c>
      <c r="H33" s="122">
        <f>IF(VLOOKUP('Hide - Control'!A$3,'All practice data'!A:CA,C33+30,FALSE)=" "," ",VLOOKUP('Hide - Control'!A$3,'All practice data'!A:CA,C33+30,FALSE))</f>
        <v>774.1591030432461</v>
      </c>
      <c r="I33" s="123">
        <f>IF(LEFT(G33,1)=" "," n/a",IF(G33&lt;5,100000*VLOOKUP(G33,'Hide - Calculation'!AQ:AR,2,FALSE)/$E$8,100000*(G33*(1-1/(9*G33)-1.96/(3*SQRT(G33)))^3)/$E$8))</f>
        <v>518.3552254475948</v>
      </c>
      <c r="J33" s="123">
        <f>IF(LEFT(G33,1)=" "," n/a",IF(G33&lt;5,100000*VLOOKUP(G33,'Hide - Calculation'!AQ:AS,3,FALSE)/$E$8,100000*((G33+1)*(1-1/(9*(G33+1))+1.96/(3*SQRT(G33+1)))^3)/$E$8))</f>
        <v>1111.8684807686354</v>
      </c>
      <c r="K33" s="122">
        <f>IF('Hide - Calculation'!N27="","",'Hide - Calculation'!N27)</f>
        <v>805.8806952911824</v>
      </c>
      <c r="L33" s="156">
        <f>'Hide - Calculation'!O27</f>
        <v>1059.3522061277838</v>
      </c>
      <c r="M33" s="148">
        <f>IF(ISBLANK('Hide - Calculation'!K27),"",'Hide - Calculation'!U27)</f>
        <v>187.00326538085938</v>
      </c>
      <c r="N33" s="86"/>
      <c r="O33" s="87"/>
      <c r="P33" s="87"/>
      <c r="Q33" s="87"/>
      <c r="R33" s="84"/>
      <c r="S33" s="84"/>
      <c r="T33" s="84"/>
      <c r="U33" s="84"/>
      <c r="V33" s="84"/>
      <c r="W33" s="84"/>
      <c r="X33" s="84"/>
      <c r="Y33" s="84"/>
      <c r="Z33" s="88"/>
      <c r="AA33" s="148">
        <f>IF(ISBLANK('Hide - Calculation'!K27),"",'Hide - Calculation'!T27)</f>
        <v>1690.7620849609375</v>
      </c>
      <c r="AB33" s="234" t="s">
        <v>47</v>
      </c>
      <c r="AC33" s="131" t="s">
        <v>508</v>
      </c>
    </row>
    <row r="34" spans="2:29" s="63" customFormat="1" ht="33.75" customHeight="1">
      <c r="B34" s="305"/>
      <c r="C34" s="137">
        <v>22</v>
      </c>
      <c r="D34" s="132" t="s">
        <v>343</v>
      </c>
      <c r="E34" s="85"/>
      <c r="F34" s="85"/>
      <c r="G34" s="118">
        <f>IF(VLOOKUP('Hide - Control'!A$3,'All practice data'!A:CA,C34+4,FALSE)=" "," ",VLOOKUP('Hide - Control'!A$3,'All practice data'!A:CA,C34+4,FALSE))</f>
        <v>14</v>
      </c>
      <c r="H34" s="122">
        <f>IF(VLOOKUP('Hide - Control'!A$3,'All practice data'!A:CA,C34+30,FALSE)=" "," ",VLOOKUP('Hide - Control'!A$3,'All practice data'!A:CA,C34+30,FALSE))</f>
        <v>373.73198077949814</v>
      </c>
      <c r="I34" s="123">
        <f>IF(LEFT(G34,1)=" "," n/a",IF(G34&lt;5,100000*VLOOKUP(G34,'Hide - Calculation'!AQ:AR,2,FALSE)/$E$8,100000*(G34*(1-1/(9*G34)-1.96/(3*SQRT(G34)))^3)/$E$8))</f>
        <v>204.14951016402034</v>
      </c>
      <c r="J34" s="123">
        <f>IF(LEFT(G34,1)=" "," n/a",IF(G34&lt;5,100000*VLOOKUP(G34,'Hide - Calculation'!AQ:AS,3,FALSE)/$E$8,100000*((G34+1)*(1-1/(9*(G34+1))+1.96/(3*SQRT(G34+1)))^3)/$E$8))</f>
        <v>627.1005308975641</v>
      </c>
      <c r="K34" s="122">
        <f>IF('Hide - Calculation'!N28="","",'Hide - Calculation'!N28)</f>
        <v>354.99989690225647</v>
      </c>
      <c r="L34" s="156">
        <f>'Hide - Calculation'!O28</f>
        <v>582.9390489900089</v>
      </c>
      <c r="M34" s="148">
        <f>IF(ISBLANK('Hide - Calculation'!K28),"",'Hide - Calculation'!U28)</f>
        <v>93.50163269042969</v>
      </c>
      <c r="N34" s="86"/>
      <c r="O34" s="87"/>
      <c r="P34" s="87"/>
      <c r="Q34" s="87"/>
      <c r="R34" s="84"/>
      <c r="S34" s="84"/>
      <c r="T34" s="84"/>
      <c r="U34" s="84"/>
      <c r="V34" s="84"/>
      <c r="W34" s="84"/>
      <c r="X34" s="84"/>
      <c r="Y34" s="84"/>
      <c r="Z34" s="88"/>
      <c r="AA34" s="148">
        <f>IF(ISBLANK('Hide - Calculation'!K28),"",'Hide - Calculation'!T28)</f>
        <v>893.3002319335938</v>
      </c>
      <c r="AB34" s="234" t="s">
        <v>47</v>
      </c>
      <c r="AC34" s="131" t="s">
        <v>508</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329</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329</v>
      </c>
      <c r="AC36" s="131">
        <v>2008</v>
      </c>
    </row>
    <row r="37" spans="2:29" ht="33.75" customHeight="1" thickBot="1">
      <c r="B37" s="307"/>
      <c r="C37" s="176">
        <v>25</v>
      </c>
      <c r="D37" s="177" t="s">
        <v>345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329</v>
      </c>
      <c r="AC37" s="149">
        <v>2008</v>
      </c>
    </row>
    <row r="38" spans="2:29" ht="16.5" customHeight="1">
      <c r="B38" s="69"/>
      <c r="C38" s="69"/>
      <c r="D38" s="65" t="s">
        <v>327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559</v>
      </c>
      <c r="C39" s="244"/>
      <c r="D39" s="244"/>
      <c r="E39" s="303" t="s">
        <v>563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540</v>
      </c>
      <c r="B4" s="79" t="s">
        <v>311</v>
      </c>
      <c r="C4" s="79" t="s">
        <v>144</v>
      </c>
      <c r="D4" s="99">
        <v>3746</v>
      </c>
      <c r="E4" s="99">
        <v>383</v>
      </c>
      <c r="F4" s="99" t="s">
        <v>347</v>
      </c>
      <c r="G4" s="99">
        <v>12</v>
      </c>
      <c r="H4" s="99">
        <v>9</v>
      </c>
      <c r="I4" s="99">
        <v>44</v>
      </c>
      <c r="J4" s="99">
        <v>186</v>
      </c>
      <c r="K4" s="99">
        <v>158</v>
      </c>
      <c r="L4" s="99">
        <v>708</v>
      </c>
      <c r="M4" s="99">
        <v>82</v>
      </c>
      <c r="N4" s="99">
        <v>41</v>
      </c>
      <c r="O4" s="99">
        <v>44</v>
      </c>
      <c r="P4" s="159">
        <v>44</v>
      </c>
      <c r="Q4" s="99" t="s">
        <v>562</v>
      </c>
      <c r="R4" s="99">
        <v>14</v>
      </c>
      <c r="S4" s="99">
        <v>10</v>
      </c>
      <c r="T4" s="99">
        <v>6</v>
      </c>
      <c r="U4" s="99" t="s">
        <v>562</v>
      </c>
      <c r="V4" s="99">
        <v>9</v>
      </c>
      <c r="W4" s="99">
        <v>16</v>
      </c>
      <c r="X4" s="99">
        <v>11</v>
      </c>
      <c r="Y4" s="99">
        <v>29</v>
      </c>
      <c r="Z4" s="99">
        <v>14</v>
      </c>
      <c r="AA4" s="99" t="s">
        <v>562</v>
      </c>
      <c r="AB4" s="99" t="s">
        <v>562</v>
      </c>
      <c r="AC4" s="99" t="s">
        <v>562</v>
      </c>
      <c r="AD4" s="98" t="s">
        <v>327</v>
      </c>
      <c r="AE4" s="100">
        <v>0.10224239188467699</v>
      </c>
      <c r="AF4" s="100">
        <v>0.19</v>
      </c>
      <c r="AG4" s="98">
        <v>320.3416978109984</v>
      </c>
      <c r="AH4" s="98">
        <v>240.2562733582488</v>
      </c>
      <c r="AI4" s="100">
        <v>0.012</v>
      </c>
      <c r="AJ4" s="100">
        <v>0.611842</v>
      </c>
      <c r="AK4" s="100">
        <v>0.598485</v>
      </c>
      <c r="AL4" s="100">
        <v>0.685382</v>
      </c>
      <c r="AM4" s="100">
        <v>0.372727</v>
      </c>
      <c r="AN4" s="100">
        <v>0.42268</v>
      </c>
      <c r="AO4" s="98">
        <v>1174.586225306994</v>
      </c>
      <c r="AP4" s="158">
        <v>0.7744582366999999</v>
      </c>
      <c r="AQ4" s="100" t="s">
        <v>562</v>
      </c>
      <c r="AR4" s="100" t="s">
        <v>562</v>
      </c>
      <c r="AS4" s="98">
        <v>266.95141484249865</v>
      </c>
      <c r="AT4" s="98">
        <v>160.1708489054992</v>
      </c>
      <c r="AU4" s="98" t="s">
        <v>562</v>
      </c>
      <c r="AV4" s="98">
        <v>240.2562733582488</v>
      </c>
      <c r="AW4" s="98">
        <v>427.12226374799786</v>
      </c>
      <c r="AX4" s="98">
        <v>293.6465563267485</v>
      </c>
      <c r="AY4" s="98">
        <v>774.1591030432461</v>
      </c>
      <c r="AZ4" s="98">
        <v>373.73198077949814</v>
      </c>
      <c r="BA4" s="100" t="s">
        <v>562</v>
      </c>
      <c r="BB4" s="100" t="s">
        <v>562</v>
      </c>
      <c r="BC4" s="100" t="s">
        <v>562</v>
      </c>
      <c r="BD4" s="158">
        <v>0.5627225113000001</v>
      </c>
      <c r="BE4" s="158">
        <v>1.0396739959999999</v>
      </c>
      <c r="BF4" s="162">
        <v>304</v>
      </c>
      <c r="BG4" s="162">
        <v>264</v>
      </c>
      <c r="BH4" s="162">
        <v>1033</v>
      </c>
      <c r="BI4" s="162">
        <v>220</v>
      </c>
      <c r="BJ4" s="162">
        <v>97</v>
      </c>
      <c r="BK4" s="97"/>
      <c r="BL4" s="97"/>
      <c r="BM4" s="97"/>
      <c r="BN4" s="97"/>
    </row>
    <row r="5" spans="1:66" ht="12.75">
      <c r="A5" s="79" t="s">
        <v>523</v>
      </c>
      <c r="B5" s="79" t="s">
        <v>294</v>
      </c>
      <c r="C5" s="79" t="s">
        <v>144</v>
      </c>
      <c r="D5" s="99">
        <v>6188</v>
      </c>
      <c r="E5" s="99">
        <v>732</v>
      </c>
      <c r="F5" s="99" t="s">
        <v>347</v>
      </c>
      <c r="G5" s="99">
        <v>27</v>
      </c>
      <c r="H5" s="99">
        <v>16</v>
      </c>
      <c r="I5" s="99">
        <v>82</v>
      </c>
      <c r="J5" s="99">
        <v>377</v>
      </c>
      <c r="K5" s="99">
        <v>242</v>
      </c>
      <c r="L5" s="99">
        <v>1292</v>
      </c>
      <c r="M5" s="99">
        <v>213</v>
      </c>
      <c r="N5" s="99">
        <v>104</v>
      </c>
      <c r="O5" s="99">
        <v>90</v>
      </c>
      <c r="P5" s="159">
        <v>90</v>
      </c>
      <c r="Q5" s="99">
        <v>14</v>
      </c>
      <c r="R5" s="99">
        <v>31</v>
      </c>
      <c r="S5" s="99">
        <v>19</v>
      </c>
      <c r="T5" s="99">
        <v>16</v>
      </c>
      <c r="U5" s="99" t="s">
        <v>562</v>
      </c>
      <c r="V5" s="99">
        <v>16</v>
      </c>
      <c r="W5" s="99">
        <v>29</v>
      </c>
      <c r="X5" s="99">
        <v>21</v>
      </c>
      <c r="Y5" s="99">
        <v>68</v>
      </c>
      <c r="Z5" s="99">
        <v>39</v>
      </c>
      <c r="AA5" s="99" t="s">
        <v>562</v>
      </c>
      <c r="AB5" s="99" t="s">
        <v>562</v>
      </c>
      <c r="AC5" s="99" t="s">
        <v>562</v>
      </c>
      <c r="AD5" s="98" t="s">
        <v>327</v>
      </c>
      <c r="AE5" s="100">
        <v>0.1182934712346477</v>
      </c>
      <c r="AF5" s="100">
        <v>0.21</v>
      </c>
      <c r="AG5" s="98">
        <v>436.3283775048481</v>
      </c>
      <c r="AH5" s="98">
        <v>258.5649644473174</v>
      </c>
      <c r="AI5" s="100">
        <v>0.013000000000000001</v>
      </c>
      <c r="AJ5" s="100">
        <v>0.63575</v>
      </c>
      <c r="AK5" s="100">
        <v>0.603491</v>
      </c>
      <c r="AL5" s="100">
        <v>0.729944</v>
      </c>
      <c r="AM5" s="100">
        <v>0.465066</v>
      </c>
      <c r="AN5" s="100">
        <v>0.495238</v>
      </c>
      <c r="AO5" s="98">
        <v>1454.4279250161603</v>
      </c>
      <c r="AP5" s="158">
        <v>0.8968039702999999</v>
      </c>
      <c r="AQ5" s="100">
        <v>0.15555555555555556</v>
      </c>
      <c r="AR5" s="100">
        <v>0.45161290322580644</v>
      </c>
      <c r="AS5" s="98">
        <v>307.0458952811894</v>
      </c>
      <c r="AT5" s="98">
        <v>258.5649644473174</v>
      </c>
      <c r="AU5" s="98" t="s">
        <v>562</v>
      </c>
      <c r="AV5" s="98">
        <v>258.5649644473174</v>
      </c>
      <c r="AW5" s="98">
        <v>468.6489980607628</v>
      </c>
      <c r="AX5" s="98">
        <v>339.3665158371041</v>
      </c>
      <c r="AY5" s="98">
        <v>1098.901098901099</v>
      </c>
      <c r="AZ5" s="98">
        <v>630.2521008403361</v>
      </c>
      <c r="BA5" s="100" t="s">
        <v>562</v>
      </c>
      <c r="BB5" s="100" t="s">
        <v>562</v>
      </c>
      <c r="BC5" s="100" t="s">
        <v>562</v>
      </c>
      <c r="BD5" s="158">
        <v>0.721136322</v>
      </c>
      <c r="BE5" s="158">
        <v>1.1023242949999998</v>
      </c>
      <c r="BF5" s="162">
        <v>593</v>
      </c>
      <c r="BG5" s="162">
        <v>401</v>
      </c>
      <c r="BH5" s="162">
        <v>1770</v>
      </c>
      <c r="BI5" s="162">
        <v>458</v>
      </c>
      <c r="BJ5" s="162">
        <v>210</v>
      </c>
      <c r="BK5" s="97"/>
      <c r="BL5" s="97"/>
      <c r="BM5" s="97"/>
      <c r="BN5" s="97"/>
    </row>
    <row r="6" spans="1:66" ht="12.75">
      <c r="A6" s="79" t="s">
        <v>541</v>
      </c>
      <c r="B6" s="79" t="s">
        <v>312</v>
      </c>
      <c r="C6" s="79" t="s">
        <v>144</v>
      </c>
      <c r="D6" s="99">
        <v>7260</v>
      </c>
      <c r="E6" s="99">
        <v>608</v>
      </c>
      <c r="F6" s="99" t="s">
        <v>348</v>
      </c>
      <c r="G6" s="99">
        <v>8</v>
      </c>
      <c r="H6" s="99">
        <v>10</v>
      </c>
      <c r="I6" s="99">
        <v>54</v>
      </c>
      <c r="J6" s="99">
        <v>325</v>
      </c>
      <c r="K6" s="99">
        <v>292</v>
      </c>
      <c r="L6" s="99">
        <v>1346</v>
      </c>
      <c r="M6" s="99">
        <v>126</v>
      </c>
      <c r="N6" s="99">
        <v>61</v>
      </c>
      <c r="O6" s="99">
        <v>124</v>
      </c>
      <c r="P6" s="159">
        <v>124</v>
      </c>
      <c r="Q6" s="99">
        <v>11</v>
      </c>
      <c r="R6" s="99">
        <v>26</v>
      </c>
      <c r="S6" s="99">
        <v>29</v>
      </c>
      <c r="T6" s="99">
        <v>18</v>
      </c>
      <c r="U6" s="99" t="s">
        <v>562</v>
      </c>
      <c r="V6" s="99">
        <v>27</v>
      </c>
      <c r="W6" s="99">
        <v>23</v>
      </c>
      <c r="X6" s="99">
        <v>23</v>
      </c>
      <c r="Y6" s="99">
        <v>68</v>
      </c>
      <c r="Z6" s="99">
        <v>26</v>
      </c>
      <c r="AA6" s="99" t="s">
        <v>562</v>
      </c>
      <c r="AB6" s="99" t="s">
        <v>562</v>
      </c>
      <c r="AC6" s="99" t="s">
        <v>562</v>
      </c>
      <c r="AD6" s="98" t="s">
        <v>327</v>
      </c>
      <c r="AE6" s="100">
        <v>0.0837465564738292</v>
      </c>
      <c r="AF6" s="100">
        <v>0.3</v>
      </c>
      <c r="AG6" s="98">
        <v>110.19283746556474</v>
      </c>
      <c r="AH6" s="98">
        <v>137.7410468319559</v>
      </c>
      <c r="AI6" s="100">
        <v>0.006999999999999999</v>
      </c>
      <c r="AJ6" s="100">
        <v>0.586643</v>
      </c>
      <c r="AK6" s="100">
        <v>0.559387</v>
      </c>
      <c r="AL6" s="100">
        <v>0.750279</v>
      </c>
      <c r="AM6" s="100">
        <v>0.315789</v>
      </c>
      <c r="AN6" s="100">
        <v>0.331522</v>
      </c>
      <c r="AO6" s="98">
        <v>1707.9889807162535</v>
      </c>
      <c r="AP6" s="158">
        <v>1.2599975589999999</v>
      </c>
      <c r="AQ6" s="100">
        <v>0.08870967741935484</v>
      </c>
      <c r="AR6" s="100">
        <v>0.4230769230769231</v>
      </c>
      <c r="AS6" s="98">
        <v>399.44903581267215</v>
      </c>
      <c r="AT6" s="98">
        <v>247.93388429752065</v>
      </c>
      <c r="AU6" s="98" t="s">
        <v>562</v>
      </c>
      <c r="AV6" s="98">
        <v>371.900826446281</v>
      </c>
      <c r="AW6" s="98">
        <v>316.8044077134986</v>
      </c>
      <c r="AX6" s="98">
        <v>316.8044077134986</v>
      </c>
      <c r="AY6" s="98">
        <v>936.6391184573002</v>
      </c>
      <c r="AZ6" s="98">
        <v>358.1267217630854</v>
      </c>
      <c r="BA6" s="100" t="s">
        <v>562</v>
      </c>
      <c r="BB6" s="100" t="s">
        <v>562</v>
      </c>
      <c r="BC6" s="100" t="s">
        <v>562</v>
      </c>
      <c r="BD6" s="158">
        <v>1.048000793</v>
      </c>
      <c r="BE6" s="158">
        <v>1.502286072</v>
      </c>
      <c r="BF6" s="162">
        <v>554</v>
      </c>
      <c r="BG6" s="162">
        <v>522</v>
      </c>
      <c r="BH6" s="162">
        <v>1794</v>
      </c>
      <c r="BI6" s="162">
        <v>399</v>
      </c>
      <c r="BJ6" s="162">
        <v>184</v>
      </c>
      <c r="BK6" s="97"/>
      <c r="BL6" s="97"/>
      <c r="BM6" s="97"/>
      <c r="BN6" s="97"/>
    </row>
    <row r="7" spans="1:66" ht="12.75">
      <c r="A7" s="79" t="s">
        <v>511</v>
      </c>
      <c r="B7" s="79" t="s">
        <v>282</v>
      </c>
      <c r="C7" s="79" t="s">
        <v>144</v>
      </c>
      <c r="D7" s="99">
        <v>6367</v>
      </c>
      <c r="E7" s="99">
        <v>764</v>
      </c>
      <c r="F7" s="99" t="s">
        <v>350</v>
      </c>
      <c r="G7" s="99">
        <v>30</v>
      </c>
      <c r="H7" s="99">
        <v>7</v>
      </c>
      <c r="I7" s="99">
        <v>94</v>
      </c>
      <c r="J7" s="99">
        <v>449</v>
      </c>
      <c r="K7" s="99">
        <v>244</v>
      </c>
      <c r="L7" s="99">
        <v>1226</v>
      </c>
      <c r="M7" s="99">
        <v>266</v>
      </c>
      <c r="N7" s="99">
        <v>118</v>
      </c>
      <c r="O7" s="99">
        <v>242</v>
      </c>
      <c r="P7" s="159">
        <v>242</v>
      </c>
      <c r="Q7" s="99">
        <v>8</v>
      </c>
      <c r="R7" s="99">
        <v>17</v>
      </c>
      <c r="S7" s="99">
        <v>44</v>
      </c>
      <c r="T7" s="99">
        <v>36</v>
      </c>
      <c r="U7" s="99" t="s">
        <v>562</v>
      </c>
      <c r="V7" s="99">
        <v>109</v>
      </c>
      <c r="W7" s="99">
        <v>30</v>
      </c>
      <c r="X7" s="99">
        <v>40</v>
      </c>
      <c r="Y7" s="99">
        <v>47</v>
      </c>
      <c r="Z7" s="99">
        <v>25</v>
      </c>
      <c r="AA7" s="99" t="s">
        <v>562</v>
      </c>
      <c r="AB7" s="99" t="s">
        <v>562</v>
      </c>
      <c r="AC7" s="99" t="s">
        <v>562</v>
      </c>
      <c r="AD7" s="98" t="s">
        <v>327</v>
      </c>
      <c r="AE7" s="100">
        <v>0.11999371760640803</v>
      </c>
      <c r="AF7" s="100">
        <v>0.17</v>
      </c>
      <c r="AG7" s="98">
        <v>471.1795193968902</v>
      </c>
      <c r="AH7" s="98">
        <v>109.94188785927439</v>
      </c>
      <c r="AI7" s="100">
        <v>0.015</v>
      </c>
      <c r="AJ7" s="100">
        <v>0.708202</v>
      </c>
      <c r="AK7" s="100">
        <v>0.67033</v>
      </c>
      <c r="AL7" s="100">
        <v>0.631959</v>
      </c>
      <c r="AM7" s="100">
        <v>0.498127</v>
      </c>
      <c r="AN7" s="100">
        <v>0.506438</v>
      </c>
      <c r="AO7" s="98">
        <v>3800.848123134914</v>
      </c>
      <c r="AP7" s="158">
        <v>2.296032104</v>
      </c>
      <c r="AQ7" s="100">
        <v>0.03305785123966942</v>
      </c>
      <c r="AR7" s="100">
        <v>0.47058823529411764</v>
      </c>
      <c r="AS7" s="98">
        <v>691.063295115439</v>
      </c>
      <c r="AT7" s="98">
        <v>565.4154232762683</v>
      </c>
      <c r="AU7" s="98" t="s">
        <v>562</v>
      </c>
      <c r="AV7" s="98">
        <v>1711.952253808701</v>
      </c>
      <c r="AW7" s="98">
        <v>471.1795193968902</v>
      </c>
      <c r="AX7" s="98">
        <v>628.2393591958536</v>
      </c>
      <c r="AY7" s="98">
        <v>738.181247055128</v>
      </c>
      <c r="AZ7" s="98">
        <v>392.64959949740853</v>
      </c>
      <c r="BA7" s="100" t="s">
        <v>562</v>
      </c>
      <c r="BB7" s="100" t="s">
        <v>562</v>
      </c>
      <c r="BC7" s="100" t="s">
        <v>562</v>
      </c>
      <c r="BD7" s="158">
        <v>2.015840607</v>
      </c>
      <c r="BE7" s="158">
        <v>2.6042758179999996</v>
      </c>
      <c r="BF7" s="162">
        <v>634</v>
      </c>
      <c r="BG7" s="162">
        <v>364</v>
      </c>
      <c r="BH7" s="162">
        <v>1940</v>
      </c>
      <c r="BI7" s="162">
        <v>534</v>
      </c>
      <c r="BJ7" s="162">
        <v>233</v>
      </c>
      <c r="BK7" s="97"/>
      <c r="BL7" s="97"/>
      <c r="BM7" s="97"/>
      <c r="BN7" s="97"/>
    </row>
    <row r="8" spans="1:66" ht="12.75">
      <c r="A8" s="79" t="s">
        <v>548</v>
      </c>
      <c r="B8" s="79" t="s">
        <v>319</v>
      </c>
      <c r="C8" s="79" t="s">
        <v>144</v>
      </c>
      <c r="D8" s="99">
        <v>2370</v>
      </c>
      <c r="E8" s="99">
        <v>196</v>
      </c>
      <c r="F8" s="99" t="s">
        <v>348</v>
      </c>
      <c r="G8" s="99">
        <v>8</v>
      </c>
      <c r="H8" s="99" t="s">
        <v>562</v>
      </c>
      <c r="I8" s="99">
        <v>14</v>
      </c>
      <c r="J8" s="99">
        <v>129</v>
      </c>
      <c r="K8" s="99">
        <v>118</v>
      </c>
      <c r="L8" s="99">
        <v>484</v>
      </c>
      <c r="M8" s="99">
        <v>41</v>
      </c>
      <c r="N8" s="99">
        <v>17</v>
      </c>
      <c r="O8" s="99">
        <v>9</v>
      </c>
      <c r="P8" s="159">
        <v>9</v>
      </c>
      <c r="Q8" s="99" t="s">
        <v>562</v>
      </c>
      <c r="R8" s="99" t="s">
        <v>562</v>
      </c>
      <c r="S8" s="99" t="s">
        <v>562</v>
      </c>
      <c r="T8" s="99" t="s">
        <v>562</v>
      </c>
      <c r="U8" s="99" t="s">
        <v>562</v>
      </c>
      <c r="V8" s="99" t="s">
        <v>562</v>
      </c>
      <c r="W8" s="99">
        <v>11</v>
      </c>
      <c r="X8" s="99" t="s">
        <v>562</v>
      </c>
      <c r="Y8" s="99">
        <v>14</v>
      </c>
      <c r="Z8" s="99" t="s">
        <v>562</v>
      </c>
      <c r="AA8" s="99" t="s">
        <v>562</v>
      </c>
      <c r="AB8" s="99" t="s">
        <v>562</v>
      </c>
      <c r="AC8" s="99" t="s">
        <v>562</v>
      </c>
      <c r="AD8" s="98" t="s">
        <v>327</v>
      </c>
      <c r="AE8" s="100">
        <v>0.08270042194092828</v>
      </c>
      <c r="AF8" s="100">
        <v>0.34</v>
      </c>
      <c r="AG8" s="98">
        <v>337.55274261603375</v>
      </c>
      <c r="AH8" s="98" t="s">
        <v>562</v>
      </c>
      <c r="AI8" s="100">
        <v>0.006</v>
      </c>
      <c r="AJ8" s="100">
        <v>0.629268</v>
      </c>
      <c r="AK8" s="100">
        <v>0.617801</v>
      </c>
      <c r="AL8" s="100">
        <v>0.780645</v>
      </c>
      <c r="AM8" s="100">
        <v>0.280822</v>
      </c>
      <c r="AN8" s="100">
        <v>0.309091</v>
      </c>
      <c r="AO8" s="98">
        <v>379.746835443038</v>
      </c>
      <c r="AP8" s="158">
        <v>0.2770544052</v>
      </c>
      <c r="AQ8" s="100" t="s">
        <v>562</v>
      </c>
      <c r="AR8" s="100" t="s">
        <v>562</v>
      </c>
      <c r="AS8" s="98" t="s">
        <v>562</v>
      </c>
      <c r="AT8" s="98" t="s">
        <v>562</v>
      </c>
      <c r="AU8" s="98" t="s">
        <v>562</v>
      </c>
      <c r="AV8" s="98" t="s">
        <v>562</v>
      </c>
      <c r="AW8" s="98">
        <v>464.13502109704643</v>
      </c>
      <c r="AX8" s="98" t="s">
        <v>562</v>
      </c>
      <c r="AY8" s="98">
        <v>590.717299578059</v>
      </c>
      <c r="AZ8" s="98" t="s">
        <v>562</v>
      </c>
      <c r="BA8" s="100" t="s">
        <v>562</v>
      </c>
      <c r="BB8" s="100" t="s">
        <v>562</v>
      </c>
      <c r="BC8" s="100" t="s">
        <v>562</v>
      </c>
      <c r="BD8" s="158">
        <v>0.12668691640000002</v>
      </c>
      <c r="BE8" s="158">
        <v>0.5259355927</v>
      </c>
      <c r="BF8" s="162">
        <v>205</v>
      </c>
      <c r="BG8" s="162">
        <v>191</v>
      </c>
      <c r="BH8" s="162">
        <v>620</v>
      </c>
      <c r="BI8" s="162">
        <v>146</v>
      </c>
      <c r="BJ8" s="162">
        <v>55</v>
      </c>
      <c r="BK8" s="97"/>
      <c r="BL8" s="97"/>
      <c r="BM8" s="97"/>
      <c r="BN8" s="97"/>
    </row>
    <row r="9" spans="1:66" ht="12.75">
      <c r="A9" s="79" t="s">
        <v>519</v>
      </c>
      <c r="B9" s="79" t="s">
        <v>290</v>
      </c>
      <c r="C9" s="79" t="s">
        <v>144</v>
      </c>
      <c r="D9" s="99">
        <v>4798</v>
      </c>
      <c r="E9" s="99">
        <v>655</v>
      </c>
      <c r="F9" s="99" t="s">
        <v>347</v>
      </c>
      <c r="G9" s="99">
        <v>25</v>
      </c>
      <c r="H9" s="99">
        <v>10</v>
      </c>
      <c r="I9" s="99">
        <v>62</v>
      </c>
      <c r="J9" s="99">
        <v>273</v>
      </c>
      <c r="K9" s="99">
        <v>147</v>
      </c>
      <c r="L9" s="99">
        <v>870</v>
      </c>
      <c r="M9" s="99">
        <v>103</v>
      </c>
      <c r="N9" s="99">
        <v>60</v>
      </c>
      <c r="O9" s="99">
        <v>45</v>
      </c>
      <c r="P9" s="159">
        <v>45</v>
      </c>
      <c r="Q9" s="99" t="s">
        <v>562</v>
      </c>
      <c r="R9" s="99">
        <v>18</v>
      </c>
      <c r="S9" s="99">
        <v>12</v>
      </c>
      <c r="T9" s="99">
        <v>9</v>
      </c>
      <c r="U9" s="99" t="s">
        <v>562</v>
      </c>
      <c r="V9" s="99" t="s">
        <v>562</v>
      </c>
      <c r="W9" s="99">
        <v>20</v>
      </c>
      <c r="X9" s="99">
        <v>16</v>
      </c>
      <c r="Y9" s="99">
        <v>37</v>
      </c>
      <c r="Z9" s="99">
        <v>18</v>
      </c>
      <c r="AA9" s="99" t="s">
        <v>562</v>
      </c>
      <c r="AB9" s="99" t="s">
        <v>562</v>
      </c>
      <c r="AC9" s="99" t="s">
        <v>562</v>
      </c>
      <c r="AD9" s="98" t="s">
        <v>327</v>
      </c>
      <c r="AE9" s="100">
        <v>0.13651521467278033</v>
      </c>
      <c r="AF9" s="100">
        <v>0.23</v>
      </c>
      <c r="AG9" s="98">
        <v>521.0504376823676</v>
      </c>
      <c r="AH9" s="98">
        <v>208.42017507294707</v>
      </c>
      <c r="AI9" s="100">
        <v>0.013000000000000001</v>
      </c>
      <c r="AJ9" s="100">
        <v>0.609375</v>
      </c>
      <c r="AK9" s="100">
        <v>0.597561</v>
      </c>
      <c r="AL9" s="100">
        <v>0.669746</v>
      </c>
      <c r="AM9" s="100">
        <v>0.314024</v>
      </c>
      <c r="AN9" s="100">
        <v>0.422535</v>
      </c>
      <c r="AO9" s="98">
        <v>937.8907878282618</v>
      </c>
      <c r="AP9" s="158">
        <v>0.5485765076</v>
      </c>
      <c r="AQ9" s="100" t="s">
        <v>562</v>
      </c>
      <c r="AR9" s="100" t="s">
        <v>562</v>
      </c>
      <c r="AS9" s="98">
        <v>250.10421008753647</v>
      </c>
      <c r="AT9" s="98">
        <v>187.57815756565236</v>
      </c>
      <c r="AU9" s="98" t="s">
        <v>562</v>
      </c>
      <c r="AV9" s="98" t="s">
        <v>562</v>
      </c>
      <c r="AW9" s="98">
        <v>416.84035014589415</v>
      </c>
      <c r="AX9" s="98">
        <v>333.4722801167153</v>
      </c>
      <c r="AY9" s="98">
        <v>771.1546477699042</v>
      </c>
      <c r="AZ9" s="98">
        <v>375.1563151313047</v>
      </c>
      <c r="BA9" s="100" t="s">
        <v>562</v>
      </c>
      <c r="BB9" s="100" t="s">
        <v>562</v>
      </c>
      <c r="BC9" s="100" t="s">
        <v>562</v>
      </c>
      <c r="BD9" s="158">
        <v>0.4001354599</v>
      </c>
      <c r="BE9" s="158">
        <v>0.7340385437000001</v>
      </c>
      <c r="BF9" s="162">
        <v>448</v>
      </c>
      <c r="BG9" s="162">
        <v>246</v>
      </c>
      <c r="BH9" s="162">
        <v>1299</v>
      </c>
      <c r="BI9" s="162">
        <v>328</v>
      </c>
      <c r="BJ9" s="162">
        <v>142</v>
      </c>
      <c r="BK9" s="97"/>
      <c r="BL9" s="97"/>
      <c r="BM9" s="97"/>
      <c r="BN9" s="97"/>
    </row>
    <row r="10" spans="1:66" ht="12.75">
      <c r="A10" s="79" t="s">
        <v>547</v>
      </c>
      <c r="B10" s="79" t="s">
        <v>318</v>
      </c>
      <c r="C10" s="79" t="s">
        <v>144</v>
      </c>
      <c r="D10" s="99">
        <v>2341</v>
      </c>
      <c r="E10" s="99">
        <v>125</v>
      </c>
      <c r="F10" s="99" t="s">
        <v>347</v>
      </c>
      <c r="G10" s="99">
        <v>8</v>
      </c>
      <c r="H10" s="99" t="s">
        <v>562</v>
      </c>
      <c r="I10" s="99">
        <v>15</v>
      </c>
      <c r="J10" s="99">
        <v>72</v>
      </c>
      <c r="K10" s="99">
        <v>17</v>
      </c>
      <c r="L10" s="99">
        <v>479</v>
      </c>
      <c r="M10" s="99">
        <v>31</v>
      </c>
      <c r="N10" s="99">
        <v>19</v>
      </c>
      <c r="O10" s="99">
        <v>45</v>
      </c>
      <c r="P10" s="159">
        <v>45</v>
      </c>
      <c r="Q10" s="99" t="s">
        <v>562</v>
      </c>
      <c r="R10" s="99" t="s">
        <v>562</v>
      </c>
      <c r="S10" s="99">
        <v>12</v>
      </c>
      <c r="T10" s="99" t="s">
        <v>562</v>
      </c>
      <c r="U10" s="99" t="s">
        <v>562</v>
      </c>
      <c r="V10" s="99">
        <v>8</v>
      </c>
      <c r="W10" s="99">
        <v>8</v>
      </c>
      <c r="X10" s="99">
        <v>6</v>
      </c>
      <c r="Y10" s="99">
        <v>19</v>
      </c>
      <c r="Z10" s="99">
        <v>7</v>
      </c>
      <c r="AA10" s="99" t="s">
        <v>562</v>
      </c>
      <c r="AB10" s="99" t="s">
        <v>562</v>
      </c>
      <c r="AC10" s="99" t="s">
        <v>562</v>
      </c>
      <c r="AD10" s="98" t="s">
        <v>327</v>
      </c>
      <c r="AE10" s="100">
        <v>0.05339598462195643</v>
      </c>
      <c r="AF10" s="100">
        <v>0.22</v>
      </c>
      <c r="AG10" s="98">
        <v>341.73430158052116</v>
      </c>
      <c r="AH10" s="98" t="s">
        <v>562</v>
      </c>
      <c r="AI10" s="100">
        <v>0.006</v>
      </c>
      <c r="AJ10" s="100">
        <v>0.507042</v>
      </c>
      <c r="AK10" s="100">
        <v>0.447368</v>
      </c>
      <c r="AL10" s="100">
        <v>0.700292</v>
      </c>
      <c r="AM10" s="100">
        <v>0.287037</v>
      </c>
      <c r="AN10" s="100">
        <v>0.372549</v>
      </c>
      <c r="AO10" s="98">
        <v>1922.2554463904314</v>
      </c>
      <c r="AP10" s="158">
        <v>1.5196389769999998</v>
      </c>
      <c r="AQ10" s="100" t="s">
        <v>562</v>
      </c>
      <c r="AR10" s="100" t="s">
        <v>562</v>
      </c>
      <c r="AS10" s="98">
        <v>512.6014523707818</v>
      </c>
      <c r="AT10" s="98" t="s">
        <v>562</v>
      </c>
      <c r="AU10" s="98" t="s">
        <v>562</v>
      </c>
      <c r="AV10" s="98">
        <v>341.73430158052116</v>
      </c>
      <c r="AW10" s="98">
        <v>341.73430158052116</v>
      </c>
      <c r="AX10" s="98">
        <v>256.3007261853909</v>
      </c>
      <c r="AY10" s="98">
        <v>811.6189662537378</v>
      </c>
      <c r="AZ10" s="98">
        <v>299.017513882956</v>
      </c>
      <c r="BA10" s="100" t="s">
        <v>562</v>
      </c>
      <c r="BB10" s="100" t="s">
        <v>562</v>
      </c>
      <c r="BC10" s="100" t="s">
        <v>562</v>
      </c>
      <c r="BD10" s="158">
        <v>1.108435135</v>
      </c>
      <c r="BE10" s="158">
        <v>2.033396606</v>
      </c>
      <c r="BF10" s="162">
        <v>142</v>
      </c>
      <c r="BG10" s="162">
        <v>38</v>
      </c>
      <c r="BH10" s="162">
        <v>684</v>
      </c>
      <c r="BI10" s="162">
        <v>108</v>
      </c>
      <c r="BJ10" s="162">
        <v>51</v>
      </c>
      <c r="BK10" s="97"/>
      <c r="BL10" s="97"/>
      <c r="BM10" s="97"/>
      <c r="BN10" s="97"/>
    </row>
    <row r="11" spans="1:66" ht="12.75">
      <c r="A11" s="79" t="s">
        <v>530</v>
      </c>
      <c r="B11" s="79" t="s">
        <v>301</v>
      </c>
      <c r="C11" s="79" t="s">
        <v>144</v>
      </c>
      <c r="D11" s="99">
        <v>4081</v>
      </c>
      <c r="E11" s="99">
        <v>739</v>
      </c>
      <c r="F11" s="99" t="s">
        <v>348</v>
      </c>
      <c r="G11" s="99">
        <v>23</v>
      </c>
      <c r="H11" s="99">
        <v>11</v>
      </c>
      <c r="I11" s="99">
        <v>39</v>
      </c>
      <c r="J11" s="99">
        <v>258</v>
      </c>
      <c r="K11" s="99">
        <v>214</v>
      </c>
      <c r="L11" s="99">
        <v>699</v>
      </c>
      <c r="M11" s="99">
        <v>129</v>
      </c>
      <c r="N11" s="99">
        <v>59</v>
      </c>
      <c r="O11" s="99">
        <v>56</v>
      </c>
      <c r="P11" s="159">
        <v>56</v>
      </c>
      <c r="Q11" s="99" t="s">
        <v>562</v>
      </c>
      <c r="R11" s="99">
        <v>17</v>
      </c>
      <c r="S11" s="99">
        <v>10</v>
      </c>
      <c r="T11" s="99">
        <v>11</v>
      </c>
      <c r="U11" s="99" t="s">
        <v>562</v>
      </c>
      <c r="V11" s="99">
        <v>8</v>
      </c>
      <c r="W11" s="99">
        <v>24</v>
      </c>
      <c r="X11" s="99">
        <v>18</v>
      </c>
      <c r="Y11" s="99">
        <v>69</v>
      </c>
      <c r="Z11" s="99">
        <v>17</v>
      </c>
      <c r="AA11" s="99" t="s">
        <v>562</v>
      </c>
      <c r="AB11" s="99" t="s">
        <v>562</v>
      </c>
      <c r="AC11" s="99" t="s">
        <v>562</v>
      </c>
      <c r="AD11" s="98" t="s">
        <v>327</v>
      </c>
      <c r="AE11" s="100">
        <v>0.1810830678755207</v>
      </c>
      <c r="AF11" s="100">
        <v>0.28</v>
      </c>
      <c r="AG11" s="98">
        <v>563.5873560401863</v>
      </c>
      <c r="AH11" s="98">
        <v>269.54177897574124</v>
      </c>
      <c r="AI11" s="100">
        <v>0.01</v>
      </c>
      <c r="AJ11" s="100">
        <v>0.572062</v>
      </c>
      <c r="AK11" s="100">
        <v>0.569149</v>
      </c>
      <c r="AL11" s="100">
        <v>0.708925</v>
      </c>
      <c r="AM11" s="100">
        <v>0.346774</v>
      </c>
      <c r="AN11" s="100">
        <v>0.355422</v>
      </c>
      <c r="AO11" s="98">
        <v>1372.21269296741</v>
      </c>
      <c r="AP11" s="158">
        <v>0.7159307098</v>
      </c>
      <c r="AQ11" s="100" t="s">
        <v>562</v>
      </c>
      <c r="AR11" s="100" t="s">
        <v>562</v>
      </c>
      <c r="AS11" s="98">
        <v>245.0379808870375</v>
      </c>
      <c r="AT11" s="98">
        <v>269.54177897574124</v>
      </c>
      <c r="AU11" s="98" t="s">
        <v>562</v>
      </c>
      <c r="AV11" s="98">
        <v>196.03038470963</v>
      </c>
      <c r="AW11" s="98">
        <v>588.09115412889</v>
      </c>
      <c r="AX11" s="98">
        <v>441.0683655966675</v>
      </c>
      <c r="AY11" s="98">
        <v>1690.7620681205588</v>
      </c>
      <c r="AZ11" s="98">
        <v>416.5645675079637</v>
      </c>
      <c r="BA11" s="100" t="s">
        <v>562</v>
      </c>
      <c r="BB11" s="100" t="s">
        <v>562</v>
      </c>
      <c r="BC11" s="100" t="s">
        <v>562</v>
      </c>
      <c r="BD11" s="158">
        <v>0.5408063889</v>
      </c>
      <c r="BE11" s="158">
        <v>0.9296955871999999</v>
      </c>
      <c r="BF11" s="162">
        <v>451</v>
      </c>
      <c r="BG11" s="162">
        <v>376</v>
      </c>
      <c r="BH11" s="162">
        <v>986</v>
      </c>
      <c r="BI11" s="162">
        <v>372</v>
      </c>
      <c r="BJ11" s="162">
        <v>166</v>
      </c>
      <c r="BK11" s="97"/>
      <c r="BL11" s="97"/>
      <c r="BM11" s="97"/>
      <c r="BN11" s="97"/>
    </row>
    <row r="12" spans="1:66" ht="12.75">
      <c r="A12" s="79" t="s">
        <v>516</v>
      </c>
      <c r="B12" s="79" t="s">
        <v>287</v>
      </c>
      <c r="C12" s="79" t="s">
        <v>144</v>
      </c>
      <c r="D12" s="99">
        <v>5920</v>
      </c>
      <c r="E12" s="99">
        <v>388</v>
      </c>
      <c r="F12" s="99" t="s">
        <v>347</v>
      </c>
      <c r="G12" s="99">
        <v>6</v>
      </c>
      <c r="H12" s="99" t="s">
        <v>562</v>
      </c>
      <c r="I12" s="99">
        <v>43</v>
      </c>
      <c r="J12" s="99">
        <v>168</v>
      </c>
      <c r="K12" s="99" t="s">
        <v>562</v>
      </c>
      <c r="L12" s="99">
        <v>921</v>
      </c>
      <c r="M12" s="99">
        <v>98</v>
      </c>
      <c r="N12" s="99">
        <v>42</v>
      </c>
      <c r="O12" s="99">
        <v>54</v>
      </c>
      <c r="P12" s="159">
        <v>54</v>
      </c>
      <c r="Q12" s="99" t="s">
        <v>562</v>
      </c>
      <c r="R12" s="99">
        <v>8</v>
      </c>
      <c r="S12" s="99">
        <v>13</v>
      </c>
      <c r="T12" s="99" t="s">
        <v>562</v>
      </c>
      <c r="U12" s="99" t="s">
        <v>562</v>
      </c>
      <c r="V12" s="99">
        <v>14</v>
      </c>
      <c r="W12" s="99">
        <v>13</v>
      </c>
      <c r="X12" s="99">
        <v>9</v>
      </c>
      <c r="Y12" s="99">
        <v>25</v>
      </c>
      <c r="Z12" s="99">
        <v>10</v>
      </c>
      <c r="AA12" s="99" t="s">
        <v>562</v>
      </c>
      <c r="AB12" s="99" t="s">
        <v>562</v>
      </c>
      <c r="AC12" s="99" t="s">
        <v>562</v>
      </c>
      <c r="AD12" s="98" t="s">
        <v>327</v>
      </c>
      <c r="AE12" s="100">
        <v>0.06554054054054054</v>
      </c>
      <c r="AF12" s="100">
        <v>0.22</v>
      </c>
      <c r="AG12" s="98">
        <v>101.35135135135135</v>
      </c>
      <c r="AH12" s="98" t="s">
        <v>562</v>
      </c>
      <c r="AI12" s="100">
        <v>0.006999999999999999</v>
      </c>
      <c r="AJ12" s="100">
        <v>0.543689</v>
      </c>
      <c r="AK12" s="100" t="s">
        <v>562</v>
      </c>
      <c r="AL12" s="100">
        <v>0.551167</v>
      </c>
      <c r="AM12" s="100">
        <v>0.342657</v>
      </c>
      <c r="AN12" s="100">
        <v>0.328125</v>
      </c>
      <c r="AO12" s="98">
        <v>912.1621621621622</v>
      </c>
      <c r="AP12" s="158">
        <v>0.7196111298</v>
      </c>
      <c r="AQ12" s="100" t="s">
        <v>562</v>
      </c>
      <c r="AR12" s="100" t="s">
        <v>562</v>
      </c>
      <c r="AS12" s="98">
        <v>219.59459459459458</v>
      </c>
      <c r="AT12" s="98" t="s">
        <v>562</v>
      </c>
      <c r="AU12" s="98" t="s">
        <v>562</v>
      </c>
      <c r="AV12" s="98">
        <v>236.48648648648648</v>
      </c>
      <c r="AW12" s="98">
        <v>219.59459459459458</v>
      </c>
      <c r="AX12" s="98">
        <v>152.02702702702703</v>
      </c>
      <c r="AY12" s="98">
        <v>422.2972972972973</v>
      </c>
      <c r="AZ12" s="98">
        <v>168.9189189189189</v>
      </c>
      <c r="BA12" s="100" t="s">
        <v>562</v>
      </c>
      <c r="BB12" s="100" t="s">
        <v>562</v>
      </c>
      <c r="BC12" s="100" t="s">
        <v>562</v>
      </c>
      <c r="BD12" s="158">
        <v>0.5405940247000001</v>
      </c>
      <c r="BE12" s="158">
        <v>0.9389364624</v>
      </c>
      <c r="BF12" s="162">
        <v>309</v>
      </c>
      <c r="BG12" s="162" t="s">
        <v>562</v>
      </c>
      <c r="BH12" s="162">
        <v>1671</v>
      </c>
      <c r="BI12" s="162">
        <v>286</v>
      </c>
      <c r="BJ12" s="162">
        <v>128</v>
      </c>
      <c r="BK12" s="97"/>
      <c r="BL12" s="97"/>
      <c r="BM12" s="97"/>
      <c r="BN12" s="97"/>
    </row>
    <row r="13" spans="1:66" ht="12.75">
      <c r="A13" s="79" t="s">
        <v>520</v>
      </c>
      <c r="B13" s="79" t="s">
        <v>291</v>
      </c>
      <c r="C13" s="79" t="s">
        <v>144</v>
      </c>
      <c r="D13" s="99">
        <v>6216</v>
      </c>
      <c r="E13" s="99">
        <v>1083</v>
      </c>
      <c r="F13" s="99" t="s">
        <v>350</v>
      </c>
      <c r="G13" s="99">
        <v>33</v>
      </c>
      <c r="H13" s="99">
        <v>17</v>
      </c>
      <c r="I13" s="99">
        <v>106</v>
      </c>
      <c r="J13" s="99">
        <v>522</v>
      </c>
      <c r="K13" s="99">
        <v>340</v>
      </c>
      <c r="L13" s="99">
        <v>1233</v>
      </c>
      <c r="M13" s="99">
        <v>330</v>
      </c>
      <c r="N13" s="99">
        <v>154</v>
      </c>
      <c r="O13" s="99">
        <v>163</v>
      </c>
      <c r="P13" s="159">
        <v>163</v>
      </c>
      <c r="Q13" s="99">
        <v>13</v>
      </c>
      <c r="R13" s="99">
        <v>42</v>
      </c>
      <c r="S13" s="99">
        <v>35</v>
      </c>
      <c r="T13" s="99">
        <v>15</v>
      </c>
      <c r="U13" s="99">
        <v>8</v>
      </c>
      <c r="V13" s="99">
        <v>37</v>
      </c>
      <c r="W13" s="99">
        <v>29</v>
      </c>
      <c r="X13" s="99">
        <v>33</v>
      </c>
      <c r="Y13" s="99">
        <v>72</v>
      </c>
      <c r="Z13" s="99">
        <v>36</v>
      </c>
      <c r="AA13" s="99" t="s">
        <v>562</v>
      </c>
      <c r="AB13" s="99" t="s">
        <v>562</v>
      </c>
      <c r="AC13" s="99" t="s">
        <v>562</v>
      </c>
      <c r="AD13" s="98" t="s">
        <v>327</v>
      </c>
      <c r="AE13" s="100">
        <v>0.17422779922779924</v>
      </c>
      <c r="AF13" s="100">
        <v>0.16</v>
      </c>
      <c r="AG13" s="98">
        <v>530.8880308880309</v>
      </c>
      <c r="AH13" s="98">
        <v>273.4877734877735</v>
      </c>
      <c r="AI13" s="100">
        <v>0.017</v>
      </c>
      <c r="AJ13" s="100">
        <v>0.691391</v>
      </c>
      <c r="AK13" s="100">
        <v>0.68</v>
      </c>
      <c r="AL13" s="100">
        <v>0.71686</v>
      </c>
      <c r="AM13" s="100">
        <v>0.503049</v>
      </c>
      <c r="AN13" s="100">
        <v>0.538462</v>
      </c>
      <c r="AO13" s="98">
        <v>2622.265122265122</v>
      </c>
      <c r="AP13" s="158">
        <v>1.351651764</v>
      </c>
      <c r="AQ13" s="100">
        <v>0.07975460122699386</v>
      </c>
      <c r="AR13" s="100">
        <v>0.30952380952380953</v>
      </c>
      <c r="AS13" s="98">
        <v>563.063063063063</v>
      </c>
      <c r="AT13" s="98">
        <v>241.3127413127413</v>
      </c>
      <c r="AU13" s="98">
        <v>128.7001287001287</v>
      </c>
      <c r="AV13" s="98">
        <v>595.2380952380952</v>
      </c>
      <c r="AW13" s="98">
        <v>466.53796653796655</v>
      </c>
      <c r="AX13" s="98">
        <v>530.8880308880309</v>
      </c>
      <c r="AY13" s="98">
        <v>1158.3011583011582</v>
      </c>
      <c r="AZ13" s="98">
        <v>579.1505791505791</v>
      </c>
      <c r="BA13" s="100" t="s">
        <v>562</v>
      </c>
      <c r="BB13" s="100" t="s">
        <v>562</v>
      </c>
      <c r="BC13" s="100" t="s">
        <v>562</v>
      </c>
      <c r="BD13" s="158">
        <v>1.152113495</v>
      </c>
      <c r="BE13" s="158">
        <v>1.5758195499999998</v>
      </c>
      <c r="BF13" s="162">
        <v>755</v>
      </c>
      <c r="BG13" s="162">
        <v>500</v>
      </c>
      <c r="BH13" s="162">
        <v>1720</v>
      </c>
      <c r="BI13" s="162">
        <v>656</v>
      </c>
      <c r="BJ13" s="162">
        <v>286</v>
      </c>
      <c r="BK13" s="97"/>
      <c r="BL13" s="97"/>
      <c r="BM13" s="97"/>
      <c r="BN13" s="97"/>
    </row>
    <row r="14" spans="1:66" ht="12.75">
      <c r="A14" s="79" t="s">
        <v>544</v>
      </c>
      <c r="B14" s="79" t="s">
        <v>315</v>
      </c>
      <c r="C14" s="79" t="s">
        <v>144</v>
      </c>
      <c r="D14" s="99">
        <v>9337</v>
      </c>
      <c r="E14" s="99">
        <v>745</v>
      </c>
      <c r="F14" s="99" t="s">
        <v>347</v>
      </c>
      <c r="G14" s="99">
        <v>29</v>
      </c>
      <c r="H14" s="99">
        <v>17</v>
      </c>
      <c r="I14" s="99">
        <v>80</v>
      </c>
      <c r="J14" s="99">
        <v>365</v>
      </c>
      <c r="K14" s="99">
        <v>189</v>
      </c>
      <c r="L14" s="99">
        <v>2010</v>
      </c>
      <c r="M14" s="99">
        <v>174</v>
      </c>
      <c r="N14" s="99">
        <v>86</v>
      </c>
      <c r="O14" s="99">
        <v>113</v>
      </c>
      <c r="P14" s="159">
        <v>113</v>
      </c>
      <c r="Q14" s="99">
        <v>7</v>
      </c>
      <c r="R14" s="99">
        <v>22</v>
      </c>
      <c r="S14" s="99">
        <v>40</v>
      </c>
      <c r="T14" s="99">
        <v>7</v>
      </c>
      <c r="U14" s="99" t="s">
        <v>562</v>
      </c>
      <c r="V14" s="99">
        <v>32</v>
      </c>
      <c r="W14" s="99">
        <v>48</v>
      </c>
      <c r="X14" s="99">
        <v>22</v>
      </c>
      <c r="Y14" s="99">
        <v>59</v>
      </c>
      <c r="Z14" s="99">
        <v>33</v>
      </c>
      <c r="AA14" s="99" t="s">
        <v>562</v>
      </c>
      <c r="AB14" s="99" t="s">
        <v>562</v>
      </c>
      <c r="AC14" s="99" t="s">
        <v>562</v>
      </c>
      <c r="AD14" s="98" t="s">
        <v>327</v>
      </c>
      <c r="AE14" s="100">
        <v>0.07979008246760201</v>
      </c>
      <c r="AF14" s="100">
        <v>0.21</v>
      </c>
      <c r="AG14" s="98">
        <v>310.5922673235515</v>
      </c>
      <c r="AH14" s="98">
        <v>182.0713291207026</v>
      </c>
      <c r="AI14" s="100">
        <v>0.009000000000000001</v>
      </c>
      <c r="AJ14" s="100">
        <v>0.61139</v>
      </c>
      <c r="AK14" s="100">
        <v>0.607717</v>
      </c>
      <c r="AL14" s="100">
        <v>0.726944</v>
      </c>
      <c r="AM14" s="100">
        <v>0.391011</v>
      </c>
      <c r="AN14" s="100">
        <v>0.401869</v>
      </c>
      <c r="AO14" s="98">
        <v>1210.2388347434937</v>
      </c>
      <c r="AP14" s="158">
        <v>0.8729323578</v>
      </c>
      <c r="AQ14" s="100">
        <v>0.061946902654867256</v>
      </c>
      <c r="AR14" s="100">
        <v>0.3181818181818182</v>
      </c>
      <c r="AS14" s="98">
        <v>428.4031273428296</v>
      </c>
      <c r="AT14" s="98">
        <v>74.97054728499518</v>
      </c>
      <c r="AU14" s="98" t="s">
        <v>562</v>
      </c>
      <c r="AV14" s="98">
        <v>342.7225018742637</v>
      </c>
      <c r="AW14" s="98">
        <v>514.0837528113955</v>
      </c>
      <c r="AX14" s="98">
        <v>235.62172003855628</v>
      </c>
      <c r="AY14" s="98">
        <v>631.8946128306736</v>
      </c>
      <c r="AZ14" s="98">
        <v>353.4325800578344</v>
      </c>
      <c r="BA14" s="100" t="s">
        <v>562</v>
      </c>
      <c r="BB14" s="100" t="s">
        <v>562</v>
      </c>
      <c r="BC14" s="100" t="s">
        <v>562</v>
      </c>
      <c r="BD14" s="158">
        <v>0.7194198608000001</v>
      </c>
      <c r="BE14" s="158">
        <v>1.049505463</v>
      </c>
      <c r="BF14" s="162">
        <v>597</v>
      </c>
      <c r="BG14" s="162">
        <v>311</v>
      </c>
      <c r="BH14" s="162">
        <v>2765</v>
      </c>
      <c r="BI14" s="162">
        <v>445</v>
      </c>
      <c r="BJ14" s="162">
        <v>214</v>
      </c>
      <c r="BK14" s="97"/>
      <c r="BL14" s="97"/>
      <c r="BM14" s="97"/>
      <c r="BN14" s="97"/>
    </row>
    <row r="15" spans="1:66" ht="12.75">
      <c r="A15" s="79" t="s">
        <v>554</v>
      </c>
      <c r="B15" s="79" t="s">
        <v>325</v>
      </c>
      <c r="C15" s="79" t="s">
        <v>144</v>
      </c>
      <c r="D15" s="99">
        <v>2185</v>
      </c>
      <c r="E15" s="99">
        <v>223</v>
      </c>
      <c r="F15" s="99" t="s">
        <v>347</v>
      </c>
      <c r="G15" s="99" t="s">
        <v>562</v>
      </c>
      <c r="H15" s="99" t="s">
        <v>562</v>
      </c>
      <c r="I15" s="99">
        <v>29</v>
      </c>
      <c r="J15" s="99">
        <v>57</v>
      </c>
      <c r="K15" s="99">
        <v>17</v>
      </c>
      <c r="L15" s="99">
        <v>351</v>
      </c>
      <c r="M15" s="99">
        <v>33</v>
      </c>
      <c r="N15" s="99">
        <v>12</v>
      </c>
      <c r="O15" s="99">
        <v>23</v>
      </c>
      <c r="P15" s="159">
        <v>23</v>
      </c>
      <c r="Q15" s="99" t="s">
        <v>562</v>
      </c>
      <c r="R15" s="99">
        <v>11</v>
      </c>
      <c r="S15" s="99" t="s">
        <v>562</v>
      </c>
      <c r="T15" s="99" t="s">
        <v>562</v>
      </c>
      <c r="U15" s="99" t="s">
        <v>562</v>
      </c>
      <c r="V15" s="99">
        <v>8</v>
      </c>
      <c r="W15" s="99" t="s">
        <v>562</v>
      </c>
      <c r="X15" s="99" t="s">
        <v>562</v>
      </c>
      <c r="Y15" s="99">
        <v>25</v>
      </c>
      <c r="Z15" s="99">
        <v>10</v>
      </c>
      <c r="AA15" s="99" t="s">
        <v>562</v>
      </c>
      <c r="AB15" s="99" t="s">
        <v>562</v>
      </c>
      <c r="AC15" s="99" t="s">
        <v>562</v>
      </c>
      <c r="AD15" s="98" t="s">
        <v>327</v>
      </c>
      <c r="AE15" s="100">
        <v>0.10205949656750572</v>
      </c>
      <c r="AF15" s="100">
        <v>0.23</v>
      </c>
      <c r="AG15" s="98" t="s">
        <v>562</v>
      </c>
      <c r="AH15" s="98" t="s">
        <v>562</v>
      </c>
      <c r="AI15" s="100">
        <v>0.013000000000000001</v>
      </c>
      <c r="AJ15" s="100">
        <v>0.452381</v>
      </c>
      <c r="AK15" s="100">
        <v>0.369565</v>
      </c>
      <c r="AL15" s="100">
        <v>0.717791</v>
      </c>
      <c r="AM15" s="100">
        <v>0.266129</v>
      </c>
      <c r="AN15" s="100">
        <v>0.218182</v>
      </c>
      <c r="AO15" s="98">
        <v>1052.6315789473683</v>
      </c>
      <c r="AP15" s="158">
        <v>0.7365906525</v>
      </c>
      <c r="AQ15" s="100" t="s">
        <v>562</v>
      </c>
      <c r="AR15" s="100" t="s">
        <v>562</v>
      </c>
      <c r="AS15" s="98" t="s">
        <v>562</v>
      </c>
      <c r="AT15" s="98" t="s">
        <v>562</v>
      </c>
      <c r="AU15" s="98" t="s">
        <v>562</v>
      </c>
      <c r="AV15" s="98">
        <v>366.13272311212813</v>
      </c>
      <c r="AW15" s="98" t="s">
        <v>562</v>
      </c>
      <c r="AX15" s="98" t="s">
        <v>562</v>
      </c>
      <c r="AY15" s="98">
        <v>1144.1647597254005</v>
      </c>
      <c r="AZ15" s="98">
        <v>457.66590389016017</v>
      </c>
      <c r="BA15" s="100" t="s">
        <v>562</v>
      </c>
      <c r="BB15" s="100" t="s">
        <v>562</v>
      </c>
      <c r="BC15" s="100" t="s">
        <v>562</v>
      </c>
      <c r="BD15" s="158">
        <v>0.4669353104</v>
      </c>
      <c r="BE15" s="158">
        <v>1.10524765</v>
      </c>
      <c r="BF15" s="162">
        <v>126</v>
      </c>
      <c r="BG15" s="162">
        <v>46</v>
      </c>
      <c r="BH15" s="162">
        <v>489</v>
      </c>
      <c r="BI15" s="162">
        <v>124</v>
      </c>
      <c r="BJ15" s="162">
        <v>55</v>
      </c>
      <c r="BK15" s="97"/>
      <c r="BL15" s="97"/>
      <c r="BM15" s="97"/>
      <c r="BN15" s="97"/>
    </row>
    <row r="16" spans="1:66" ht="12.75">
      <c r="A16" s="79" t="s">
        <v>551</v>
      </c>
      <c r="B16" s="79" t="s">
        <v>322</v>
      </c>
      <c r="C16" s="79" t="s">
        <v>144</v>
      </c>
      <c r="D16" s="99">
        <v>6678</v>
      </c>
      <c r="E16" s="99">
        <v>288</v>
      </c>
      <c r="F16" s="99" t="s">
        <v>347</v>
      </c>
      <c r="G16" s="99">
        <v>15</v>
      </c>
      <c r="H16" s="99" t="s">
        <v>562</v>
      </c>
      <c r="I16" s="99">
        <v>42</v>
      </c>
      <c r="J16" s="99">
        <v>251</v>
      </c>
      <c r="K16" s="99">
        <v>190</v>
      </c>
      <c r="L16" s="99">
        <v>1561</v>
      </c>
      <c r="M16" s="99">
        <v>90</v>
      </c>
      <c r="N16" s="99">
        <v>46</v>
      </c>
      <c r="O16" s="99">
        <v>169</v>
      </c>
      <c r="P16" s="159">
        <v>169</v>
      </c>
      <c r="Q16" s="99">
        <v>6</v>
      </c>
      <c r="R16" s="99">
        <v>11</v>
      </c>
      <c r="S16" s="99">
        <v>57</v>
      </c>
      <c r="T16" s="99">
        <v>24</v>
      </c>
      <c r="U16" s="99" t="s">
        <v>562</v>
      </c>
      <c r="V16" s="99">
        <v>37</v>
      </c>
      <c r="W16" s="99">
        <v>34</v>
      </c>
      <c r="X16" s="99">
        <v>30</v>
      </c>
      <c r="Y16" s="99">
        <v>51</v>
      </c>
      <c r="Z16" s="99">
        <v>12</v>
      </c>
      <c r="AA16" s="99" t="s">
        <v>562</v>
      </c>
      <c r="AB16" s="99" t="s">
        <v>562</v>
      </c>
      <c r="AC16" s="99" t="s">
        <v>562</v>
      </c>
      <c r="AD16" s="98" t="s">
        <v>327</v>
      </c>
      <c r="AE16" s="100">
        <v>0.0431266846361186</v>
      </c>
      <c r="AF16" s="100">
        <v>0.18</v>
      </c>
      <c r="AG16" s="98">
        <v>224.61814914645103</v>
      </c>
      <c r="AH16" s="98" t="s">
        <v>562</v>
      </c>
      <c r="AI16" s="100">
        <v>0.006</v>
      </c>
      <c r="AJ16" s="100">
        <v>0.682065</v>
      </c>
      <c r="AK16" s="100">
        <v>0.664336</v>
      </c>
      <c r="AL16" s="100">
        <v>0.698747</v>
      </c>
      <c r="AM16" s="100">
        <v>0.471204</v>
      </c>
      <c r="AN16" s="100">
        <v>0.469388</v>
      </c>
      <c r="AO16" s="98">
        <v>2530.6978137166816</v>
      </c>
      <c r="AP16" s="158">
        <v>2.134380188</v>
      </c>
      <c r="AQ16" s="100">
        <v>0.03550295857988166</v>
      </c>
      <c r="AR16" s="100">
        <v>0.5454545454545454</v>
      </c>
      <c r="AS16" s="98">
        <v>853.5489667565139</v>
      </c>
      <c r="AT16" s="98">
        <v>359.38903863432165</v>
      </c>
      <c r="AU16" s="98" t="s">
        <v>562</v>
      </c>
      <c r="AV16" s="98">
        <v>554.0581012279125</v>
      </c>
      <c r="AW16" s="98">
        <v>509.13447139862234</v>
      </c>
      <c r="AX16" s="98">
        <v>449.23629829290206</v>
      </c>
      <c r="AY16" s="98">
        <v>763.7017070979335</v>
      </c>
      <c r="AZ16" s="98">
        <v>179.69451931716083</v>
      </c>
      <c r="BA16" s="100" t="s">
        <v>562</v>
      </c>
      <c r="BB16" s="100" t="s">
        <v>562</v>
      </c>
      <c r="BC16" s="100" t="s">
        <v>562</v>
      </c>
      <c r="BD16" s="158">
        <v>1.8247109990000001</v>
      </c>
      <c r="BE16" s="158">
        <v>2.4815438839999997</v>
      </c>
      <c r="BF16" s="162">
        <v>368</v>
      </c>
      <c r="BG16" s="162">
        <v>286</v>
      </c>
      <c r="BH16" s="162">
        <v>2234</v>
      </c>
      <c r="BI16" s="162">
        <v>191</v>
      </c>
      <c r="BJ16" s="162">
        <v>98</v>
      </c>
      <c r="BK16" s="97"/>
      <c r="BL16" s="97"/>
      <c r="BM16" s="97"/>
      <c r="BN16" s="97"/>
    </row>
    <row r="17" spans="1:66" ht="12.75">
      <c r="A17" s="79" t="s">
        <v>550</v>
      </c>
      <c r="B17" s="79" t="s">
        <v>321</v>
      </c>
      <c r="C17" s="79" t="s">
        <v>144</v>
      </c>
      <c r="D17" s="99">
        <v>2015</v>
      </c>
      <c r="E17" s="99">
        <v>189</v>
      </c>
      <c r="F17" s="99" t="s">
        <v>347</v>
      </c>
      <c r="G17" s="99">
        <v>8</v>
      </c>
      <c r="H17" s="99" t="s">
        <v>562</v>
      </c>
      <c r="I17" s="99">
        <v>14</v>
      </c>
      <c r="J17" s="99">
        <v>90</v>
      </c>
      <c r="K17" s="99">
        <v>46</v>
      </c>
      <c r="L17" s="99">
        <v>288</v>
      </c>
      <c r="M17" s="99">
        <v>61</v>
      </c>
      <c r="N17" s="99">
        <v>29</v>
      </c>
      <c r="O17" s="99" t="s">
        <v>562</v>
      </c>
      <c r="P17" s="159" t="s">
        <v>562</v>
      </c>
      <c r="Q17" s="99" t="s">
        <v>562</v>
      </c>
      <c r="R17" s="99">
        <v>9</v>
      </c>
      <c r="S17" s="99" t="s">
        <v>562</v>
      </c>
      <c r="T17" s="99" t="s">
        <v>562</v>
      </c>
      <c r="U17" s="99" t="s">
        <v>562</v>
      </c>
      <c r="V17" s="99" t="s">
        <v>562</v>
      </c>
      <c r="W17" s="99">
        <v>8</v>
      </c>
      <c r="X17" s="99">
        <v>6</v>
      </c>
      <c r="Y17" s="99">
        <v>20</v>
      </c>
      <c r="Z17" s="99">
        <v>18</v>
      </c>
      <c r="AA17" s="99" t="s">
        <v>562</v>
      </c>
      <c r="AB17" s="99" t="s">
        <v>562</v>
      </c>
      <c r="AC17" s="99" t="s">
        <v>562</v>
      </c>
      <c r="AD17" s="98" t="s">
        <v>327</v>
      </c>
      <c r="AE17" s="100">
        <v>0.09379652605459057</v>
      </c>
      <c r="AF17" s="100">
        <v>0.19</v>
      </c>
      <c r="AG17" s="98">
        <v>397.0223325062035</v>
      </c>
      <c r="AH17" s="98" t="s">
        <v>562</v>
      </c>
      <c r="AI17" s="100">
        <v>0.006999999999999999</v>
      </c>
      <c r="AJ17" s="100">
        <v>0.5</v>
      </c>
      <c r="AK17" s="100">
        <v>0.484211</v>
      </c>
      <c r="AL17" s="100">
        <v>0.582996</v>
      </c>
      <c r="AM17" s="100">
        <v>0.36747</v>
      </c>
      <c r="AN17" s="100">
        <v>0.358025</v>
      </c>
      <c r="AO17" s="98" t="s">
        <v>562</v>
      </c>
      <c r="AP17" s="158" t="s">
        <v>562</v>
      </c>
      <c r="AQ17" s="100" t="s">
        <v>562</v>
      </c>
      <c r="AR17" s="100" t="s">
        <v>562</v>
      </c>
      <c r="AS17" s="98" t="s">
        <v>562</v>
      </c>
      <c r="AT17" s="98" t="s">
        <v>562</v>
      </c>
      <c r="AU17" s="98" t="s">
        <v>562</v>
      </c>
      <c r="AV17" s="98" t="s">
        <v>562</v>
      </c>
      <c r="AW17" s="98">
        <v>397.0223325062035</v>
      </c>
      <c r="AX17" s="98">
        <v>297.7667493796526</v>
      </c>
      <c r="AY17" s="98">
        <v>992.5558312655087</v>
      </c>
      <c r="AZ17" s="98">
        <v>893.3002481389578</v>
      </c>
      <c r="BA17" s="100" t="s">
        <v>562</v>
      </c>
      <c r="BB17" s="100" t="s">
        <v>562</v>
      </c>
      <c r="BC17" s="100" t="s">
        <v>562</v>
      </c>
      <c r="BD17" s="158" t="s">
        <v>562</v>
      </c>
      <c r="BE17" s="158" t="s">
        <v>562</v>
      </c>
      <c r="BF17" s="162">
        <v>180</v>
      </c>
      <c r="BG17" s="162">
        <v>95</v>
      </c>
      <c r="BH17" s="162">
        <v>494</v>
      </c>
      <c r="BI17" s="162">
        <v>166</v>
      </c>
      <c r="BJ17" s="162">
        <v>81</v>
      </c>
      <c r="BK17" s="97"/>
      <c r="BL17" s="97"/>
      <c r="BM17" s="97"/>
      <c r="BN17" s="97"/>
    </row>
    <row r="18" spans="1:66" ht="12.75">
      <c r="A18" s="79" t="s">
        <v>532</v>
      </c>
      <c r="B18" s="79" t="s">
        <v>303</v>
      </c>
      <c r="C18" s="79" t="s">
        <v>144</v>
      </c>
      <c r="D18" s="99">
        <v>5707</v>
      </c>
      <c r="E18" s="99">
        <v>559</v>
      </c>
      <c r="F18" s="99" t="s">
        <v>347</v>
      </c>
      <c r="G18" s="99">
        <v>25</v>
      </c>
      <c r="H18" s="99">
        <v>8</v>
      </c>
      <c r="I18" s="99">
        <v>67</v>
      </c>
      <c r="J18" s="99">
        <v>280</v>
      </c>
      <c r="K18" s="99">
        <v>117</v>
      </c>
      <c r="L18" s="99">
        <v>1069</v>
      </c>
      <c r="M18" s="99">
        <v>145</v>
      </c>
      <c r="N18" s="99">
        <v>73</v>
      </c>
      <c r="O18" s="99">
        <v>62</v>
      </c>
      <c r="P18" s="159">
        <v>62</v>
      </c>
      <c r="Q18" s="99">
        <v>6</v>
      </c>
      <c r="R18" s="99">
        <v>20</v>
      </c>
      <c r="S18" s="99">
        <v>23</v>
      </c>
      <c r="T18" s="99">
        <v>7</v>
      </c>
      <c r="U18" s="99" t="s">
        <v>562</v>
      </c>
      <c r="V18" s="99" t="s">
        <v>562</v>
      </c>
      <c r="W18" s="99">
        <v>26</v>
      </c>
      <c r="X18" s="99">
        <v>17</v>
      </c>
      <c r="Y18" s="99">
        <v>46</v>
      </c>
      <c r="Z18" s="99">
        <v>17</v>
      </c>
      <c r="AA18" s="99" t="s">
        <v>562</v>
      </c>
      <c r="AB18" s="99" t="s">
        <v>562</v>
      </c>
      <c r="AC18" s="99" t="s">
        <v>562</v>
      </c>
      <c r="AD18" s="98" t="s">
        <v>327</v>
      </c>
      <c r="AE18" s="100">
        <v>0.0979498861047836</v>
      </c>
      <c r="AF18" s="100">
        <v>0.21</v>
      </c>
      <c r="AG18" s="98">
        <v>438.05852461888907</v>
      </c>
      <c r="AH18" s="98">
        <v>140.1787278780445</v>
      </c>
      <c r="AI18" s="100">
        <v>0.012</v>
      </c>
      <c r="AJ18" s="100">
        <v>0.59448</v>
      </c>
      <c r="AK18" s="100">
        <v>0.612565</v>
      </c>
      <c r="AL18" s="100">
        <v>0.666044</v>
      </c>
      <c r="AM18" s="100">
        <v>0.358025</v>
      </c>
      <c r="AN18" s="100">
        <v>0.405556</v>
      </c>
      <c r="AO18" s="98">
        <v>1086.385141054845</v>
      </c>
      <c r="AP18" s="158">
        <v>0.7190074158</v>
      </c>
      <c r="AQ18" s="100">
        <v>0.0967741935483871</v>
      </c>
      <c r="AR18" s="100">
        <v>0.3</v>
      </c>
      <c r="AS18" s="98">
        <v>403.013842649378</v>
      </c>
      <c r="AT18" s="98">
        <v>122.65638689328894</v>
      </c>
      <c r="AU18" s="98" t="s">
        <v>562</v>
      </c>
      <c r="AV18" s="98" t="s">
        <v>562</v>
      </c>
      <c r="AW18" s="98">
        <v>455.58086560364467</v>
      </c>
      <c r="AX18" s="98">
        <v>297.8797967408446</v>
      </c>
      <c r="AY18" s="98">
        <v>806.027685298756</v>
      </c>
      <c r="AZ18" s="98">
        <v>297.8797967408446</v>
      </c>
      <c r="BA18" s="101" t="s">
        <v>562</v>
      </c>
      <c r="BB18" s="101" t="s">
        <v>562</v>
      </c>
      <c r="BC18" s="101" t="s">
        <v>562</v>
      </c>
      <c r="BD18" s="158">
        <v>0.5512588882</v>
      </c>
      <c r="BE18" s="158">
        <v>0.9217350768999999</v>
      </c>
      <c r="BF18" s="162">
        <v>471</v>
      </c>
      <c r="BG18" s="162">
        <v>191</v>
      </c>
      <c r="BH18" s="162">
        <v>1605</v>
      </c>
      <c r="BI18" s="162">
        <v>405</v>
      </c>
      <c r="BJ18" s="162">
        <v>180</v>
      </c>
      <c r="BK18" s="97"/>
      <c r="BL18" s="97"/>
      <c r="BM18" s="97"/>
      <c r="BN18" s="97"/>
    </row>
    <row r="19" spans="1:66" ht="12.75">
      <c r="A19" s="79" t="s">
        <v>537</v>
      </c>
      <c r="B19" s="79" t="s">
        <v>308</v>
      </c>
      <c r="C19" s="79" t="s">
        <v>144</v>
      </c>
      <c r="D19" s="99">
        <v>4565</v>
      </c>
      <c r="E19" s="99">
        <v>266</v>
      </c>
      <c r="F19" s="99" t="s">
        <v>347</v>
      </c>
      <c r="G19" s="99">
        <v>9</v>
      </c>
      <c r="H19" s="99" t="s">
        <v>562</v>
      </c>
      <c r="I19" s="99">
        <v>17</v>
      </c>
      <c r="J19" s="99">
        <v>156</v>
      </c>
      <c r="K19" s="99">
        <v>96</v>
      </c>
      <c r="L19" s="99">
        <v>891</v>
      </c>
      <c r="M19" s="99">
        <v>72</v>
      </c>
      <c r="N19" s="99">
        <v>29</v>
      </c>
      <c r="O19" s="99">
        <v>41</v>
      </c>
      <c r="P19" s="159">
        <v>41</v>
      </c>
      <c r="Q19" s="99" t="s">
        <v>562</v>
      </c>
      <c r="R19" s="99">
        <v>9</v>
      </c>
      <c r="S19" s="99">
        <v>18</v>
      </c>
      <c r="T19" s="99" t="s">
        <v>562</v>
      </c>
      <c r="U19" s="99" t="s">
        <v>562</v>
      </c>
      <c r="V19" s="99">
        <v>12</v>
      </c>
      <c r="W19" s="99">
        <v>18</v>
      </c>
      <c r="X19" s="99">
        <v>13</v>
      </c>
      <c r="Y19" s="99">
        <v>23</v>
      </c>
      <c r="Z19" s="99" t="s">
        <v>562</v>
      </c>
      <c r="AA19" s="99" t="s">
        <v>562</v>
      </c>
      <c r="AB19" s="99" t="s">
        <v>562</v>
      </c>
      <c r="AC19" s="99" t="s">
        <v>562</v>
      </c>
      <c r="AD19" s="98" t="s">
        <v>327</v>
      </c>
      <c r="AE19" s="100">
        <v>0.058269441401971524</v>
      </c>
      <c r="AF19" s="100">
        <v>0.18</v>
      </c>
      <c r="AG19" s="98">
        <v>197.15224534501644</v>
      </c>
      <c r="AH19" s="98" t="s">
        <v>562</v>
      </c>
      <c r="AI19" s="100">
        <v>0.004</v>
      </c>
      <c r="AJ19" s="100">
        <v>0.539792</v>
      </c>
      <c r="AK19" s="100">
        <v>0.568047</v>
      </c>
      <c r="AL19" s="100">
        <v>0.625702</v>
      </c>
      <c r="AM19" s="100">
        <v>0.389189</v>
      </c>
      <c r="AN19" s="100">
        <v>0.386667</v>
      </c>
      <c r="AO19" s="98">
        <v>898.1380065717415</v>
      </c>
      <c r="AP19" s="158">
        <v>0.6853033447</v>
      </c>
      <c r="AQ19" s="100" t="s">
        <v>562</v>
      </c>
      <c r="AR19" s="100" t="s">
        <v>562</v>
      </c>
      <c r="AS19" s="98">
        <v>394.3044906900329</v>
      </c>
      <c r="AT19" s="98" t="s">
        <v>562</v>
      </c>
      <c r="AU19" s="98" t="s">
        <v>562</v>
      </c>
      <c r="AV19" s="98">
        <v>262.8696604600219</v>
      </c>
      <c r="AW19" s="98">
        <v>394.3044906900329</v>
      </c>
      <c r="AX19" s="98">
        <v>284.77546549835705</v>
      </c>
      <c r="AY19" s="98">
        <v>503.83351588170865</v>
      </c>
      <c r="AZ19" s="98" t="s">
        <v>562</v>
      </c>
      <c r="BA19" s="100" t="s">
        <v>562</v>
      </c>
      <c r="BB19" s="100" t="s">
        <v>562</v>
      </c>
      <c r="BC19" s="100" t="s">
        <v>562</v>
      </c>
      <c r="BD19" s="158">
        <v>0.4917855453</v>
      </c>
      <c r="BE19" s="158">
        <v>0.9296913910000001</v>
      </c>
      <c r="BF19" s="162">
        <v>289</v>
      </c>
      <c r="BG19" s="162">
        <v>169</v>
      </c>
      <c r="BH19" s="162">
        <v>1424</v>
      </c>
      <c r="BI19" s="162">
        <v>185</v>
      </c>
      <c r="BJ19" s="162">
        <v>75</v>
      </c>
      <c r="BK19" s="97"/>
      <c r="BL19" s="97"/>
      <c r="BM19" s="97"/>
      <c r="BN19" s="97"/>
    </row>
    <row r="20" spans="1:66" ht="12.75">
      <c r="A20" s="79" t="s">
        <v>525</v>
      </c>
      <c r="B20" s="79" t="s">
        <v>296</v>
      </c>
      <c r="C20" s="79" t="s">
        <v>144</v>
      </c>
      <c r="D20" s="99">
        <v>10121</v>
      </c>
      <c r="E20" s="99">
        <v>1494</v>
      </c>
      <c r="F20" s="99" t="s">
        <v>349</v>
      </c>
      <c r="G20" s="99">
        <v>43</v>
      </c>
      <c r="H20" s="99">
        <v>19</v>
      </c>
      <c r="I20" s="99">
        <v>192</v>
      </c>
      <c r="J20" s="99">
        <v>696</v>
      </c>
      <c r="K20" s="99">
        <v>245</v>
      </c>
      <c r="L20" s="99">
        <v>2340</v>
      </c>
      <c r="M20" s="99">
        <v>446</v>
      </c>
      <c r="N20" s="99">
        <v>196</v>
      </c>
      <c r="O20" s="99">
        <v>161</v>
      </c>
      <c r="P20" s="159">
        <v>161</v>
      </c>
      <c r="Q20" s="99">
        <v>18</v>
      </c>
      <c r="R20" s="99">
        <v>37</v>
      </c>
      <c r="S20" s="99">
        <v>37</v>
      </c>
      <c r="T20" s="99">
        <v>39</v>
      </c>
      <c r="U20" s="99">
        <v>6</v>
      </c>
      <c r="V20" s="99">
        <v>34</v>
      </c>
      <c r="W20" s="99">
        <v>52</v>
      </c>
      <c r="X20" s="99">
        <v>39</v>
      </c>
      <c r="Y20" s="99">
        <v>69</v>
      </c>
      <c r="Z20" s="99">
        <v>36</v>
      </c>
      <c r="AA20" s="99" t="s">
        <v>562</v>
      </c>
      <c r="AB20" s="99" t="s">
        <v>562</v>
      </c>
      <c r="AC20" s="99" t="s">
        <v>562</v>
      </c>
      <c r="AD20" s="98" t="s">
        <v>327</v>
      </c>
      <c r="AE20" s="100">
        <v>0.14761387214702104</v>
      </c>
      <c r="AF20" s="100">
        <v>0.12</v>
      </c>
      <c r="AG20" s="98">
        <v>424.85920363600434</v>
      </c>
      <c r="AH20" s="98">
        <v>187.72848532753682</v>
      </c>
      <c r="AI20" s="100">
        <v>0.019</v>
      </c>
      <c r="AJ20" s="100">
        <v>0.689792</v>
      </c>
      <c r="AK20" s="100">
        <v>0.660377</v>
      </c>
      <c r="AL20" s="100">
        <v>0.766962</v>
      </c>
      <c r="AM20" s="100">
        <v>0.471459</v>
      </c>
      <c r="AN20" s="100">
        <v>0.479218</v>
      </c>
      <c r="AO20" s="98">
        <v>1590.7519019859697</v>
      </c>
      <c r="AP20" s="158">
        <v>0.8857769775</v>
      </c>
      <c r="AQ20" s="100">
        <v>0.11180124223602485</v>
      </c>
      <c r="AR20" s="100">
        <v>0.4864864864864865</v>
      </c>
      <c r="AS20" s="98">
        <v>365.57652405888746</v>
      </c>
      <c r="AT20" s="98">
        <v>385.33741725125975</v>
      </c>
      <c r="AU20" s="98">
        <v>59.28267957711689</v>
      </c>
      <c r="AV20" s="98">
        <v>335.93518427032905</v>
      </c>
      <c r="AW20" s="98">
        <v>513.7832230016796</v>
      </c>
      <c r="AX20" s="98">
        <v>385.33741725125975</v>
      </c>
      <c r="AY20" s="98">
        <v>681.7508151368442</v>
      </c>
      <c r="AZ20" s="98">
        <v>355.69607746270134</v>
      </c>
      <c r="BA20" s="100" t="s">
        <v>562</v>
      </c>
      <c r="BB20" s="100" t="s">
        <v>562</v>
      </c>
      <c r="BC20" s="100" t="s">
        <v>562</v>
      </c>
      <c r="BD20" s="158">
        <v>0.7542369843</v>
      </c>
      <c r="BE20" s="158">
        <v>1.033660583</v>
      </c>
      <c r="BF20" s="162">
        <v>1009</v>
      </c>
      <c r="BG20" s="162">
        <v>371</v>
      </c>
      <c r="BH20" s="162">
        <v>3051</v>
      </c>
      <c r="BI20" s="162">
        <v>946</v>
      </c>
      <c r="BJ20" s="162">
        <v>409</v>
      </c>
      <c r="BK20" s="97"/>
      <c r="BL20" s="97"/>
      <c r="BM20" s="97"/>
      <c r="BN20" s="97"/>
    </row>
    <row r="21" spans="1:66" ht="12.75">
      <c r="A21" s="79" t="s">
        <v>545</v>
      </c>
      <c r="B21" s="79" t="s">
        <v>316</v>
      </c>
      <c r="C21" s="79" t="s">
        <v>144</v>
      </c>
      <c r="D21" s="99">
        <v>2278</v>
      </c>
      <c r="E21" s="99">
        <v>349</v>
      </c>
      <c r="F21" s="99" t="s">
        <v>347</v>
      </c>
      <c r="G21" s="99">
        <v>10</v>
      </c>
      <c r="H21" s="99">
        <v>9</v>
      </c>
      <c r="I21" s="99">
        <v>33</v>
      </c>
      <c r="J21" s="99">
        <v>147</v>
      </c>
      <c r="K21" s="99">
        <v>95</v>
      </c>
      <c r="L21" s="99">
        <v>356</v>
      </c>
      <c r="M21" s="99">
        <v>86</v>
      </c>
      <c r="N21" s="99">
        <v>42</v>
      </c>
      <c r="O21" s="99">
        <v>46</v>
      </c>
      <c r="P21" s="159">
        <v>46</v>
      </c>
      <c r="Q21" s="99" t="s">
        <v>562</v>
      </c>
      <c r="R21" s="99">
        <v>13</v>
      </c>
      <c r="S21" s="99">
        <v>13</v>
      </c>
      <c r="T21" s="99">
        <v>8</v>
      </c>
      <c r="U21" s="99" t="s">
        <v>562</v>
      </c>
      <c r="V21" s="99">
        <v>6</v>
      </c>
      <c r="W21" s="99">
        <v>9</v>
      </c>
      <c r="X21" s="99">
        <v>12</v>
      </c>
      <c r="Y21" s="99">
        <v>16</v>
      </c>
      <c r="Z21" s="99">
        <v>15</v>
      </c>
      <c r="AA21" s="99" t="s">
        <v>562</v>
      </c>
      <c r="AB21" s="99" t="s">
        <v>562</v>
      </c>
      <c r="AC21" s="99" t="s">
        <v>562</v>
      </c>
      <c r="AD21" s="98" t="s">
        <v>327</v>
      </c>
      <c r="AE21" s="100">
        <v>0.15320456540825286</v>
      </c>
      <c r="AF21" s="100">
        <v>0.2</v>
      </c>
      <c r="AG21" s="98">
        <v>438.98156277436345</v>
      </c>
      <c r="AH21" s="98">
        <v>395.0834064969271</v>
      </c>
      <c r="AI21" s="100">
        <v>0.013999999999999999</v>
      </c>
      <c r="AJ21" s="100">
        <v>0.625532</v>
      </c>
      <c r="AK21" s="100">
        <v>0.612903</v>
      </c>
      <c r="AL21" s="100">
        <v>0.570513</v>
      </c>
      <c r="AM21" s="100">
        <v>0.394495</v>
      </c>
      <c r="AN21" s="100">
        <v>0.43299</v>
      </c>
      <c r="AO21" s="98">
        <v>2019.315188762072</v>
      </c>
      <c r="AP21" s="158">
        <v>1.140479813</v>
      </c>
      <c r="AQ21" s="100" t="s">
        <v>562</v>
      </c>
      <c r="AR21" s="100" t="s">
        <v>562</v>
      </c>
      <c r="AS21" s="98">
        <v>570.6760316066725</v>
      </c>
      <c r="AT21" s="98">
        <v>351.1852502194908</v>
      </c>
      <c r="AU21" s="98" t="s">
        <v>562</v>
      </c>
      <c r="AV21" s="98">
        <v>263.3889376646181</v>
      </c>
      <c r="AW21" s="98">
        <v>395.0834064969271</v>
      </c>
      <c r="AX21" s="98">
        <v>526.7778753292362</v>
      </c>
      <c r="AY21" s="98">
        <v>702.3705004389816</v>
      </c>
      <c r="AZ21" s="98">
        <v>658.4723441615453</v>
      </c>
      <c r="BA21" s="100" t="s">
        <v>562</v>
      </c>
      <c r="BB21" s="100" t="s">
        <v>562</v>
      </c>
      <c r="BC21" s="100" t="s">
        <v>562</v>
      </c>
      <c r="BD21" s="158">
        <v>0.8349745941000001</v>
      </c>
      <c r="BE21" s="158">
        <v>1.521240234</v>
      </c>
      <c r="BF21" s="162">
        <v>235</v>
      </c>
      <c r="BG21" s="162">
        <v>155</v>
      </c>
      <c r="BH21" s="162">
        <v>624</v>
      </c>
      <c r="BI21" s="162">
        <v>218</v>
      </c>
      <c r="BJ21" s="162">
        <v>97</v>
      </c>
      <c r="BK21" s="97"/>
      <c r="BL21" s="97"/>
      <c r="BM21" s="97"/>
      <c r="BN21" s="97"/>
    </row>
    <row r="22" spans="1:66" ht="12.75">
      <c r="A22" s="79" t="s">
        <v>514</v>
      </c>
      <c r="B22" s="79" t="s">
        <v>285</v>
      </c>
      <c r="C22" s="79" t="s">
        <v>144</v>
      </c>
      <c r="D22" s="99">
        <v>5286</v>
      </c>
      <c r="E22" s="99">
        <v>509</v>
      </c>
      <c r="F22" s="99" t="s">
        <v>347</v>
      </c>
      <c r="G22" s="99">
        <v>6</v>
      </c>
      <c r="H22" s="99" t="s">
        <v>562</v>
      </c>
      <c r="I22" s="99">
        <v>36</v>
      </c>
      <c r="J22" s="99">
        <v>179</v>
      </c>
      <c r="K22" s="99">
        <v>54</v>
      </c>
      <c r="L22" s="99">
        <v>843</v>
      </c>
      <c r="M22" s="99">
        <v>94</v>
      </c>
      <c r="N22" s="99">
        <v>46</v>
      </c>
      <c r="O22" s="99">
        <v>43</v>
      </c>
      <c r="P22" s="159">
        <v>43</v>
      </c>
      <c r="Q22" s="99" t="s">
        <v>562</v>
      </c>
      <c r="R22" s="99">
        <v>8</v>
      </c>
      <c r="S22" s="99">
        <v>23</v>
      </c>
      <c r="T22" s="99" t="s">
        <v>562</v>
      </c>
      <c r="U22" s="99" t="s">
        <v>562</v>
      </c>
      <c r="V22" s="99" t="s">
        <v>562</v>
      </c>
      <c r="W22" s="99">
        <v>15</v>
      </c>
      <c r="X22" s="99">
        <v>11</v>
      </c>
      <c r="Y22" s="99">
        <v>51</v>
      </c>
      <c r="Z22" s="99">
        <v>12</v>
      </c>
      <c r="AA22" s="99" t="s">
        <v>562</v>
      </c>
      <c r="AB22" s="99" t="s">
        <v>562</v>
      </c>
      <c r="AC22" s="99" t="s">
        <v>562</v>
      </c>
      <c r="AD22" s="98" t="s">
        <v>327</v>
      </c>
      <c r="AE22" s="100">
        <v>0.0962920923193341</v>
      </c>
      <c r="AF22" s="100">
        <v>0.23</v>
      </c>
      <c r="AG22" s="98">
        <v>113.50737797956867</v>
      </c>
      <c r="AH22" s="98" t="s">
        <v>562</v>
      </c>
      <c r="AI22" s="100">
        <v>0.006999999999999999</v>
      </c>
      <c r="AJ22" s="100">
        <v>0.479893</v>
      </c>
      <c r="AK22" s="100">
        <v>0.397059</v>
      </c>
      <c r="AL22" s="100">
        <v>0.6263</v>
      </c>
      <c r="AM22" s="100">
        <v>0.294671</v>
      </c>
      <c r="AN22" s="100">
        <v>0.328571</v>
      </c>
      <c r="AO22" s="98">
        <v>813.4695421869088</v>
      </c>
      <c r="AP22" s="158">
        <v>0.5513708496</v>
      </c>
      <c r="AQ22" s="100" t="s">
        <v>562</v>
      </c>
      <c r="AR22" s="100" t="s">
        <v>562</v>
      </c>
      <c r="AS22" s="98">
        <v>435.1116155883466</v>
      </c>
      <c r="AT22" s="98" t="s">
        <v>562</v>
      </c>
      <c r="AU22" s="98" t="s">
        <v>562</v>
      </c>
      <c r="AV22" s="98" t="s">
        <v>562</v>
      </c>
      <c r="AW22" s="98">
        <v>283.7684449489217</v>
      </c>
      <c r="AX22" s="98">
        <v>208.09685962920923</v>
      </c>
      <c r="AY22" s="98">
        <v>964.8127128263337</v>
      </c>
      <c r="AZ22" s="98">
        <v>227.01475595913735</v>
      </c>
      <c r="BA22" s="100" t="s">
        <v>562</v>
      </c>
      <c r="BB22" s="100" t="s">
        <v>562</v>
      </c>
      <c r="BC22" s="100" t="s">
        <v>562</v>
      </c>
      <c r="BD22" s="158">
        <v>0.39902980800000004</v>
      </c>
      <c r="BE22" s="158">
        <v>0.7426929474</v>
      </c>
      <c r="BF22" s="162">
        <v>373</v>
      </c>
      <c r="BG22" s="162">
        <v>136</v>
      </c>
      <c r="BH22" s="162">
        <v>1346</v>
      </c>
      <c r="BI22" s="162">
        <v>319</v>
      </c>
      <c r="BJ22" s="162">
        <v>140</v>
      </c>
      <c r="BK22" s="97"/>
      <c r="BL22" s="97"/>
      <c r="BM22" s="97"/>
      <c r="BN22" s="97"/>
    </row>
    <row r="23" spans="1:66" ht="12.75">
      <c r="A23" s="79" t="s">
        <v>536</v>
      </c>
      <c r="B23" s="79" t="s">
        <v>307</v>
      </c>
      <c r="C23" s="79" t="s">
        <v>144</v>
      </c>
      <c r="D23" s="99">
        <v>2611</v>
      </c>
      <c r="E23" s="99">
        <v>314</v>
      </c>
      <c r="F23" s="99" t="s">
        <v>348</v>
      </c>
      <c r="G23" s="99">
        <v>13</v>
      </c>
      <c r="H23" s="99">
        <v>6</v>
      </c>
      <c r="I23" s="99">
        <v>32</v>
      </c>
      <c r="J23" s="99">
        <v>120</v>
      </c>
      <c r="K23" s="99">
        <v>52</v>
      </c>
      <c r="L23" s="99">
        <v>493</v>
      </c>
      <c r="M23" s="99">
        <v>66</v>
      </c>
      <c r="N23" s="99">
        <v>27</v>
      </c>
      <c r="O23" s="99">
        <v>48</v>
      </c>
      <c r="P23" s="159">
        <v>48</v>
      </c>
      <c r="Q23" s="99" t="s">
        <v>562</v>
      </c>
      <c r="R23" s="99" t="s">
        <v>562</v>
      </c>
      <c r="S23" s="99">
        <v>12</v>
      </c>
      <c r="T23" s="99">
        <v>6</v>
      </c>
      <c r="U23" s="99" t="s">
        <v>562</v>
      </c>
      <c r="V23" s="99">
        <v>19</v>
      </c>
      <c r="W23" s="99">
        <v>7</v>
      </c>
      <c r="X23" s="99">
        <v>11</v>
      </c>
      <c r="Y23" s="99">
        <v>16</v>
      </c>
      <c r="Z23" s="99">
        <v>13</v>
      </c>
      <c r="AA23" s="99" t="s">
        <v>562</v>
      </c>
      <c r="AB23" s="99" t="s">
        <v>562</v>
      </c>
      <c r="AC23" s="99" t="s">
        <v>562</v>
      </c>
      <c r="AD23" s="98" t="s">
        <v>327</v>
      </c>
      <c r="AE23" s="100">
        <v>0.12026043661432402</v>
      </c>
      <c r="AF23" s="100">
        <v>0.25</v>
      </c>
      <c r="AG23" s="98">
        <v>497.893527384144</v>
      </c>
      <c r="AH23" s="98">
        <v>229.7970126388357</v>
      </c>
      <c r="AI23" s="100">
        <v>0.012</v>
      </c>
      <c r="AJ23" s="100">
        <v>0.56872</v>
      </c>
      <c r="AK23" s="100">
        <v>0.553191</v>
      </c>
      <c r="AL23" s="100">
        <v>0.74247</v>
      </c>
      <c r="AM23" s="100">
        <v>0.354839</v>
      </c>
      <c r="AN23" s="100">
        <v>0.380282</v>
      </c>
      <c r="AO23" s="98">
        <v>1838.3761011106856</v>
      </c>
      <c r="AP23" s="158">
        <v>1.171069794</v>
      </c>
      <c r="AQ23" s="100" t="s">
        <v>562</v>
      </c>
      <c r="AR23" s="100" t="s">
        <v>562</v>
      </c>
      <c r="AS23" s="98">
        <v>459.5940252776714</v>
      </c>
      <c r="AT23" s="98">
        <v>229.7970126388357</v>
      </c>
      <c r="AU23" s="98" t="s">
        <v>562</v>
      </c>
      <c r="AV23" s="98">
        <v>727.6905400229797</v>
      </c>
      <c r="AW23" s="98">
        <v>268.0965147453083</v>
      </c>
      <c r="AX23" s="98">
        <v>421.29452317119876</v>
      </c>
      <c r="AY23" s="98">
        <v>612.7920337035619</v>
      </c>
      <c r="AZ23" s="98">
        <v>497.893527384144</v>
      </c>
      <c r="BA23" s="100" t="s">
        <v>562</v>
      </c>
      <c r="BB23" s="100" t="s">
        <v>562</v>
      </c>
      <c r="BC23" s="100" t="s">
        <v>562</v>
      </c>
      <c r="BD23" s="158">
        <v>0.8634544373</v>
      </c>
      <c r="BE23" s="158">
        <v>1.55266861</v>
      </c>
      <c r="BF23" s="162">
        <v>211</v>
      </c>
      <c r="BG23" s="162">
        <v>94</v>
      </c>
      <c r="BH23" s="162">
        <v>664</v>
      </c>
      <c r="BI23" s="162">
        <v>186</v>
      </c>
      <c r="BJ23" s="162">
        <v>71</v>
      </c>
      <c r="BK23" s="97"/>
      <c r="BL23" s="97"/>
      <c r="BM23" s="97"/>
      <c r="BN23" s="97"/>
    </row>
    <row r="24" spans="1:66" ht="12.75">
      <c r="A24" s="79" t="s">
        <v>543</v>
      </c>
      <c r="B24" s="79" t="s">
        <v>314</v>
      </c>
      <c r="C24" s="79" t="s">
        <v>144</v>
      </c>
      <c r="D24" s="99">
        <v>1739</v>
      </c>
      <c r="E24" s="99">
        <v>175</v>
      </c>
      <c r="F24" s="99" t="s">
        <v>347</v>
      </c>
      <c r="G24" s="99" t="s">
        <v>562</v>
      </c>
      <c r="H24" s="99" t="s">
        <v>562</v>
      </c>
      <c r="I24" s="99">
        <v>14</v>
      </c>
      <c r="J24" s="99">
        <v>60</v>
      </c>
      <c r="K24" s="99">
        <v>44</v>
      </c>
      <c r="L24" s="99">
        <v>234</v>
      </c>
      <c r="M24" s="99">
        <v>35</v>
      </c>
      <c r="N24" s="99">
        <v>20</v>
      </c>
      <c r="O24" s="99" t="s">
        <v>562</v>
      </c>
      <c r="P24" s="159" t="s">
        <v>562</v>
      </c>
      <c r="Q24" s="99" t="s">
        <v>562</v>
      </c>
      <c r="R24" s="99" t="s">
        <v>562</v>
      </c>
      <c r="S24" s="99" t="s">
        <v>562</v>
      </c>
      <c r="T24" s="99" t="s">
        <v>562</v>
      </c>
      <c r="U24" s="99" t="s">
        <v>562</v>
      </c>
      <c r="V24" s="99" t="s">
        <v>562</v>
      </c>
      <c r="W24" s="99">
        <v>9</v>
      </c>
      <c r="X24" s="99" t="s">
        <v>562</v>
      </c>
      <c r="Y24" s="99">
        <v>14</v>
      </c>
      <c r="Z24" s="99" t="s">
        <v>562</v>
      </c>
      <c r="AA24" s="99" t="s">
        <v>562</v>
      </c>
      <c r="AB24" s="99" t="s">
        <v>562</v>
      </c>
      <c r="AC24" s="99" t="s">
        <v>562</v>
      </c>
      <c r="AD24" s="98" t="s">
        <v>327</v>
      </c>
      <c r="AE24" s="100">
        <v>0.10063254744105808</v>
      </c>
      <c r="AF24" s="100">
        <v>0.23</v>
      </c>
      <c r="AG24" s="98" t="s">
        <v>562</v>
      </c>
      <c r="AH24" s="98" t="s">
        <v>562</v>
      </c>
      <c r="AI24" s="100">
        <v>0.008</v>
      </c>
      <c r="AJ24" s="100">
        <v>0.588235</v>
      </c>
      <c r="AK24" s="100">
        <v>0.556962</v>
      </c>
      <c r="AL24" s="100">
        <v>0.624</v>
      </c>
      <c r="AM24" s="100">
        <v>0.286885</v>
      </c>
      <c r="AN24" s="100">
        <v>0.327869</v>
      </c>
      <c r="AO24" s="98" t="s">
        <v>562</v>
      </c>
      <c r="AP24" s="158" t="s">
        <v>562</v>
      </c>
      <c r="AQ24" s="100" t="s">
        <v>562</v>
      </c>
      <c r="AR24" s="100" t="s">
        <v>562</v>
      </c>
      <c r="AS24" s="98" t="s">
        <v>562</v>
      </c>
      <c r="AT24" s="98" t="s">
        <v>562</v>
      </c>
      <c r="AU24" s="98" t="s">
        <v>562</v>
      </c>
      <c r="AV24" s="98" t="s">
        <v>562</v>
      </c>
      <c r="AW24" s="98">
        <v>517.5388154111558</v>
      </c>
      <c r="AX24" s="98" t="s">
        <v>562</v>
      </c>
      <c r="AY24" s="98">
        <v>805.0603795284646</v>
      </c>
      <c r="AZ24" s="98" t="s">
        <v>562</v>
      </c>
      <c r="BA24" s="100" t="s">
        <v>562</v>
      </c>
      <c r="BB24" s="100" t="s">
        <v>562</v>
      </c>
      <c r="BC24" s="100" t="s">
        <v>562</v>
      </c>
      <c r="BD24" s="158" t="s">
        <v>562</v>
      </c>
      <c r="BE24" s="158" t="s">
        <v>562</v>
      </c>
      <c r="BF24" s="162">
        <v>102</v>
      </c>
      <c r="BG24" s="162">
        <v>79</v>
      </c>
      <c r="BH24" s="162">
        <v>375</v>
      </c>
      <c r="BI24" s="162">
        <v>122</v>
      </c>
      <c r="BJ24" s="162">
        <v>61</v>
      </c>
      <c r="BK24" s="97"/>
      <c r="BL24" s="97"/>
      <c r="BM24" s="97"/>
      <c r="BN24" s="97"/>
    </row>
    <row r="25" spans="1:66" ht="12.75">
      <c r="A25" s="79" t="s">
        <v>533</v>
      </c>
      <c r="B25" s="79" t="s">
        <v>304</v>
      </c>
      <c r="C25" s="79" t="s">
        <v>144</v>
      </c>
      <c r="D25" s="99">
        <v>8265</v>
      </c>
      <c r="E25" s="99">
        <v>397</v>
      </c>
      <c r="F25" s="99" t="s">
        <v>348</v>
      </c>
      <c r="G25" s="99">
        <v>13</v>
      </c>
      <c r="H25" s="99" t="s">
        <v>562</v>
      </c>
      <c r="I25" s="99">
        <v>55</v>
      </c>
      <c r="J25" s="99">
        <v>221</v>
      </c>
      <c r="K25" s="99" t="s">
        <v>562</v>
      </c>
      <c r="L25" s="99">
        <v>1563</v>
      </c>
      <c r="M25" s="99">
        <v>111</v>
      </c>
      <c r="N25" s="99">
        <v>56</v>
      </c>
      <c r="O25" s="99">
        <v>126</v>
      </c>
      <c r="P25" s="159">
        <v>126</v>
      </c>
      <c r="Q25" s="99">
        <v>8</v>
      </c>
      <c r="R25" s="99">
        <v>21</v>
      </c>
      <c r="S25" s="99">
        <v>20</v>
      </c>
      <c r="T25" s="99">
        <v>14</v>
      </c>
      <c r="U25" s="99" t="s">
        <v>562</v>
      </c>
      <c r="V25" s="99">
        <v>29</v>
      </c>
      <c r="W25" s="99">
        <v>37</v>
      </c>
      <c r="X25" s="99">
        <v>15</v>
      </c>
      <c r="Y25" s="99">
        <v>66</v>
      </c>
      <c r="Z25" s="99">
        <v>16</v>
      </c>
      <c r="AA25" s="99" t="s">
        <v>562</v>
      </c>
      <c r="AB25" s="99" t="s">
        <v>562</v>
      </c>
      <c r="AC25" s="99" t="s">
        <v>562</v>
      </c>
      <c r="AD25" s="98" t="s">
        <v>327</v>
      </c>
      <c r="AE25" s="100">
        <v>0.04803387779794313</v>
      </c>
      <c r="AF25" s="100">
        <v>0.28</v>
      </c>
      <c r="AG25" s="98">
        <v>157.2897761645493</v>
      </c>
      <c r="AH25" s="98" t="s">
        <v>562</v>
      </c>
      <c r="AI25" s="100">
        <v>0.006999999999999999</v>
      </c>
      <c r="AJ25" s="100">
        <v>0.522459</v>
      </c>
      <c r="AK25" s="100" t="s">
        <v>562</v>
      </c>
      <c r="AL25" s="100">
        <v>0.627207</v>
      </c>
      <c r="AM25" s="100">
        <v>0.337386</v>
      </c>
      <c r="AN25" s="100">
        <v>0.4</v>
      </c>
      <c r="AO25" s="98">
        <v>1524.5009074410164</v>
      </c>
      <c r="AP25" s="158">
        <v>1.290642242</v>
      </c>
      <c r="AQ25" s="100">
        <v>0.06349206349206349</v>
      </c>
      <c r="AR25" s="100">
        <v>0.38095238095238093</v>
      </c>
      <c r="AS25" s="98">
        <v>241.98427102238355</v>
      </c>
      <c r="AT25" s="98">
        <v>169.3889897156685</v>
      </c>
      <c r="AU25" s="98" t="s">
        <v>562</v>
      </c>
      <c r="AV25" s="98">
        <v>350.87719298245617</v>
      </c>
      <c r="AW25" s="98">
        <v>447.6709013914096</v>
      </c>
      <c r="AX25" s="98">
        <v>181.48820326678765</v>
      </c>
      <c r="AY25" s="98">
        <v>798.5480943738658</v>
      </c>
      <c r="AZ25" s="98">
        <v>193.58741681790684</v>
      </c>
      <c r="BA25" s="100" t="s">
        <v>562</v>
      </c>
      <c r="BB25" s="100" t="s">
        <v>562</v>
      </c>
      <c r="BC25" s="100" t="s">
        <v>562</v>
      </c>
      <c r="BD25" s="158">
        <v>1.075139389</v>
      </c>
      <c r="BE25" s="158">
        <v>1.536674042</v>
      </c>
      <c r="BF25" s="162">
        <v>423</v>
      </c>
      <c r="BG25" s="162" t="s">
        <v>562</v>
      </c>
      <c r="BH25" s="162">
        <v>2492</v>
      </c>
      <c r="BI25" s="162">
        <v>329</v>
      </c>
      <c r="BJ25" s="162">
        <v>140</v>
      </c>
      <c r="BK25" s="97"/>
      <c r="BL25" s="97"/>
      <c r="BM25" s="97"/>
      <c r="BN25" s="97"/>
    </row>
    <row r="26" spans="1:66" ht="12.75">
      <c r="A26" s="79" t="s">
        <v>527</v>
      </c>
      <c r="B26" s="79" t="s">
        <v>298</v>
      </c>
      <c r="C26" s="79" t="s">
        <v>144</v>
      </c>
      <c r="D26" s="99">
        <v>13084</v>
      </c>
      <c r="E26" s="99">
        <v>1101</v>
      </c>
      <c r="F26" s="99" t="s">
        <v>350</v>
      </c>
      <c r="G26" s="99">
        <v>37</v>
      </c>
      <c r="H26" s="99">
        <v>18</v>
      </c>
      <c r="I26" s="99">
        <v>173</v>
      </c>
      <c r="J26" s="99">
        <v>690</v>
      </c>
      <c r="K26" s="99">
        <v>383</v>
      </c>
      <c r="L26" s="99">
        <v>2917</v>
      </c>
      <c r="M26" s="99">
        <v>334</v>
      </c>
      <c r="N26" s="99">
        <v>168</v>
      </c>
      <c r="O26" s="99">
        <v>406</v>
      </c>
      <c r="P26" s="159">
        <v>406</v>
      </c>
      <c r="Q26" s="99">
        <v>23</v>
      </c>
      <c r="R26" s="99">
        <v>47</v>
      </c>
      <c r="S26" s="99">
        <v>108</v>
      </c>
      <c r="T26" s="99">
        <v>34</v>
      </c>
      <c r="U26" s="99">
        <v>13</v>
      </c>
      <c r="V26" s="99">
        <v>91</v>
      </c>
      <c r="W26" s="99">
        <v>59</v>
      </c>
      <c r="X26" s="99">
        <v>35</v>
      </c>
      <c r="Y26" s="99">
        <v>105</v>
      </c>
      <c r="Z26" s="99">
        <v>42</v>
      </c>
      <c r="AA26" s="99" t="s">
        <v>562</v>
      </c>
      <c r="AB26" s="99" t="s">
        <v>562</v>
      </c>
      <c r="AC26" s="99" t="s">
        <v>562</v>
      </c>
      <c r="AD26" s="98" t="s">
        <v>327</v>
      </c>
      <c r="AE26" s="100">
        <v>0.08414857841638643</v>
      </c>
      <c r="AF26" s="100">
        <v>0.16</v>
      </c>
      <c r="AG26" s="98">
        <v>282.7881381840416</v>
      </c>
      <c r="AH26" s="98">
        <v>137.57260776520943</v>
      </c>
      <c r="AI26" s="100">
        <v>0.013000000000000001</v>
      </c>
      <c r="AJ26" s="100">
        <v>0.63129</v>
      </c>
      <c r="AK26" s="100">
        <v>0.585627</v>
      </c>
      <c r="AL26" s="100">
        <v>0.751998</v>
      </c>
      <c r="AM26" s="100">
        <v>0.421185</v>
      </c>
      <c r="AN26" s="100">
        <v>0.47191</v>
      </c>
      <c r="AO26" s="98">
        <v>3103.0265973708347</v>
      </c>
      <c r="AP26" s="158">
        <v>2.147837677</v>
      </c>
      <c r="AQ26" s="100">
        <v>0.05665024630541872</v>
      </c>
      <c r="AR26" s="100">
        <v>0.48936170212765956</v>
      </c>
      <c r="AS26" s="98">
        <v>825.4356465912565</v>
      </c>
      <c r="AT26" s="98">
        <v>259.85937022317336</v>
      </c>
      <c r="AU26" s="98">
        <v>99.35799449709569</v>
      </c>
      <c r="AV26" s="98">
        <v>695.5059614796698</v>
      </c>
      <c r="AW26" s="98">
        <v>450.932436563742</v>
      </c>
      <c r="AX26" s="98">
        <v>267.5022928767961</v>
      </c>
      <c r="AY26" s="98">
        <v>802.5068786303883</v>
      </c>
      <c r="AZ26" s="98">
        <v>321.0027514521553</v>
      </c>
      <c r="BA26" s="100" t="s">
        <v>562</v>
      </c>
      <c r="BB26" s="100" t="s">
        <v>562</v>
      </c>
      <c r="BC26" s="100" t="s">
        <v>562</v>
      </c>
      <c r="BD26" s="158">
        <v>1.943964996</v>
      </c>
      <c r="BE26" s="158">
        <v>2.367276459</v>
      </c>
      <c r="BF26" s="162">
        <v>1093</v>
      </c>
      <c r="BG26" s="162">
        <v>654</v>
      </c>
      <c r="BH26" s="162">
        <v>3879</v>
      </c>
      <c r="BI26" s="162">
        <v>793</v>
      </c>
      <c r="BJ26" s="162">
        <v>356</v>
      </c>
      <c r="BK26" s="97"/>
      <c r="BL26" s="97"/>
      <c r="BM26" s="97"/>
      <c r="BN26" s="97"/>
    </row>
    <row r="27" spans="1:66" ht="12.75">
      <c r="A27" s="79" t="s">
        <v>534</v>
      </c>
      <c r="B27" s="79" t="s">
        <v>305</v>
      </c>
      <c r="C27" s="79" t="s">
        <v>144</v>
      </c>
      <c r="D27" s="99">
        <v>8906</v>
      </c>
      <c r="E27" s="99">
        <v>542</v>
      </c>
      <c r="F27" s="99" t="s">
        <v>347</v>
      </c>
      <c r="G27" s="99">
        <v>18</v>
      </c>
      <c r="H27" s="99" t="s">
        <v>562</v>
      </c>
      <c r="I27" s="99">
        <v>83</v>
      </c>
      <c r="J27" s="99">
        <v>371</v>
      </c>
      <c r="K27" s="99">
        <v>221</v>
      </c>
      <c r="L27" s="99">
        <v>1887</v>
      </c>
      <c r="M27" s="99">
        <v>126</v>
      </c>
      <c r="N27" s="99">
        <v>61</v>
      </c>
      <c r="O27" s="99">
        <v>149</v>
      </c>
      <c r="P27" s="159">
        <v>149</v>
      </c>
      <c r="Q27" s="99">
        <v>7</v>
      </c>
      <c r="R27" s="99">
        <v>18</v>
      </c>
      <c r="S27" s="99">
        <v>50</v>
      </c>
      <c r="T27" s="99">
        <v>22</v>
      </c>
      <c r="U27" s="99" t="s">
        <v>562</v>
      </c>
      <c r="V27" s="99">
        <v>19</v>
      </c>
      <c r="W27" s="99">
        <v>31</v>
      </c>
      <c r="X27" s="99">
        <v>25</v>
      </c>
      <c r="Y27" s="99">
        <v>61</v>
      </c>
      <c r="Z27" s="99">
        <v>19</v>
      </c>
      <c r="AA27" s="99" t="s">
        <v>562</v>
      </c>
      <c r="AB27" s="99" t="s">
        <v>562</v>
      </c>
      <c r="AC27" s="99" t="s">
        <v>562</v>
      </c>
      <c r="AD27" s="98" t="s">
        <v>327</v>
      </c>
      <c r="AE27" s="100">
        <v>0.06085784864136537</v>
      </c>
      <c r="AF27" s="100">
        <v>0.21</v>
      </c>
      <c r="AG27" s="98">
        <v>202.11093644733887</v>
      </c>
      <c r="AH27" s="98" t="s">
        <v>562</v>
      </c>
      <c r="AI27" s="100">
        <v>0.009000000000000001</v>
      </c>
      <c r="AJ27" s="100">
        <v>0.591707</v>
      </c>
      <c r="AK27" s="100">
        <v>0.60218</v>
      </c>
      <c r="AL27" s="100">
        <v>0.700445</v>
      </c>
      <c r="AM27" s="100">
        <v>0.316583</v>
      </c>
      <c r="AN27" s="100">
        <v>0.374233</v>
      </c>
      <c r="AO27" s="98">
        <v>1673.0294183696385</v>
      </c>
      <c r="AP27" s="158">
        <v>1.2856484990000001</v>
      </c>
      <c r="AQ27" s="100">
        <v>0.04697986577181208</v>
      </c>
      <c r="AR27" s="100">
        <v>0.3888888888888889</v>
      </c>
      <c r="AS27" s="98">
        <v>561.4192679092746</v>
      </c>
      <c r="AT27" s="98">
        <v>247.02447788008084</v>
      </c>
      <c r="AU27" s="98" t="s">
        <v>562</v>
      </c>
      <c r="AV27" s="98">
        <v>213.33932180552438</v>
      </c>
      <c r="AW27" s="98">
        <v>348.0799461037503</v>
      </c>
      <c r="AX27" s="98">
        <v>280.7096339546373</v>
      </c>
      <c r="AY27" s="98">
        <v>684.931506849315</v>
      </c>
      <c r="AZ27" s="98">
        <v>213.33932180552438</v>
      </c>
      <c r="BA27" s="100" t="s">
        <v>562</v>
      </c>
      <c r="BB27" s="100" t="s">
        <v>562</v>
      </c>
      <c r="BC27" s="100" t="s">
        <v>562</v>
      </c>
      <c r="BD27" s="158">
        <v>1.087506332</v>
      </c>
      <c r="BE27" s="158">
        <v>1.509448242</v>
      </c>
      <c r="BF27" s="162">
        <v>627</v>
      </c>
      <c r="BG27" s="162">
        <v>367</v>
      </c>
      <c r="BH27" s="162">
        <v>2694</v>
      </c>
      <c r="BI27" s="162">
        <v>398</v>
      </c>
      <c r="BJ27" s="162">
        <v>163</v>
      </c>
      <c r="BK27" s="97"/>
      <c r="BL27" s="97"/>
      <c r="BM27" s="97"/>
      <c r="BN27" s="97"/>
    </row>
    <row r="28" spans="1:66" ht="12.75">
      <c r="A28" s="79" t="s">
        <v>517</v>
      </c>
      <c r="B28" s="79" t="s">
        <v>288</v>
      </c>
      <c r="C28" s="79" t="s">
        <v>144</v>
      </c>
      <c r="D28" s="99">
        <v>3881</v>
      </c>
      <c r="E28" s="99">
        <v>319</v>
      </c>
      <c r="F28" s="99" t="s">
        <v>347</v>
      </c>
      <c r="G28" s="99">
        <v>6</v>
      </c>
      <c r="H28" s="99">
        <v>6</v>
      </c>
      <c r="I28" s="99">
        <v>32</v>
      </c>
      <c r="J28" s="99">
        <v>148</v>
      </c>
      <c r="K28" s="99">
        <v>105</v>
      </c>
      <c r="L28" s="99">
        <v>694</v>
      </c>
      <c r="M28" s="99">
        <v>77</v>
      </c>
      <c r="N28" s="99">
        <v>39</v>
      </c>
      <c r="O28" s="99">
        <v>31</v>
      </c>
      <c r="P28" s="159">
        <v>31</v>
      </c>
      <c r="Q28" s="99" t="s">
        <v>562</v>
      </c>
      <c r="R28" s="99">
        <v>11</v>
      </c>
      <c r="S28" s="99" t="s">
        <v>562</v>
      </c>
      <c r="T28" s="99" t="s">
        <v>562</v>
      </c>
      <c r="U28" s="99" t="s">
        <v>562</v>
      </c>
      <c r="V28" s="99">
        <v>13</v>
      </c>
      <c r="W28" s="99">
        <v>11</v>
      </c>
      <c r="X28" s="99">
        <v>13</v>
      </c>
      <c r="Y28" s="99">
        <v>21</v>
      </c>
      <c r="Z28" s="99">
        <v>16</v>
      </c>
      <c r="AA28" s="99" t="s">
        <v>562</v>
      </c>
      <c r="AB28" s="99" t="s">
        <v>562</v>
      </c>
      <c r="AC28" s="99" t="s">
        <v>562</v>
      </c>
      <c r="AD28" s="98" t="s">
        <v>327</v>
      </c>
      <c r="AE28" s="100">
        <v>0.08219531048698789</v>
      </c>
      <c r="AF28" s="100">
        <v>0.18</v>
      </c>
      <c r="AG28" s="98">
        <v>154.5993300695697</v>
      </c>
      <c r="AH28" s="98">
        <v>154.5993300695697</v>
      </c>
      <c r="AI28" s="100">
        <v>0.008</v>
      </c>
      <c r="AJ28" s="100">
        <v>0.56705</v>
      </c>
      <c r="AK28" s="100">
        <v>0.544041</v>
      </c>
      <c r="AL28" s="100">
        <v>0.631483</v>
      </c>
      <c r="AM28" s="100">
        <v>0.34375</v>
      </c>
      <c r="AN28" s="100">
        <v>0.378641</v>
      </c>
      <c r="AO28" s="98">
        <v>798.7632053594434</v>
      </c>
      <c r="AP28" s="158">
        <v>0.5885917281999999</v>
      </c>
      <c r="AQ28" s="100" t="s">
        <v>562</v>
      </c>
      <c r="AR28" s="100" t="s">
        <v>562</v>
      </c>
      <c r="AS28" s="98" t="s">
        <v>562</v>
      </c>
      <c r="AT28" s="98" t="s">
        <v>562</v>
      </c>
      <c r="AU28" s="98" t="s">
        <v>562</v>
      </c>
      <c r="AV28" s="98">
        <v>334.96521515073437</v>
      </c>
      <c r="AW28" s="98">
        <v>283.43210512754445</v>
      </c>
      <c r="AX28" s="98">
        <v>334.96521515073437</v>
      </c>
      <c r="AY28" s="98">
        <v>541.0976552434939</v>
      </c>
      <c r="AZ28" s="98">
        <v>412.2648801855192</v>
      </c>
      <c r="BA28" s="100" t="s">
        <v>562</v>
      </c>
      <c r="BB28" s="100" t="s">
        <v>562</v>
      </c>
      <c r="BC28" s="100" t="s">
        <v>562</v>
      </c>
      <c r="BD28" s="158">
        <v>0.399919548</v>
      </c>
      <c r="BE28" s="158">
        <v>0.8354589844</v>
      </c>
      <c r="BF28" s="162">
        <v>261</v>
      </c>
      <c r="BG28" s="162">
        <v>193</v>
      </c>
      <c r="BH28" s="162">
        <v>1099</v>
      </c>
      <c r="BI28" s="162">
        <v>224</v>
      </c>
      <c r="BJ28" s="162">
        <v>103</v>
      </c>
      <c r="BK28" s="97"/>
      <c r="BL28" s="97"/>
      <c r="BM28" s="97"/>
      <c r="BN28" s="97"/>
    </row>
    <row r="29" spans="1:66" ht="12.75">
      <c r="A29" s="79" t="s">
        <v>522</v>
      </c>
      <c r="B29" s="79" t="s">
        <v>293</v>
      </c>
      <c r="C29" s="79" t="s">
        <v>144</v>
      </c>
      <c r="D29" s="99">
        <v>8839</v>
      </c>
      <c r="E29" s="99">
        <v>807</v>
      </c>
      <c r="F29" s="99" t="s">
        <v>347</v>
      </c>
      <c r="G29" s="99">
        <v>35</v>
      </c>
      <c r="H29" s="99">
        <v>18</v>
      </c>
      <c r="I29" s="99">
        <v>115</v>
      </c>
      <c r="J29" s="99">
        <v>395</v>
      </c>
      <c r="K29" s="99">
        <v>218</v>
      </c>
      <c r="L29" s="99">
        <v>1815</v>
      </c>
      <c r="M29" s="99">
        <v>228</v>
      </c>
      <c r="N29" s="99">
        <v>100</v>
      </c>
      <c r="O29" s="99">
        <v>149</v>
      </c>
      <c r="P29" s="159">
        <v>149</v>
      </c>
      <c r="Q29" s="99">
        <v>10</v>
      </c>
      <c r="R29" s="99">
        <v>24</v>
      </c>
      <c r="S29" s="99">
        <v>31</v>
      </c>
      <c r="T29" s="99">
        <v>15</v>
      </c>
      <c r="U29" s="99" t="s">
        <v>562</v>
      </c>
      <c r="V29" s="99">
        <v>40</v>
      </c>
      <c r="W29" s="99">
        <v>29</v>
      </c>
      <c r="X29" s="99">
        <v>31</v>
      </c>
      <c r="Y29" s="99">
        <v>53</v>
      </c>
      <c r="Z29" s="99">
        <v>37</v>
      </c>
      <c r="AA29" s="99" t="s">
        <v>562</v>
      </c>
      <c r="AB29" s="99" t="s">
        <v>562</v>
      </c>
      <c r="AC29" s="99" t="s">
        <v>562</v>
      </c>
      <c r="AD29" s="98" t="s">
        <v>327</v>
      </c>
      <c r="AE29" s="100">
        <v>0.09129992080552099</v>
      </c>
      <c r="AF29" s="100">
        <v>0.22</v>
      </c>
      <c r="AG29" s="98">
        <v>395.9723950673153</v>
      </c>
      <c r="AH29" s="98">
        <v>203.6429460346193</v>
      </c>
      <c r="AI29" s="100">
        <v>0.013000000000000001</v>
      </c>
      <c r="AJ29" s="100">
        <v>0.602134</v>
      </c>
      <c r="AK29" s="100">
        <v>0.61236</v>
      </c>
      <c r="AL29" s="100">
        <v>0.704307</v>
      </c>
      <c r="AM29" s="100">
        <v>0.448819</v>
      </c>
      <c r="AN29" s="100">
        <v>0.442478</v>
      </c>
      <c r="AO29" s="98">
        <v>1685.7110532865709</v>
      </c>
      <c r="AP29" s="158">
        <v>1.150452728</v>
      </c>
      <c r="AQ29" s="100">
        <v>0.06711409395973154</v>
      </c>
      <c r="AR29" s="100">
        <v>0.4166666666666667</v>
      </c>
      <c r="AS29" s="98">
        <v>350.7184070596221</v>
      </c>
      <c r="AT29" s="98">
        <v>169.7024550288494</v>
      </c>
      <c r="AU29" s="98" t="s">
        <v>562</v>
      </c>
      <c r="AV29" s="98">
        <v>452.53988007693175</v>
      </c>
      <c r="AW29" s="98">
        <v>328.09141305577555</v>
      </c>
      <c r="AX29" s="98">
        <v>350.7184070596221</v>
      </c>
      <c r="AY29" s="98">
        <v>599.6153411019346</v>
      </c>
      <c r="AZ29" s="98">
        <v>418.5993890711619</v>
      </c>
      <c r="BA29" s="100" t="s">
        <v>562</v>
      </c>
      <c r="BB29" s="100" t="s">
        <v>562</v>
      </c>
      <c r="BC29" s="100" t="s">
        <v>562</v>
      </c>
      <c r="BD29" s="158">
        <v>0.9731468201</v>
      </c>
      <c r="BE29" s="158">
        <v>1.3507182309999999</v>
      </c>
      <c r="BF29" s="162">
        <v>656</v>
      </c>
      <c r="BG29" s="162">
        <v>356</v>
      </c>
      <c r="BH29" s="162">
        <v>2577</v>
      </c>
      <c r="BI29" s="162">
        <v>508</v>
      </c>
      <c r="BJ29" s="162">
        <v>226</v>
      </c>
      <c r="BK29" s="97"/>
      <c r="BL29" s="97"/>
      <c r="BM29" s="97"/>
      <c r="BN29" s="97"/>
    </row>
    <row r="30" spans="1:66" ht="12.75">
      <c r="A30" s="79" t="s">
        <v>546</v>
      </c>
      <c r="B30" s="79" t="s">
        <v>317</v>
      </c>
      <c r="C30" s="79" t="s">
        <v>144</v>
      </c>
      <c r="D30" s="99">
        <v>2891</v>
      </c>
      <c r="E30" s="99">
        <v>335</v>
      </c>
      <c r="F30" s="99" t="s">
        <v>347</v>
      </c>
      <c r="G30" s="99" t="s">
        <v>562</v>
      </c>
      <c r="H30" s="99" t="s">
        <v>562</v>
      </c>
      <c r="I30" s="99">
        <v>30</v>
      </c>
      <c r="J30" s="99">
        <v>111</v>
      </c>
      <c r="K30" s="99">
        <v>100</v>
      </c>
      <c r="L30" s="99">
        <v>316</v>
      </c>
      <c r="M30" s="99">
        <v>49</v>
      </c>
      <c r="N30" s="99">
        <v>26</v>
      </c>
      <c r="O30" s="99">
        <v>8</v>
      </c>
      <c r="P30" s="159">
        <v>8</v>
      </c>
      <c r="Q30" s="99" t="s">
        <v>562</v>
      </c>
      <c r="R30" s="99">
        <v>8</v>
      </c>
      <c r="S30" s="99" t="s">
        <v>562</v>
      </c>
      <c r="T30" s="99" t="s">
        <v>562</v>
      </c>
      <c r="U30" s="99" t="s">
        <v>562</v>
      </c>
      <c r="V30" s="99" t="s">
        <v>562</v>
      </c>
      <c r="W30" s="99" t="s">
        <v>562</v>
      </c>
      <c r="X30" s="99" t="s">
        <v>562</v>
      </c>
      <c r="Y30" s="99">
        <v>11</v>
      </c>
      <c r="Z30" s="99">
        <v>13</v>
      </c>
      <c r="AA30" s="99" t="s">
        <v>562</v>
      </c>
      <c r="AB30" s="99" t="s">
        <v>562</v>
      </c>
      <c r="AC30" s="99" t="s">
        <v>562</v>
      </c>
      <c r="AD30" s="98" t="s">
        <v>327</v>
      </c>
      <c r="AE30" s="100">
        <v>0.11587685921826357</v>
      </c>
      <c r="AF30" s="100">
        <v>0.18</v>
      </c>
      <c r="AG30" s="98" t="s">
        <v>562</v>
      </c>
      <c r="AH30" s="98" t="s">
        <v>562</v>
      </c>
      <c r="AI30" s="100">
        <v>0.01</v>
      </c>
      <c r="AJ30" s="100">
        <v>0.523585</v>
      </c>
      <c r="AK30" s="100">
        <v>0.537634</v>
      </c>
      <c r="AL30" s="100">
        <v>0.457971</v>
      </c>
      <c r="AM30" s="100">
        <v>0.288235</v>
      </c>
      <c r="AN30" s="100">
        <v>0.371429</v>
      </c>
      <c r="AO30" s="98">
        <v>276.7208578346593</v>
      </c>
      <c r="AP30" s="158">
        <v>0.18354328160000002</v>
      </c>
      <c r="AQ30" s="100" t="s">
        <v>562</v>
      </c>
      <c r="AR30" s="100" t="s">
        <v>562</v>
      </c>
      <c r="AS30" s="98" t="s">
        <v>562</v>
      </c>
      <c r="AT30" s="98" t="s">
        <v>562</v>
      </c>
      <c r="AU30" s="98" t="s">
        <v>562</v>
      </c>
      <c r="AV30" s="98" t="s">
        <v>562</v>
      </c>
      <c r="AW30" s="98" t="s">
        <v>562</v>
      </c>
      <c r="AX30" s="98" t="s">
        <v>562</v>
      </c>
      <c r="AY30" s="98">
        <v>380.4911795226565</v>
      </c>
      <c r="AZ30" s="98">
        <v>449.67139398132133</v>
      </c>
      <c r="BA30" s="100" t="s">
        <v>562</v>
      </c>
      <c r="BB30" s="100" t="s">
        <v>562</v>
      </c>
      <c r="BC30" s="100" t="s">
        <v>562</v>
      </c>
      <c r="BD30" s="158">
        <v>0.07924096107</v>
      </c>
      <c r="BE30" s="158">
        <v>0.3616534424</v>
      </c>
      <c r="BF30" s="162">
        <v>212</v>
      </c>
      <c r="BG30" s="162">
        <v>186</v>
      </c>
      <c r="BH30" s="162">
        <v>690</v>
      </c>
      <c r="BI30" s="162">
        <v>170</v>
      </c>
      <c r="BJ30" s="162">
        <v>70</v>
      </c>
      <c r="BK30" s="97"/>
      <c r="BL30" s="97"/>
      <c r="BM30" s="97"/>
      <c r="BN30" s="97"/>
    </row>
    <row r="31" spans="1:66" ht="12.75">
      <c r="A31" s="79" t="s">
        <v>531</v>
      </c>
      <c r="B31" s="79" t="s">
        <v>302</v>
      </c>
      <c r="C31" s="79" t="s">
        <v>144</v>
      </c>
      <c r="D31" s="99">
        <v>6417</v>
      </c>
      <c r="E31" s="99">
        <v>139</v>
      </c>
      <c r="F31" s="99" t="s">
        <v>347</v>
      </c>
      <c r="G31" s="99">
        <v>10</v>
      </c>
      <c r="H31" s="99" t="s">
        <v>562</v>
      </c>
      <c r="I31" s="99">
        <v>17</v>
      </c>
      <c r="J31" s="99">
        <v>122</v>
      </c>
      <c r="K31" s="99">
        <v>59</v>
      </c>
      <c r="L31" s="99">
        <v>1143</v>
      </c>
      <c r="M31" s="99">
        <v>51</v>
      </c>
      <c r="N31" s="99">
        <v>27</v>
      </c>
      <c r="O31" s="99">
        <v>53</v>
      </c>
      <c r="P31" s="159">
        <v>53</v>
      </c>
      <c r="Q31" s="99" t="s">
        <v>562</v>
      </c>
      <c r="R31" s="99" t="s">
        <v>562</v>
      </c>
      <c r="S31" s="99">
        <v>18</v>
      </c>
      <c r="T31" s="99" t="s">
        <v>562</v>
      </c>
      <c r="U31" s="99" t="s">
        <v>562</v>
      </c>
      <c r="V31" s="99">
        <v>15</v>
      </c>
      <c r="W31" s="99" t="s">
        <v>562</v>
      </c>
      <c r="X31" s="99">
        <v>11</v>
      </c>
      <c r="Y31" s="99">
        <v>12</v>
      </c>
      <c r="Z31" s="99">
        <v>6</v>
      </c>
      <c r="AA31" s="99" t="s">
        <v>562</v>
      </c>
      <c r="AB31" s="99" t="s">
        <v>562</v>
      </c>
      <c r="AC31" s="99" t="s">
        <v>562</v>
      </c>
      <c r="AD31" s="98" t="s">
        <v>327</v>
      </c>
      <c r="AE31" s="100">
        <v>0.021661212404550413</v>
      </c>
      <c r="AF31" s="100">
        <v>0.19</v>
      </c>
      <c r="AG31" s="98">
        <v>155.83606046439147</v>
      </c>
      <c r="AH31" s="98" t="s">
        <v>562</v>
      </c>
      <c r="AI31" s="100">
        <v>0.003</v>
      </c>
      <c r="AJ31" s="100">
        <v>0.562212</v>
      </c>
      <c r="AK31" s="100">
        <v>0.517544</v>
      </c>
      <c r="AL31" s="100">
        <v>0.642496</v>
      </c>
      <c r="AM31" s="100">
        <v>0.404762</v>
      </c>
      <c r="AN31" s="100">
        <v>0.435484</v>
      </c>
      <c r="AO31" s="98">
        <v>825.9311204612748</v>
      </c>
      <c r="AP31" s="158">
        <v>0.839295578</v>
      </c>
      <c r="AQ31" s="100" t="s">
        <v>562</v>
      </c>
      <c r="AR31" s="100" t="s">
        <v>562</v>
      </c>
      <c r="AS31" s="98">
        <v>280.50490883590464</v>
      </c>
      <c r="AT31" s="98" t="s">
        <v>562</v>
      </c>
      <c r="AU31" s="98" t="s">
        <v>562</v>
      </c>
      <c r="AV31" s="98">
        <v>233.75409069658718</v>
      </c>
      <c r="AW31" s="98" t="s">
        <v>562</v>
      </c>
      <c r="AX31" s="98">
        <v>171.4196665108306</v>
      </c>
      <c r="AY31" s="98">
        <v>187.00327255726975</v>
      </c>
      <c r="AZ31" s="98">
        <v>93.50163627863488</v>
      </c>
      <c r="BA31" s="100" t="s">
        <v>562</v>
      </c>
      <c r="BB31" s="100" t="s">
        <v>562</v>
      </c>
      <c r="BC31" s="100" t="s">
        <v>562</v>
      </c>
      <c r="BD31" s="158">
        <v>0.6286899948</v>
      </c>
      <c r="BE31" s="158">
        <v>1.0978192900000001</v>
      </c>
      <c r="BF31" s="162">
        <v>217</v>
      </c>
      <c r="BG31" s="162">
        <v>114</v>
      </c>
      <c r="BH31" s="162">
        <v>1779</v>
      </c>
      <c r="BI31" s="162">
        <v>126</v>
      </c>
      <c r="BJ31" s="162">
        <v>62</v>
      </c>
      <c r="BK31" s="97"/>
      <c r="BL31" s="97"/>
      <c r="BM31" s="97"/>
      <c r="BN31" s="97"/>
    </row>
    <row r="32" spans="1:66" ht="12.75">
      <c r="A32" s="79" t="s">
        <v>552</v>
      </c>
      <c r="B32" s="79" t="s">
        <v>323</v>
      </c>
      <c r="C32" s="79" t="s">
        <v>144</v>
      </c>
      <c r="D32" s="99">
        <v>3838</v>
      </c>
      <c r="E32" s="99">
        <v>282</v>
      </c>
      <c r="F32" s="99" t="s">
        <v>347</v>
      </c>
      <c r="G32" s="99">
        <v>6</v>
      </c>
      <c r="H32" s="99" t="s">
        <v>562</v>
      </c>
      <c r="I32" s="99">
        <v>40</v>
      </c>
      <c r="J32" s="99">
        <v>164</v>
      </c>
      <c r="K32" s="99">
        <v>99</v>
      </c>
      <c r="L32" s="99">
        <v>835</v>
      </c>
      <c r="M32" s="99">
        <v>95</v>
      </c>
      <c r="N32" s="99">
        <v>54</v>
      </c>
      <c r="O32" s="99">
        <v>81</v>
      </c>
      <c r="P32" s="159">
        <v>81</v>
      </c>
      <c r="Q32" s="99">
        <v>9</v>
      </c>
      <c r="R32" s="99">
        <v>15</v>
      </c>
      <c r="S32" s="99">
        <v>21</v>
      </c>
      <c r="T32" s="99">
        <v>9</v>
      </c>
      <c r="U32" s="99" t="s">
        <v>562</v>
      </c>
      <c r="V32" s="99">
        <v>19</v>
      </c>
      <c r="W32" s="99">
        <v>11</v>
      </c>
      <c r="X32" s="99">
        <v>13</v>
      </c>
      <c r="Y32" s="99">
        <v>34</v>
      </c>
      <c r="Z32" s="99">
        <v>14</v>
      </c>
      <c r="AA32" s="99" t="s">
        <v>562</v>
      </c>
      <c r="AB32" s="99" t="s">
        <v>562</v>
      </c>
      <c r="AC32" s="99" t="s">
        <v>562</v>
      </c>
      <c r="AD32" s="98" t="s">
        <v>327</v>
      </c>
      <c r="AE32" s="100">
        <v>0.07347576862949452</v>
      </c>
      <c r="AF32" s="100">
        <v>0.17</v>
      </c>
      <c r="AG32" s="98">
        <v>156.3314226159458</v>
      </c>
      <c r="AH32" s="98" t="s">
        <v>562</v>
      </c>
      <c r="AI32" s="100">
        <v>0.01</v>
      </c>
      <c r="AJ32" s="100">
        <v>0.567474</v>
      </c>
      <c r="AK32" s="100">
        <v>0.589286</v>
      </c>
      <c r="AL32" s="100">
        <v>0.71185</v>
      </c>
      <c r="AM32" s="100">
        <v>0.43379</v>
      </c>
      <c r="AN32" s="100">
        <v>0.5</v>
      </c>
      <c r="AO32" s="98">
        <v>2110.4742053152686</v>
      </c>
      <c r="AP32" s="158">
        <v>1.540155945</v>
      </c>
      <c r="AQ32" s="100">
        <v>0.1111111111111111</v>
      </c>
      <c r="AR32" s="100">
        <v>0.6</v>
      </c>
      <c r="AS32" s="98">
        <v>547.1599791558103</v>
      </c>
      <c r="AT32" s="98">
        <v>234.4971339239187</v>
      </c>
      <c r="AU32" s="98" t="s">
        <v>562</v>
      </c>
      <c r="AV32" s="98">
        <v>495.0495049504951</v>
      </c>
      <c r="AW32" s="98">
        <v>286.607608129234</v>
      </c>
      <c r="AX32" s="98">
        <v>338.71808233454925</v>
      </c>
      <c r="AY32" s="98">
        <v>885.8780614903595</v>
      </c>
      <c r="AZ32" s="98">
        <v>364.77331943720685</v>
      </c>
      <c r="BA32" s="100" t="s">
        <v>562</v>
      </c>
      <c r="BB32" s="100" t="s">
        <v>562</v>
      </c>
      <c r="BC32" s="100" t="s">
        <v>562</v>
      </c>
      <c r="BD32" s="158">
        <v>1.223106079</v>
      </c>
      <c r="BE32" s="158">
        <v>1.914273071</v>
      </c>
      <c r="BF32" s="162">
        <v>289</v>
      </c>
      <c r="BG32" s="162">
        <v>168</v>
      </c>
      <c r="BH32" s="162">
        <v>1173</v>
      </c>
      <c r="BI32" s="162">
        <v>219</v>
      </c>
      <c r="BJ32" s="162">
        <v>108</v>
      </c>
      <c r="BK32" s="97"/>
      <c r="BL32" s="97"/>
      <c r="BM32" s="97"/>
      <c r="BN32" s="97"/>
    </row>
    <row r="33" spans="1:66" ht="12.75">
      <c r="A33" s="79" t="s">
        <v>549</v>
      </c>
      <c r="B33" s="79" t="s">
        <v>320</v>
      </c>
      <c r="C33" s="79" t="s">
        <v>144</v>
      </c>
      <c r="D33" s="99">
        <v>4147</v>
      </c>
      <c r="E33" s="99">
        <v>308</v>
      </c>
      <c r="F33" s="99" t="s">
        <v>348</v>
      </c>
      <c r="G33" s="99">
        <v>10</v>
      </c>
      <c r="H33" s="99" t="s">
        <v>562</v>
      </c>
      <c r="I33" s="99">
        <v>47</v>
      </c>
      <c r="J33" s="99">
        <v>188</v>
      </c>
      <c r="K33" s="99">
        <v>172</v>
      </c>
      <c r="L33" s="99">
        <v>863</v>
      </c>
      <c r="M33" s="99">
        <v>81</v>
      </c>
      <c r="N33" s="99">
        <v>39</v>
      </c>
      <c r="O33" s="99">
        <v>59</v>
      </c>
      <c r="P33" s="159">
        <v>59</v>
      </c>
      <c r="Q33" s="99" t="s">
        <v>562</v>
      </c>
      <c r="R33" s="99">
        <v>16</v>
      </c>
      <c r="S33" s="99">
        <v>24</v>
      </c>
      <c r="T33" s="99">
        <v>13</v>
      </c>
      <c r="U33" s="99" t="s">
        <v>562</v>
      </c>
      <c r="V33" s="99" t="s">
        <v>562</v>
      </c>
      <c r="W33" s="99">
        <v>16</v>
      </c>
      <c r="X33" s="99">
        <v>15</v>
      </c>
      <c r="Y33" s="99">
        <v>30</v>
      </c>
      <c r="Z33" s="99">
        <v>21</v>
      </c>
      <c r="AA33" s="99" t="s">
        <v>562</v>
      </c>
      <c r="AB33" s="99" t="s">
        <v>562</v>
      </c>
      <c r="AC33" s="99" t="s">
        <v>562</v>
      </c>
      <c r="AD33" s="98" t="s">
        <v>327</v>
      </c>
      <c r="AE33" s="100">
        <v>0.07427055702917772</v>
      </c>
      <c r="AF33" s="100">
        <v>0.28</v>
      </c>
      <c r="AG33" s="98">
        <v>241.13817217265492</v>
      </c>
      <c r="AH33" s="98" t="s">
        <v>562</v>
      </c>
      <c r="AI33" s="100">
        <v>0.011000000000000001</v>
      </c>
      <c r="AJ33" s="100">
        <v>0.5875</v>
      </c>
      <c r="AK33" s="100">
        <v>0.577181</v>
      </c>
      <c r="AL33" s="100">
        <v>0.757682</v>
      </c>
      <c r="AM33" s="100">
        <v>0.40099</v>
      </c>
      <c r="AN33" s="100">
        <v>0.397959</v>
      </c>
      <c r="AO33" s="98">
        <v>1422.715215818664</v>
      </c>
      <c r="AP33" s="158">
        <v>1.059624557</v>
      </c>
      <c r="AQ33" s="100" t="s">
        <v>562</v>
      </c>
      <c r="AR33" s="100" t="s">
        <v>562</v>
      </c>
      <c r="AS33" s="98">
        <v>578.7316132143718</v>
      </c>
      <c r="AT33" s="98">
        <v>313.47962382445144</v>
      </c>
      <c r="AU33" s="98" t="s">
        <v>562</v>
      </c>
      <c r="AV33" s="98" t="s">
        <v>562</v>
      </c>
      <c r="AW33" s="98">
        <v>385.82107547624787</v>
      </c>
      <c r="AX33" s="98">
        <v>361.7072582589824</v>
      </c>
      <c r="AY33" s="98">
        <v>723.4145165179648</v>
      </c>
      <c r="AZ33" s="98">
        <v>506.3901615625754</v>
      </c>
      <c r="BA33" s="100" t="s">
        <v>562</v>
      </c>
      <c r="BB33" s="100" t="s">
        <v>562</v>
      </c>
      <c r="BC33" s="100" t="s">
        <v>562</v>
      </c>
      <c r="BD33" s="158">
        <v>0.8066352844</v>
      </c>
      <c r="BE33" s="158">
        <v>1.3668383789999998</v>
      </c>
      <c r="BF33" s="162">
        <v>320</v>
      </c>
      <c r="BG33" s="162">
        <v>298</v>
      </c>
      <c r="BH33" s="162">
        <v>1139</v>
      </c>
      <c r="BI33" s="162">
        <v>202</v>
      </c>
      <c r="BJ33" s="162">
        <v>98</v>
      </c>
      <c r="BK33" s="97"/>
      <c r="BL33" s="97"/>
      <c r="BM33" s="97"/>
      <c r="BN33" s="97"/>
    </row>
    <row r="34" spans="1:66" ht="12.75">
      <c r="A34" s="79" t="s">
        <v>553</v>
      </c>
      <c r="B34" s="79" t="s">
        <v>324</v>
      </c>
      <c r="C34" s="79" t="s">
        <v>144</v>
      </c>
      <c r="D34" s="99">
        <v>3253</v>
      </c>
      <c r="E34" s="99">
        <v>326</v>
      </c>
      <c r="F34" s="99" t="s">
        <v>350</v>
      </c>
      <c r="G34" s="99" t="s">
        <v>562</v>
      </c>
      <c r="H34" s="99" t="s">
        <v>562</v>
      </c>
      <c r="I34" s="99">
        <v>38</v>
      </c>
      <c r="J34" s="99">
        <v>241</v>
      </c>
      <c r="K34" s="99">
        <v>150</v>
      </c>
      <c r="L34" s="99">
        <v>707</v>
      </c>
      <c r="M34" s="99">
        <v>95</v>
      </c>
      <c r="N34" s="99">
        <v>46</v>
      </c>
      <c r="O34" s="99">
        <v>46</v>
      </c>
      <c r="P34" s="159">
        <v>46</v>
      </c>
      <c r="Q34" s="99" t="s">
        <v>562</v>
      </c>
      <c r="R34" s="99">
        <v>9</v>
      </c>
      <c r="S34" s="99">
        <v>14</v>
      </c>
      <c r="T34" s="99" t="s">
        <v>562</v>
      </c>
      <c r="U34" s="99" t="s">
        <v>562</v>
      </c>
      <c r="V34" s="99">
        <v>6</v>
      </c>
      <c r="W34" s="99">
        <v>19</v>
      </c>
      <c r="X34" s="99">
        <v>10</v>
      </c>
      <c r="Y34" s="99">
        <v>42</v>
      </c>
      <c r="Z34" s="99">
        <v>14</v>
      </c>
      <c r="AA34" s="99" t="s">
        <v>562</v>
      </c>
      <c r="AB34" s="99" t="s">
        <v>562</v>
      </c>
      <c r="AC34" s="99" t="s">
        <v>562</v>
      </c>
      <c r="AD34" s="98" t="s">
        <v>327</v>
      </c>
      <c r="AE34" s="100">
        <v>0.1002151859821703</v>
      </c>
      <c r="AF34" s="100">
        <v>0.17</v>
      </c>
      <c r="AG34" s="98" t="s">
        <v>562</v>
      </c>
      <c r="AH34" s="98" t="s">
        <v>562</v>
      </c>
      <c r="AI34" s="100">
        <v>0.012</v>
      </c>
      <c r="AJ34" s="100">
        <v>0.704678</v>
      </c>
      <c r="AK34" s="100">
        <v>0.728155</v>
      </c>
      <c r="AL34" s="100">
        <v>0.73954</v>
      </c>
      <c r="AM34" s="100">
        <v>0.416667</v>
      </c>
      <c r="AN34" s="100">
        <v>0.433962</v>
      </c>
      <c r="AO34" s="98">
        <v>1414.079311404857</v>
      </c>
      <c r="AP34" s="158">
        <v>0.9028040314000001</v>
      </c>
      <c r="AQ34" s="100" t="s">
        <v>562</v>
      </c>
      <c r="AR34" s="100" t="s">
        <v>562</v>
      </c>
      <c r="AS34" s="98">
        <v>430.37196434060866</v>
      </c>
      <c r="AT34" s="98" t="s">
        <v>562</v>
      </c>
      <c r="AU34" s="98" t="s">
        <v>562</v>
      </c>
      <c r="AV34" s="98">
        <v>184.44512757454658</v>
      </c>
      <c r="AW34" s="98">
        <v>584.0762373193975</v>
      </c>
      <c r="AX34" s="98">
        <v>307.40854595757764</v>
      </c>
      <c r="AY34" s="98">
        <v>1291.115893021826</v>
      </c>
      <c r="AZ34" s="98">
        <v>430.37196434060866</v>
      </c>
      <c r="BA34" s="100" t="s">
        <v>562</v>
      </c>
      <c r="BB34" s="100" t="s">
        <v>562</v>
      </c>
      <c r="BC34" s="100" t="s">
        <v>562</v>
      </c>
      <c r="BD34" s="158">
        <v>0.6609660339</v>
      </c>
      <c r="BE34" s="158">
        <v>1.204214096</v>
      </c>
      <c r="BF34" s="162">
        <v>342</v>
      </c>
      <c r="BG34" s="162">
        <v>206</v>
      </c>
      <c r="BH34" s="162">
        <v>956</v>
      </c>
      <c r="BI34" s="162">
        <v>228</v>
      </c>
      <c r="BJ34" s="162">
        <v>106</v>
      </c>
      <c r="BK34" s="97"/>
      <c r="BL34" s="97"/>
      <c r="BM34" s="97"/>
      <c r="BN34" s="97"/>
    </row>
    <row r="35" spans="1:66" ht="12.75">
      <c r="A35" s="79" t="s">
        <v>542</v>
      </c>
      <c r="B35" s="79" t="s">
        <v>313</v>
      </c>
      <c r="C35" s="79" t="s">
        <v>144</v>
      </c>
      <c r="D35" s="99">
        <v>9809</v>
      </c>
      <c r="E35" s="99">
        <v>881</v>
      </c>
      <c r="F35" s="99" t="s">
        <v>347</v>
      </c>
      <c r="G35" s="99">
        <v>31</v>
      </c>
      <c r="H35" s="99">
        <v>14</v>
      </c>
      <c r="I35" s="99">
        <v>93</v>
      </c>
      <c r="J35" s="99">
        <v>451</v>
      </c>
      <c r="K35" s="99">
        <v>385</v>
      </c>
      <c r="L35" s="99">
        <v>2025</v>
      </c>
      <c r="M35" s="99">
        <v>173</v>
      </c>
      <c r="N35" s="99">
        <v>86</v>
      </c>
      <c r="O35" s="99">
        <v>152</v>
      </c>
      <c r="P35" s="159">
        <v>152</v>
      </c>
      <c r="Q35" s="99">
        <v>14</v>
      </c>
      <c r="R35" s="99">
        <v>37</v>
      </c>
      <c r="S35" s="99">
        <v>30</v>
      </c>
      <c r="T35" s="99">
        <v>20</v>
      </c>
      <c r="U35" s="99" t="s">
        <v>562</v>
      </c>
      <c r="V35" s="99">
        <v>20</v>
      </c>
      <c r="W35" s="99">
        <v>38</v>
      </c>
      <c r="X35" s="99">
        <v>25</v>
      </c>
      <c r="Y35" s="99">
        <v>73</v>
      </c>
      <c r="Z35" s="99">
        <v>23</v>
      </c>
      <c r="AA35" s="99" t="s">
        <v>562</v>
      </c>
      <c r="AB35" s="99" t="s">
        <v>562</v>
      </c>
      <c r="AC35" s="99" t="s">
        <v>562</v>
      </c>
      <c r="AD35" s="98" t="s">
        <v>327</v>
      </c>
      <c r="AE35" s="100">
        <v>0.08981547558364766</v>
      </c>
      <c r="AF35" s="100">
        <v>0.2</v>
      </c>
      <c r="AG35" s="98">
        <v>316.0362932001223</v>
      </c>
      <c r="AH35" s="98">
        <v>142.72606789682945</v>
      </c>
      <c r="AI35" s="100">
        <v>0.009000000000000001</v>
      </c>
      <c r="AJ35" s="100">
        <v>0.626389</v>
      </c>
      <c r="AK35" s="100">
        <v>0.610143</v>
      </c>
      <c r="AL35" s="100">
        <v>0.677258</v>
      </c>
      <c r="AM35" s="100">
        <v>0.363445</v>
      </c>
      <c r="AN35" s="100">
        <v>0.383929</v>
      </c>
      <c r="AO35" s="98">
        <v>1549.5973085941482</v>
      </c>
      <c r="AP35" s="158">
        <v>1.076807709</v>
      </c>
      <c r="AQ35" s="100">
        <v>0.09210526315789473</v>
      </c>
      <c r="AR35" s="100">
        <v>0.3783783783783784</v>
      </c>
      <c r="AS35" s="98">
        <v>305.84157406463453</v>
      </c>
      <c r="AT35" s="98">
        <v>203.89438270975634</v>
      </c>
      <c r="AU35" s="98" t="s">
        <v>562</v>
      </c>
      <c r="AV35" s="98">
        <v>203.89438270975634</v>
      </c>
      <c r="AW35" s="98">
        <v>387.39932714853705</v>
      </c>
      <c r="AX35" s="98">
        <v>254.86797838719542</v>
      </c>
      <c r="AY35" s="98">
        <v>744.2144968906107</v>
      </c>
      <c r="AZ35" s="98">
        <v>234.4785401162198</v>
      </c>
      <c r="BA35" s="100" t="s">
        <v>562</v>
      </c>
      <c r="BB35" s="100" t="s">
        <v>562</v>
      </c>
      <c r="BC35" s="100" t="s">
        <v>562</v>
      </c>
      <c r="BD35" s="158">
        <v>0.9124285888999999</v>
      </c>
      <c r="BE35" s="158">
        <v>1.262247009</v>
      </c>
      <c r="BF35" s="162">
        <v>720</v>
      </c>
      <c r="BG35" s="162">
        <v>631</v>
      </c>
      <c r="BH35" s="162">
        <v>2990</v>
      </c>
      <c r="BI35" s="162">
        <v>476</v>
      </c>
      <c r="BJ35" s="162">
        <v>224</v>
      </c>
      <c r="BK35" s="97"/>
      <c r="BL35" s="97"/>
      <c r="BM35" s="97"/>
      <c r="BN35" s="97"/>
    </row>
    <row r="36" spans="1:66" ht="12.75">
      <c r="A36" s="79" t="s">
        <v>513</v>
      </c>
      <c r="B36" s="79" t="s">
        <v>284</v>
      </c>
      <c r="C36" s="79" t="s">
        <v>144</v>
      </c>
      <c r="D36" s="99">
        <v>13951</v>
      </c>
      <c r="E36" s="99">
        <v>1854</v>
      </c>
      <c r="F36" s="99" t="s">
        <v>347</v>
      </c>
      <c r="G36" s="99">
        <v>55</v>
      </c>
      <c r="H36" s="99">
        <v>26</v>
      </c>
      <c r="I36" s="99">
        <v>187</v>
      </c>
      <c r="J36" s="99">
        <v>979</v>
      </c>
      <c r="K36" s="99">
        <v>885</v>
      </c>
      <c r="L36" s="99">
        <v>2685</v>
      </c>
      <c r="M36" s="99">
        <v>440</v>
      </c>
      <c r="N36" s="99">
        <v>204</v>
      </c>
      <c r="O36" s="99">
        <v>423</v>
      </c>
      <c r="P36" s="159">
        <v>423</v>
      </c>
      <c r="Q36" s="99">
        <v>26</v>
      </c>
      <c r="R36" s="99">
        <v>64</v>
      </c>
      <c r="S36" s="99">
        <v>84</v>
      </c>
      <c r="T36" s="99">
        <v>60</v>
      </c>
      <c r="U36" s="99">
        <v>10</v>
      </c>
      <c r="V36" s="99">
        <v>58</v>
      </c>
      <c r="W36" s="99">
        <v>79</v>
      </c>
      <c r="X36" s="99">
        <v>92</v>
      </c>
      <c r="Y36" s="99">
        <v>171</v>
      </c>
      <c r="Z36" s="99">
        <v>63</v>
      </c>
      <c r="AA36" s="99" t="s">
        <v>562</v>
      </c>
      <c r="AB36" s="99" t="s">
        <v>562</v>
      </c>
      <c r="AC36" s="99" t="s">
        <v>562</v>
      </c>
      <c r="AD36" s="98" t="s">
        <v>327</v>
      </c>
      <c r="AE36" s="100">
        <v>0.13289369937638879</v>
      </c>
      <c r="AF36" s="100">
        <v>0.24</v>
      </c>
      <c r="AG36" s="98">
        <v>394.23697226005305</v>
      </c>
      <c r="AH36" s="98">
        <v>186.36656870475235</v>
      </c>
      <c r="AI36" s="100">
        <v>0.013000000000000001</v>
      </c>
      <c r="AJ36" s="100">
        <v>0.653102</v>
      </c>
      <c r="AK36" s="100">
        <v>0.650257</v>
      </c>
      <c r="AL36" s="100">
        <v>0.735415</v>
      </c>
      <c r="AM36" s="100">
        <v>0.417457</v>
      </c>
      <c r="AN36" s="100">
        <v>0.449339</v>
      </c>
      <c r="AO36" s="98">
        <v>3032.040713927317</v>
      </c>
      <c r="AP36" s="158">
        <v>1.762679138</v>
      </c>
      <c r="AQ36" s="100">
        <v>0.061465721040189124</v>
      </c>
      <c r="AR36" s="100">
        <v>0.40625</v>
      </c>
      <c r="AS36" s="98">
        <v>602.1073758153537</v>
      </c>
      <c r="AT36" s="98">
        <v>430.07669701096694</v>
      </c>
      <c r="AU36" s="98">
        <v>71.67944950182783</v>
      </c>
      <c r="AV36" s="98">
        <v>415.7408071106014</v>
      </c>
      <c r="AW36" s="98">
        <v>566.2676510644399</v>
      </c>
      <c r="AX36" s="98">
        <v>659.450935416816</v>
      </c>
      <c r="AY36" s="98">
        <v>1225.718586481256</v>
      </c>
      <c r="AZ36" s="98">
        <v>451.5805318615153</v>
      </c>
      <c r="BA36" s="100" t="s">
        <v>562</v>
      </c>
      <c r="BB36" s="100" t="s">
        <v>562</v>
      </c>
      <c r="BC36" s="100" t="s">
        <v>562</v>
      </c>
      <c r="BD36" s="158">
        <v>1.598679199</v>
      </c>
      <c r="BE36" s="158">
        <v>1.9389363099999999</v>
      </c>
      <c r="BF36" s="162">
        <v>1499</v>
      </c>
      <c r="BG36" s="162">
        <v>1361</v>
      </c>
      <c r="BH36" s="162">
        <v>3651</v>
      </c>
      <c r="BI36" s="162">
        <v>1054</v>
      </c>
      <c r="BJ36" s="162">
        <v>454</v>
      </c>
      <c r="BK36" s="97"/>
      <c r="BL36" s="97"/>
      <c r="BM36" s="97"/>
      <c r="BN36" s="97"/>
    </row>
    <row r="37" spans="1:66" ht="12.75">
      <c r="A37" s="79" t="s">
        <v>524</v>
      </c>
      <c r="B37" s="79" t="s">
        <v>295</v>
      </c>
      <c r="C37" s="79" t="s">
        <v>144</v>
      </c>
      <c r="D37" s="99">
        <v>12541</v>
      </c>
      <c r="E37" s="99">
        <v>955</v>
      </c>
      <c r="F37" s="99" t="s">
        <v>347</v>
      </c>
      <c r="G37" s="99">
        <v>30</v>
      </c>
      <c r="H37" s="99">
        <v>24</v>
      </c>
      <c r="I37" s="99">
        <v>118</v>
      </c>
      <c r="J37" s="99">
        <v>574</v>
      </c>
      <c r="K37" s="99">
        <v>305</v>
      </c>
      <c r="L37" s="99">
        <v>2751</v>
      </c>
      <c r="M37" s="99">
        <v>292</v>
      </c>
      <c r="N37" s="99">
        <v>153</v>
      </c>
      <c r="O37" s="99">
        <v>233</v>
      </c>
      <c r="P37" s="159">
        <v>233</v>
      </c>
      <c r="Q37" s="99">
        <v>12</v>
      </c>
      <c r="R37" s="99">
        <v>37</v>
      </c>
      <c r="S37" s="99">
        <v>55</v>
      </c>
      <c r="T37" s="99">
        <v>30</v>
      </c>
      <c r="U37" s="99" t="s">
        <v>562</v>
      </c>
      <c r="V37" s="99">
        <v>39</v>
      </c>
      <c r="W37" s="99">
        <v>39</v>
      </c>
      <c r="X37" s="99">
        <v>36</v>
      </c>
      <c r="Y37" s="99">
        <v>100</v>
      </c>
      <c r="Z37" s="99">
        <v>62</v>
      </c>
      <c r="AA37" s="99" t="s">
        <v>562</v>
      </c>
      <c r="AB37" s="99" t="s">
        <v>562</v>
      </c>
      <c r="AC37" s="99" t="s">
        <v>562</v>
      </c>
      <c r="AD37" s="98" t="s">
        <v>327</v>
      </c>
      <c r="AE37" s="100">
        <v>0.0761502272546049</v>
      </c>
      <c r="AF37" s="100">
        <v>0.18</v>
      </c>
      <c r="AG37" s="98">
        <v>239.21537357467506</v>
      </c>
      <c r="AH37" s="98">
        <v>191.37229885974006</v>
      </c>
      <c r="AI37" s="100">
        <v>0.009000000000000001</v>
      </c>
      <c r="AJ37" s="100">
        <v>0.583927</v>
      </c>
      <c r="AK37" s="100">
        <v>0.577652</v>
      </c>
      <c r="AL37" s="100">
        <v>0.727008</v>
      </c>
      <c r="AM37" s="100">
        <v>0.413013</v>
      </c>
      <c r="AN37" s="100">
        <v>0.465046</v>
      </c>
      <c r="AO37" s="98">
        <v>1857.906068096643</v>
      </c>
      <c r="AP37" s="158">
        <v>1.307230377</v>
      </c>
      <c r="AQ37" s="100">
        <v>0.05150214592274678</v>
      </c>
      <c r="AR37" s="100">
        <v>0.32432432432432434</v>
      </c>
      <c r="AS37" s="98">
        <v>438.56151822023764</v>
      </c>
      <c r="AT37" s="98">
        <v>239.21537357467506</v>
      </c>
      <c r="AU37" s="98" t="s">
        <v>562</v>
      </c>
      <c r="AV37" s="98">
        <v>310.97998564707757</v>
      </c>
      <c r="AW37" s="98">
        <v>310.97998564707757</v>
      </c>
      <c r="AX37" s="98">
        <v>287.05844828961006</v>
      </c>
      <c r="AY37" s="98">
        <v>797.3845785822502</v>
      </c>
      <c r="AZ37" s="98">
        <v>494.3784387209951</v>
      </c>
      <c r="BA37" s="100" t="s">
        <v>562</v>
      </c>
      <c r="BB37" s="100" t="s">
        <v>562</v>
      </c>
      <c r="BC37" s="100" t="s">
        <v>562</v>
      </c>
      <c r="BD37" s="158">
        <v>1.144755554</v>
      </c>
      <c r="BE37" s="158">
        <v>1.486300354</v>
      </c>
      <c r="BF37" s="162">
        <v>983</v>
      </c>
      <c r="BG37" s="162">
        <v>528</v>
      </c>
      <c r="BH37" s="162">
        <v>3784</v>
      </c>
      <c r="BI37" s="162">
        <v>707</v>
      </c>
      <c r="BJ37" s="162">
        <v>329</v>
      </c>
      <c r="BK37" s="97"/>
      <c r="BL37" s="97"/>
      <c r="BM37" s="97"/>
      <c r="BN37" s="97"/>
    </row>
    <row r="38" spans="1:66" ht="12.75">
      <c r="A38" s="79" t="s">
        <v>518</v>
      </c>
      <c r="B38" s="79" t="s">
        <v>289</v>
      </c>
      <c r="C38" s="79" t="s">
        <v>144</v>
      </c>
      <c r="D38" s="99">
        <v>14097</v>
      </c>
      <c r="E38" s="99">
        <v>1585</v>
      </c>
      <c r="F38" s="99" t="s">
        <v>347</v>
      </c>
      <c r="G38" s="99">
        <v>40</v>
      </c>
      <c r="H38" s="99">
        <v>21</v>
      </c>
      <c r="I38" s="99">
        <v>185</v>
      </c>
      <c r="J38" s="99">
        <v>909</v>
      </c>
      <c r="K38" s="99">
        <v>482</v>
      </c>
      <c r="L38" s="99">
        <v>2904</v>
      </c>
      <c r="M38" s="99">
        <v>496</v>
      </c>
      <c r="N38" s="99">
        <v>242</v>
      </c>
      <c r="O38" s="99">
        <v>281</v>
      </c>
      <c r="P38" s="159">
        <v>281</v>
      </c>
      <c r="Q38" s="99">
        <v>31</v>
      </c>
      <c r="R38" s="99">
        <v>58</v>
      </c>
      <c r="S38" s="99">
        <v>63</v>
      </c>
      <c r="T38" s="99">
        <v>34</v>
      </c>
      <c r="U38" s="99">
        <v>6</v>
      </c>
      <c r="V38" s="99">
        <v>35</v>
      </c>
      <c r="W38" s="99">
        <v>65</v>
      </c>
      <c r="X38" s="99">
        <v>50</v>
      </c>
      <c r="Y38" s="99">
        <v>117</v>
      </c>
      <c r="Z38" s="99">
        <v>48</v>
      </c>
      <c r="AA38" s="99" t="s">
        <v>562</v>
      </c>
      <c r="AB38" s="99" t="s">
        <v>562</v>
      </c>
      <c r="AC38" s="99" t="s">
        <v>562</v>
      </c>
      <c r="AD38" s="98" t="s">
        <v>327</v>
      </c>
      <c r="AE38" s="100">
        <v>0.11243526991558488</v>
      </c>
      <c r="AF38" s="100">
        <v>0.22</v>
      </c>
      <c r="AG38" s="98">
        <v>283.74831524437826</v>
      </c>
      <c r="AH38" s="98">
        <v>148.96786550329858</v>
      </c>
      <c r="AI38" s="100">
        <v>0.013000000000000001</v>
      </c>
      <c r="AJ38" s="100">
        <v>0.685004</v>
      </c>
      <c r="AK38" s="100">
        <v>0.691535</v>
      </c>
      <c r="AL38" s="100">
        <v>0.749419</v>
      </c>
      <c r="AM38" s="100">
        <v>0.471931</v>
      </c>
      <c r="AN38" s="100">
        <v>0.506276</v>
      </c>
      <c r="AO38" s="98">
        <v>1993.3319145917571</v>
      </c>
      <c r="AP38" s="158">
        <v>1.245313644</v>
      </c>
      <c r="AQ38" s="100">
        <v>0.1103202846975089</v>
      </c>
      <c r="AR38" s="100">
        <v>0.5344827586206896</v>
      </c>
      <c r="AS38" s="98">
        <v>446.90359650989575</v>
      </c>
      <c r="AT38" s="98">
        <v>241.1860679577215</v>
      </c>
      <c r="AU38" s="98">
        <v>42.562247286656735</v>
      </c>
      <c r="AV38" s="98">
        <v>248.27977583883094</v>
      </c>
      <c r="AW38" s="98">
        <v>461.09101227211465</v>
      </c>
      <c r="AX38" s="98">
        <v>354.6853940554728</v>
      </c>
      <c r="AY38" s="98">
        <v>829.9638220898063</v>
      </c>
      <c r="AZ38" s="98">
        <v>340.4979782932539</v>
      </c>
      <c r="BA38" s="100" t="s">
        <v>562</v>
      </c>
      <c r="BB38" s="100" t="s">
        <v>562</v>
      </c>
      <c r="BC38" s="100" t="s">
        <v>562</v>
      </c>
      <c r="BD38" s="158">
        <v>1.1039514160000001</v>
      </c>
      <c r="BE38" s="158">
        <v>1.399759521</v>
      </c>
      <c r="BF38" s="162">
        <v>1327</v>
      </c>
      <c r="BG38" s="162">
        <v>697</v>
      </c>
      <c r="BH38" s="162">
        <v>3875</v>
      </c>
      <c r="BI38" s="162">
        <v>1051</v>
      </c>
      <c r="BJ38" s="162">
        <v>478</v>
      </c>
      <c r="BK38" s="97"/>
      <c r="BL38" s="97"/>
      <c r="BM38" s="97"/>
      <c r="BN38" s="97"/>
    </row>
    <row r="39" spans="1:66" ht="12.75">
      <c r="A39" s="79" t="s">
        <v>526</v>
      </c>
      <c r="B39" s="79" t="s">
        <v>297</v>
      </c>
      <c r="C39" s="79" t="s">
        <v>144</v>
      </c>
      <c r="D39" s="99">
        <v>4726</v>
      </c>
      <c r="E39" s="99">
        <v>475</v>
      </c>
      <c r="F39" s="99" t="s">
        <v>350</v>
      </c>
      <c r="G39" s="99">
        <v>16</v>
      </c>
      <c r="H39" s="99" t="s">
        <v>562</v>
      </c>
      <c r="I39" s="99">
        <v>64</v>
      </c>
      <c r="J39" s="99">
        <v>242</v>
      </c>
      <c r="K39" s="99">
        <v>137</v>
      </c>
      <c r="L39" s="99">
        <v>922</v>
      </c>
      <c r="M39" s="99">
        <v>149</v>
      </c>
      <c r="N39" s="99">
        <v>64</v>
      </c>
      <c r="O39" s="99">
        <v>109</v>
      </c>
      <c r="P39" s="159">
        <v>109</v>
      </c>
      <c r="Q39" s="99" t="s">
        <v>562</v>
      </c>
      <c r="R39" s="99">
        <v>11</v>
      </c>
      <c r="S39" s="99">
        <v>30</v>
      </c>
      <c r="T39" s="99">
        <v>11</v>
      </c>
      <c r="U39" s="99" t="s">
        <v>562</v>
      </c>
      <c r="V39" s="99">
        <v>20</v>
      </c>
      <c r="W39" s="99">
        <v>17</v>
      </c>
      <c r="X39" s="99">
        <v>6</v>
      </c>
      <c r="Y39" s="99">
        <v>37</v>
      </c>
      <c r="Z39" s="99">
        <v>13</v>
      </c>
      <c r="AA39" s="99" t="s">
        <v>562</v>
      </c>
      <c r="AB39" s="99" t="s">
        <v>562</v>
      </c>
      <c r="AC39" s="99" t="s">
        <v>562</v>
      </c>
      <c r="AD39" s="98" t="s">
        <v>327</v>
      </c>
      <c r="AE39" s="100">
        <v>0.10050782903089293</v>
      </c>
      <c r="AF39" s="100">
        <v>0.14</v>
      </c>
      <c r="AG39" s="98">
        <v>338.55268726195516</v>
      </c>
      <c r="AH39" s="98" t="s">
        <v>562</v>
      </c>
      <c r="AI39" s="100">
        <v>0.013999999999999999</v>
      </c>
      <c r="AJ39" s="100">
        <v>0.631854</v>
      </c>
      <c r="AK39" s="100">
        <v>0.61435</v>
      </c>
      <c r="AL39" s="100">
        <v>0.733492</v>
      </c>
      <c r="AM39" s="100">
        <v>0.473016</v>
      </c>
      <c r="AN39" s="100">
        <v>0.441379</v>
      </c>
      <c r="AO39" s="98">
        <v>2306.3901819720695</v>
      </c>
      <c r="AP39" s="158">
        <v>1.568386688</v>
      </c>
      <c r="AQ39" s="100" t="s">
        <v>562</v>
      </c>
      <c r="AR39" s="100" t="s">
        <v>562</v>
      </c>
      <c r="AS39" s="98">
        <v>634.7862886161658</v>
      </c>
      <c r="AT39" s="98">
        <v>232.75497249259416</v>
      </c>
      <c r="AU39" s="98" t="s">
        <v>562</v>
      </c>
      <c r="AV39" s="98">
        <v>423.1908590774439</v>
      </c>
      <c r="AW39" s="98">
        <v>359.71223021582733</v>
      </c>
      <c r="AX39" s="98">
        <v>126.95725772323318</v>
      </c>
      <c r="AY39" s="98">
        <v>782.9030892932713</v>
      </c>
      <c r="AZ39" s="98">
        <v>275.0740584003386</v>
      </c>
      <c r="BA39" s="100" t="s">
        <v>562</v>
      </c>
      <c r="BB39" s="100" t="s">
        <v>562</v>
      </c>
      <c r="BC39" s="100" t="s">
        <v>562</v>
      </c>
      <c r="BD39" s="158">
        <v>1.287808685</v>
      </c>
      <c r="BE39" s="158">
        <v>1.8919412230000001</v>
      </c>
      <c r="BF39" s="162">
        <v>383</v>
      </c>
      <c r="BG39" s="162">
        <v>223</v>
      </c>
      <c r="BH39" s="162">
        <v>1257</v>
      </c>
      <c r="BI39" s="162">
        <v>315</v>
      </c>
      <c r="BJ39" s="162">
        <v>145</v>
      </c>
      <c r="BK39" s="97"/>
      <c r="BL39" s="97"/>
      <c r="BM39" s="97"/>
      <c r="BN39" s="97"/>
    </row>
    <row r="40" spans="1:66" ht="12.75">
      <c r="A40" s="79" t="s">
        <v>528</v>
      </c>
      <c r="B40" s="79" t="s">
        <v>299</v>
      </c>
      <c r="C40" s="79" t="s">
        <v>144</v>
      </c>
      <c r="D40" s="99">
        <v>6837</v>
      </c>
      <c r="E40" s="99">
        <v>555</v>
      </c>
      <c r="F40" s="99" t="s">
        <v>348</v>
      </c>
      <c r="G40" s="99">
        <v>16</v>
      </c>
      <c r="H40" s="99">
        <v>11</v>
      </c>
      <c r="I40" s="99">
        <v>80</v>
      </c>
      <c r="J40" s="99">
        <v>264</v>
      </c>
      <c r="K40" s="99">
        <v>213</v>
      </c>
      <c r="L40" s="99">
        <v>1234</v>
      </c>
      <c r="M40" s="99">
        <v>103</v>
      </c>
      <c r="N40" s="99">
        <v>33</v>
      </c>
      <c r="O40" s="99">
        <v>125</v>
      </c>
      <c r="P40" s="159">
        <v>125</v>
      </c>
      <c r="Q40" s="99">
        <v>8</v>
      </c>
      <c r="R40" s="99">
        <v>13</v>
      </c>
      <c r="S40" s="99">
        <v>31</v>
      </c>
      <c r="T40" s="99">
        <v>15</v>
      </c>
      <c r="U40" s="99" t="s">
        <v>562</v>
      </c>
      <c r="V40" s="99">
        <v>26</v>
      </c>
      <c r="W40" s="99">
        <v>19</v>
      </c>
      <c r="X40" s="99">
        <v>10</v>
      </c>
      <c r="Y40" s="99">
        <v>38</v>
      </c>
      <c r="Z40" s="99">
        <v>30</v>
      </c>
      <c r="AA40" s="99" t="s">
        <v>562</v>
      </c>
      <c r="AB40" s="99" t="s">
        <v>562</v>
      </c>
      <c r="AC40" s="99" t="s">
        <v>562</v>
      </c>
      <c r="AD40" s="98" t="s">
        <v>327</v>
      </c>
      <c r="AE40" s="100">
        <v>0.08117595436594997</v>
      </c>
      <c r="AF40" s="100">
        <v>0.28</v>
      </c>
      <c r="AG40" s="98">
        <v>234.02076934327923</v>
      </c>
      <c r="AH40" s="98">
        <v>160.88927892350446</v>
      </c>
      <c r="AI40" s="100">
        <v>0.012</v>
      </c>
      <c r="AJ40" s="100">
        <v>0.54321</v>
      </c>
      <c r="AK40" s="100">
        <v>0.518248</v>
      </c>
      <c r="AL40" s="100">
        <v>0.65954</v>
      </c>
      <c r="AM40" s="100">
        <v>0.319876</v>
      </c>
      <c r="AN40" s="100">
        <v>0.244444</v>
      </c>
      <c r="AO40" s="98">
        <v>1828.2872604943689</v>
      </c>
      <c r="AP40" s="158">
        <v>1.37642807</v>
      </c>
      <c r="AQ40" s="100">
        <v>0.064</v>
      </c>
      <c r="AR40" s="100">
        <v>0.6153846153846154</v>
      </c>
      <c r="AS40" s="98">
        <v>453.4152406026035</v>
      </c>
      <c r="AT40" s="98">
        <v>219.39447125932426</v>
      </c>
      <c r="AU40" s="98" t="s">
        <v>562</v>
      </c>
      <c r="AV40" s="98">
        <v>380.2837501828287</v>
      </c>
      <c r="AW40" s="98">
        <v>277.8996635951441</v>
      </c>
      <c r="AX40" s="98">
        <v>146.2629808395495</v>
      </c>
      <c r="AY40" s="98">
        <v>555.7993271902882</v>
      </c>
      <c r="AZ40" s="98">
        <v>438.7889425186485</v>
      </c>
      <c r="BA40" s="100" t="s">
        <v>562</v>
      </c>
      <c r="BB40" s="100" t="s">
        <v>562</v>
      </c>
      <c r="BC40" s="100" t="s">
        <v>562</v>
      </c>
      <c r="BD40" s="158">
        <v>1.145726624</v>
      </c>
      <c r="BE40" s="158">
        <v>1.639951935</v>
      </c>
      <c r="BF40" s="162">
        <v>486</v>
      </c>
      <c r="BG40" s="162">
        <v>411</v>
      </c>
      <c r="BH40" s="162">
        <v>1871</v>
      </c>
      <c r="BI40" s="162">
        <v>322</v>
      </c>
      <c r="BJ40" s="162">
        <v>135</v>
      </c>
      <c r="BK40" s="97"/>
      <c r="BL40" s="97"/>
      <c r="BM40" s="97"/>
      <c r="BN40" s="97"/>
    </row>
    <row r="41" spans="1:66" ht="12.75">
      <c r="A41" s="79" t="s">
        <v>512</v>
      </c>
      <c r="B41" s="79" t="s">
        <v>283</v>
      </c>
      <c r="C41" s="79" t="s">
        <v>144</v>
      </c>
      <c r="D41" s="99">
        <v>15557</v>
      </c>
      <c r="E41" s="99">
        <v>1573</v>
      </c>
      <c r="F41" s="99" t="s">
        <v>347</v>
      </c>
      <c r="G41" s="99">
        <v>44</v>
      </c>
      <c r="H41" s="99">
        <v>20</v>
      </c>
      <c r="I41" s="99">
        <v>158</v>
      </c>
      <c r="J41" s="99">
        <v>1005</v>
      </c>
      <c r="K41" s="99">
        <v>579</v>
      </c>
      <c r="L41" s="99">
        <v>3278</v>
      </c>
      <c r="M41" s="99">
        <v>487</v>
      </c>
      <c r="N41" s="99">
        <v>253</v>
      </c>
      <c r="O41" s="99">
        <v>445</v>
      </c>
      <c r="P41" s="159">
        <v>445</v>
      </c>
      <c r="Q41" s="99">
        <v>28</v>
      </c>
      <c r="R41" s="99">
        <v>54</v>
      </c>
      <c r="S41" s="99">
        <v>103</v>
      </c>
      <c r="T41" s="99">
        <v>67</v>
      </c>
      <c r="U41" s="99">
        <v>11</v>
      </c>
      <c r="V41" s="99">
        <v>85</v>
      </c>
      <c r="W41" s="99">
        <v>68</v>
      </c>
      <c r="X41" s="99">
        <v>80</v>
      </c>
      <c r="Y41" s="99">
        <v>171</v>
      </c>
      <c r="Z41" s="99">
        <v>57</v>
      </c>
      <c r="AA41" s="99" t="s">
        <v>562</v>
      </c>
      <c r="AB41" s="99" t="s">
        <v>562</v>
      </c>
      <c r="AC41" s="99" t="s">
        <v>562</v>
      </c>
      <c r="AD41" s="98" t="s">
        <v>327</v>
      </c>
      <c r="AE41" s="100">
        <v>0.1011120395963232</v>
      </c>
      <c r="AF41" s="100">
        <v>0.18</v>
      </c>
      <c r="AG41" s="98">
        <v>282.83087998971524</v>
      </c>
      <c r="AH41" s="98">
        <v>128.559490904416</v>
      </c>
      <c r="AI41" s="100">
        <v>0.01</v>
      </c>
      <c r="AJ41" s="100">
        <v>0.649225</v>
      </c>
      <c r="AK41" s="100">
        <v>0.657955</v>
      </c>
      <c r="AL41" s="100">
        <v>0.719175</v>
      </c>
      <c r="AM41" s="100">
        <v>0.435599</v>
      </c>
      <c r="AN41" s="100">
        <v>0.512146</v>
      </c>
      <c r="AO41" s="98">
        <v>2860.4486726232562</v>
      </c>
      <c r="AP41" s="158">
        <v>1.800402527</v>
      </c>
      <c r="AQ41" s="100">
        <v>0.06292134831460675</v>
      </c>
      <c r="AR41" s="100">
        <v>0.5185185185185185</v>
      </c>
      <c r="AS41" s="98">
        <v>662.0813781577425</v>
      </c>
      <c r="AT41" s="98">
        <v>430.67429452979366</v>
      </c>
      <c r="AU41" s="98">
        <v>70.70771999742881</v>
      </c>
      <c r="AV41" s="98">
        <v>546.3778363437681</v>
      </c>
      <c r="AW41" s="98">
        <v>437.1022690750145</v>
      </c>
      <c r="AX41" s="98">
        <v>514.237963617664</v>
      </c>
      <c r="AY41" s="98">
        <v>1099.183647232757</v>
      </c>
      <c r="AZ41" s="98">
        <v>366.3945490775857</v>
      </c>
      <c r="BA41" s="100" t="s">
        <v>562</v>
      </c>
      <c r="BB41" s="100" t="s">
        <v>562</v>
      </c>
      <c r="BC41" s="100" t="s">
        <v>562</v>
      </c>
      <c r="BD41" s="158">
        <v>1.6369860840000001</v>
      </c>
      <c r="BE41" s="158">
        <v>1.975714874</v>
      </c>
      <c r="BF41" s="162">
        <v>1548</v>
      </c>
      <c r="BG41" s="162">
        <v>880</v>
      </c>
      <c r="BH41" s="162">
        <v>4558</v>
      </c>
      <c r="BI41" s="162">
        <v>1118</v>
      </c>
      <c r="BJ41" s="162">
        <v>494</v>
      </c>
      <c r="BK41" s="97"/>
      <c r="BL41" s="97"/>
      <c r="BM41" s="97"/>
      <c r="BN41" s="97"/>
    </row>
    <row r="42" spans="1:66" ht="12.75">
      <c r="A42" s="79" t="s">
        <v>515</v>
      </c>
      <c r="B42" s="79" t="s">
        <v>286</v>
      </c>
      <c r="C42" s="79" t="s">
        <v>144</v>
      </c>
      <c r="D42" s="99">
        <v>10899</v>
      </c>
      <c r="E42" s="99">
        <v>888</v>
      </c>
      <c r="F42" s="99" t="s">
        <v>347</v>
      </c>
      <c r="G42" s="99">
        <v>30</v>
      </c>
      <c r="H42" s="99">
        <v>21</v>
      </c>
      <c r="I42" s="99">
        <v>121</v>
      </c>
      <c r="J42" s="99">
        <v>580</v>
      </c>
      <c r="K42" s="99">
        <v>351</v>
      </c>
      <c r="L42" s="99">
        <v>2090</v>
      </c>
      <c r="M42" s="99">
        <v>261</v>
      </c>
      <c r="N42" s="99">
        <v>128</v>
      </c>
      <c r="O42" s="99">
        <v>209</v>
      </c>
      <c r="P42" s="159">
        <v>209</v>
      </c>
      <c r="Q42" s="99">
        <v>12</v>
      </c>
      <c r="R42" s="99">
        <v>29</v>
      </c>
      <c r="S42" s="99">
        <v>50</v>
      </c>
      <c r="T42" s="99">
        <v>24</v>
      </c>
      <c r="U42" s="99">
        <v>6</v>
      </c>
      <c r="V42" s="99">
        <v>40</v>
      </c>
      <c r="W42" s="99">
        <v>57</v>
      </c>
      <c r="X42" s="99">
        <v>28</v>
      </c>
      <c r="Y42" s="99">
        <v>100</v>
      </c>
      <c r="Z42" s="99">
        <v>41</v>
      </c>
      <c r="AA42" s="99" t="s">
        <v>562</v>
      </c>
      <c r="AB42" s="99" t="s">
        <v>562</v>
      </c>
      <c r="AC42" s="99" t="s">
        <v>562</v>
      </c>
      <c r="AD42" s="98" t="s">
        <v>327</v>
      </c>
      <c r="AE42" s="100">
        <v>0.08147536471235893</v>
      </c>
      <c r="AF42" s="100">
        <v>0.23</v>
      </c>
      <c r="AG42" s="98">
        <v>275.2546105147261</v>
      </c>
      <c r="AH42" s="98">
        <v>192.67822736030828</v>
      </c>
      <c r="AI42" s="100">
        <v>0.011000000000000001</v>
      </c>
      <c r="AJ42" s="100">
        <v>0.609244</v>
      </c>
      <c r="AK42" s="100">
        <v>0.579208</v>
      </c>
      <c r="AL42" s="100">
        <v>0.710884</v>
      </c>
      <c r="AM42" s="100">
        <v>0.361496</v>
      </c>
      <c r="AN42" s="100">
        <v>0.390244</v>
      </c>
      <c r="AO42" s="98">
        <v>1917.6071199192586</v>
      </c>
      <c r="AP42" s="158">
        <v>1.3246817020000001</v>
      </c>
      <c r="AQ42" s="100">
        <v>0.05741626794258373</v>
      </c>
      <c r="AR42" s="100">
        <v>0.41379310344827586</v>
      </c>
      <c r="AS42" s="98">
        <v>458.7576841912102</v>
      </c>
      <c r="AT42" s="98">
        <v>220.2036884117809</v>
      </c>
      <c r="AU42" s="98">
        <v>55.05092210294522</v>
      </c>
      <c r="AV42" s="98">
        <v>367.0061473529682</v>
      </c>
      <c r="AW42" s="98">
        <v>522.9837599779796</v>
      </c>
      <c r="AX42" s="98">
        <v>256.9043031470777</v>
      </c>
      <c r="AY42" s="98">
        <v>917.5153683824204</v>
      </c>
      <c r="AZ42" s="98">
        <v>376.1813010367924</v>
      </c>
      <c r="BA42" s="100" t="s">
        <v>562</v>
      </c>
      <c r="BB42" s="100" t="s">
        <v>562</v>
      </c>
      <c r="BC42" s="100" t="s">
        <v>562</v>
      </c>
      <c r="BD42" s="158">
        <v>1.151166382</v>
      </c>
      <c r="BE42" s="158">
        <v>1.5169668580000002</v>
      </c>
      <c r="BF42" s="162">
        <v>952</v>
      </c>
      <c r="BG42" s="162">
        <v>606</v>
      </c>
      <c r="BH42" s="162">
        <v>2940</v>
      </c>
      <c r="BI42" s="162">
        <v>722</v>
      </c>
      <c r="BJ42" s="162">
        <v>328</v>
      </c>
      <c r="BK42" s="97"/>
      <c r="BL42" s="97"/>
      <c r="BM42" s="97"/>
      <c r="BN42" s="97"/>
    </row>
    <row r="43" spans="1:66" ht="12.75">
      <c r="A43" s="79" t="s">
        <v>521</v>
      </c>
      <c r="B43" s="79" t="s">
        <v>292</v>
      </c>
      <c r="C43" s="79" t="s">
        <v>144</v>
      </c>
      <c r="D43" s="99">
        <v>10289</v>
      </c>
      <c r="E43" s="99">
        <v>1112</v>
      </c>
      <c r="F43" s="99" t="s">
        <v>350</v>
      </c>
      <c r="G43" s="99">
        <v>35</v>
      </c>
      <c r="H43" s="99">
        <v>20</v>
      </c>
      <c r="I43" s="99">
        <v>141</v>
      </c>
      <c r="J43" s="99">
        <v>792</v>
      </c>
      <c r="K43" s="99">
        <v>715</v>
      </c>
      <c r="L43" s="99">
        <v>2265</v>
      </c>
      <c r="M43" s="99">
        <v>356</v>
      </c>
      <c r="N43" s="99">
        <v>170</v>
      </c>
      <c r="O43" s="99">
        <v>184</v>
      </c>
      <c r="P43" s="159">
        <v>184</v>
      </c>
      <c r="Q43" s="99">
        <v>19</v>
      </c>
      <c r="R43" s="99">
        <v>40</v>
      </c>
      <c r="S43" s="99">
        <v>57</v>
      </c>
      <c r="T43" s="99">
        <v>7</v>
      </c>
      <c r="U43" s="99" t="s">
        <v>562</v>
      </c>
      <c r="V43" s="99">
        <v>46</v>
      </c>
      <c r="W43" s="99">
        <v>46</v>
      </c>
      <c r="X43" s="99">
        <v>37</v>
      </c>
      <c r="Y43" s="99">
        <v>73</v>
      </c>
      <c r="Z43" s="99">
        <v>42</v>
      </c>
      <c r="AA43" s="99" t="s">
        <v>562</v>
      </c>
      <c r="AB43" s="99" t="s">
        <v>562</v>
      </c>
      <c r="AC43" s="99" t="s">
        <v>562</v>
      </c>
      <c r="AD43" s="98" t="s">
        <v>327</v>
      </c>
      <c r="AE43" s="100">
        <v>0.10807658664593255</v>
      </c>
      <c r="AF43" s="100">
        <v>0.17</v>
      </c>
      <c r="AG43" s="98">
        <v>340.1691126445719</v>
      </c>
      <c r="AH43" s="98">
        <v>194.3823500826125</v>
      </c>
      <c r="AI43" s="100">
        <v>0.013999999999999999</v>
      </c>
      <c r="AJ43" s="100">
        <v>0.74929</v>
      </c>
      <c r="AK43" s="100">
        <v>0.746347</v>
      </c>
      <c r="AL43" s="100">
        <v>0.801203</v>
      </c>
      <c r="AM43" s="100">
        <v>0.480432</v>
      </c>
      <c r="AN43" s="100">
        <v>0.515152</v>
      </c>
      <c r="AO43" s="98">
        <v>1788.317620760035</v>
      </c>
      <c r="AP43" s="158">
        <v>1.1183013149999999</v>
      </c>
      <c r="AQ43" s="100">
        <v>0.10326086956521739</v>
      </c>
      <c r="AR43" s="100">
        <v>0.475</v>
      </c>
      <c r="AS43" s="98">
        <v>553.9896977354456</v>
      </c>
      <c r="AT43" s="98">
        <v>68.03382252891437</v>
      </c>
      <c r="AU43" s="98" t="s">
        <v>562</v>
      </c>
      <c r="AV43" s="98">
        <v>447.07940519000874</v>
      </c>
      <c r="AW43" s="98">
        <v>447.07940519000874</v>
      </c>
      <c r="AX43" s="98">
        <v>359.60734765283314</v>
      </c>
      <c r="AY43" s="98">
        <v>709.4955778015357</v>
      </c>
      <c r="AZ43" s="98">
        <v>408.20293517348625</v>
      </c>
      <c r="BA43" s="100" t="s">
        <v>562</v>
      </c>
      <c r="BB43" s="100" t="s">
        <v>562</v>
      </c>
      <c r="BC43" s="100" t="s">
        <v>562</v>
      </c>
      <c r="BD43" s="158">
        <v>0.9625486755</v>
      </c>
      <c r="BE43" s="158">
        <v>1.29207901</v>
      </c>
      <c r="BF43" s="162">
        <v>1057</v>
      </c>
      <c r="BG43" s="162">
        <v>958</v>
      </c>
      <c r="BH43" s="162">
        <v>2827</v>
      </c>
      <c r="BI43" s="162">
        <v>741</v>
      </c>
      <c r="BJ43" s="162">
        <v>330</v>
      </c>
      <c r="BK43" s="97"/>
      <c r="BL43" s="97"/>
      <c r="BM43" s="97"/>
      <c r="BN43" s="97"/>
    </row>
    <row r="44" spans="1:66" ht="12.75">
      <c r="A44" s="79" t="s">
        <v>539</v>
      </c>
      <c r="B44" s="79" t="s">
        <v>310</v>
      </c>
      <c r="C44" s="79" t="s">
        <v>144</v>
      </c>
      <c r="D44" s="99">
        <v>8007</v>
      </c>
      <c r="E44" s="99">
        <v>534</v>
      </c>
      <c r="F44" s="99" t="s">
        <v>347</v>
      </c>
      <c r="G44" s="99">
        <v>27</v>
      </c>
      <c r="H44" s="99" t="s">
        <v>562</v>
      </c>
      <c r="I44" s="99">
        <v>86</v>
      </c>
      <c r="J44" s="99">
        <v>478</v>
      </c>
      <c r="K44" s="99">
        <v>372</v>
      </c>
      <c r="L44" s="99">
        <v>1730</v>
      </c>
      <c r="M44" s="99">
        <v>186</v>
      </c>
      <c r="N44" s="99">
        <v>96</v>
      </c>
      <c r="O44" s="99">
        <v>84</v>
      </c>
      <c r="P44" s="159">
        <v>84</v>
      </c>
      <c r="Q44" s="99" t="s">
        <v>562</v>
      </c>
      <c r="R44" s="99">
        <v>23</v>
      </c>
      <c r="S44" s="99">
        <v>17</v>
      </c>
      <c r="T44" s="99">
        <v>10</v>
      </c>
      <c r="U44" s="99" t="s">
        <v>562</v>
      </c>
      <c r="V44" s="99">
        <v>29</v>
      </c>
      <c r="W44" s="99">
        <v>37</v>
      </c>
      <c r="X44" s="99">
        <v>19</v>
      </c>
      <c r="Y44" s="99">
        <v>64</v>
      </c>
      <c r="Z44" s="99">
        <v>22</v>
      </c>
      <c r="AA44" s="99" t="s">
        <v>562</v>
      </c>
      <c r="AB44" s="99" t="s">
        <v>562</v>
      </c>
      <c r="AC44" s="99" t="s">
        <v>562</v>
      </c>
      <c r="AD44" s="98" t="s">
        <v>327</v>
      </c>
      <c r="AE44" s="100">
        <v>0.06669164481079055</v>
      </c>
      <c r="AF44" s="100">
        <v>0.19</v>
      </c>
      <c r="AG44" s="98">
        <v>337.20494567253655</v>
      </c>
      <c r="AH44" s="98" t="s">
        <v>562</v>
      </c>
      <c r="AI44" s="100">
        <v>0.011000000000000001</v>
      </c>
      <c r="AJ44" s="100">
        <v>0.638184</v>
      </c>
      <c r="AK44" s="100">
        <v>0.642487</v>
      </c>
      <c r="AL44" s="100">
        <v>0.710764</v>
      </c>
      <c r="AM44" s="100">
        <v>0.427586</v>
      </c>
      <c r="AN44" s="100">
        <v>0.48731</v>
      </c>
      <c r="AO44" s="98">
        <v>1049.082053203447</v>
      </c>
      <c r="AP44" s="158">
        <v>0.7426441956</v>
      </c>
      <c r="AQ44" s="100" t="s">
        <v>562</v>
      </c>
      <c r="AR44" s="100" t="s">
        <v>562</v>
      </c>
      <c r="AS44" s="98">
        <v>212.31422505307856</v>
      </c>
      <c r="AT44" s="98">
        <v>124.89072061945798</v>
      </c>
      <c r="AU44" s="98" t="s">
        <v>562</v>
      </c>
      <c r="AV44" s="98">
        <v>362.18308979642813</v>
      </c>
      <c r="AW44" s="98">
        <v>462.0956662919945</v>
      </c>
      <c r="AX44" s="98">
        <v>237.29236917697014</v>
      </c>
      <c r="AY44" s="98">
        <v>799.3006119645311</v>
      </c>
      <c r="AZ44" s="98">
        <v>274.75958536280757</v>
      </c>
      <c r="BA44" s="100" t="s">
        <v>562</v>
      </c>
      <c r="BB44" s="100" t="s">
        <v>562</v>
      </c>
      <c r="BC44" s="100" t="s">
        <v>562</v>
      </c>
      <c r="BD44" s="158">
        <v>0.5923621367999999</v>
      </c>
      <c r="BE44" s="158">
        <v>0.9194441222999999</v>
      </c>
      <c r="BF44" s="162">
        <v>749</v>
      </c>
      <c r="BG44" s="162">
        <v>579</v>
      </c>
      <c r="BH44" s="162">
        <v>2434</v>
      </c>
      <c r="BI44" s="162">
        <v>435</v>
      </c>
      <c r="BJ44" s="162">
        <v>197</v>
      </c>
      <c r="BK44" s="97"/>
      <c r="BL44" s="97"/>
      <c r="BM44" s="97"/>
      <c r="BN44" s="97"/>
    </row>
    <row r="45" spans="1:66" ht="12.75">
      <c r="A45" s="79" t="s">
        <v>538</v>
      </c>
      <c r="B45" s="79" t="s">
        <v>309</v>
      </c>
      <c r="C45" s="79" t="s">
        <v>144</v>
      </c>
      <c r="D45" s="99">
        <v>9356</v>
      </c>
      <c r="E45" s="99">
        <v>830</v>
      </c>
      <c r="F45" s="99" t="s">
        <v>348</v>
      </c>
      <c r="G45" s="99">
        <v>29</v>
      </c>
      <c r="H45" s="99">
        <v>23</v>
      </c>
      <c r="I45" s="99">
        <v>110</v>
      </c>
      <c r="J45" s="99">
        <v>468</v>
      </c>
      <c r="K45" s="99">
        <v>245</v>
      </c>
      <c r="L45" s="99">
        <v>2113</v>
      </c>
      <c r="M45" s="99">
        <v>227</v>
      </c>
      <c r="N45" s="99">
        <v>106</v>
      </c>
      <c r="O45" s="99">
        <v>176</v>
      </c>
      <c r="P45" s="159">
        <v>176</v>
      </c>
      <c r="Q45" s="99">
        <v>14</v>
      </c>
      <c r="R45" s="99">
        <v>28</v>
      </c>
      <c r="S45" s="99">
        <v>42</v>
      </c>
      <c r="T45" s="99">
        <v>31</v>
      </c>
      <c r="U45" s="99">
        <v>9</v>
      </c>
      <c r="V45" s="99">
        <v>29</v>
      </c>
      <c r="W45" s="99">
        <v>32</v>
      </c>
      <c r="X45" s="99">
        <v>27</v>
      </c>
      <c r="Y45" s="99">
        <v>60</v>
      </c>
      <c r="Z45" s="99">
        <v>27</v>
      </c>
      <c r="AA45" s="99" t="s">
        <v>562</v>
      </c>
      <c r="AB45" s="99" t="s">
        <v>562</v>
      </c>
      <c r="AC45" s="99" t="s">
        <v>562</v>
      </c>
      <c r="AD45" s="98" t="s">
        <v>327</v>
      </c>
      <c r="AE45" s="100">
        <v>0.0887131252672082</v>
      </c>
      <c r="AF45" s="100">
        <v>0.24</v>
      </c>
      <c r="AG45" s="98">
        <v>309.9615220179564</v>
      </c>
      <c r="AH45" s="98">
        <v>245.83155194527575</v>
      </c>
      <c r="AI45" s="100">
        <v>0.012</v>
      </c>
      <c r="AJ45" s="100">
        <v>0.613368</v>
      </c>
      <c r="AK45" s="100">
        <v>0.614035</v>
      </c>
      <c r="AL45" s="100">
        <v>0.756263</v>
      </c>
      <c r="AM45" s="100">
        <v>0.43074</v>
      </c>
      <c r="AN45" s="100">
        <v>0.441667</v>
      </c>
      <c r="AO45" s="98">
        <v>1881.1457887986319</v>
      </c>
      <c r="AP45" s="158">
        <v>1.3003799440000001</v>
      </c>
      <c r="AQ45" s="100">
        <v>0.07954545454545454</v>
      </c>
      <c r="AR45" s="100">
        <v>0.5</v>
      </c>
      <c r="AS45" s="98">
        <v>448.90979050876444</v>
      </c>
      <c r="AT45" s="98">
        <v>331.3381787088499</v>
      </c>
      <c r="AU45" s="98">
        <v>96.19495510902095</v>
      </c>
      <c r="AV45" s="98">
        <v>309.9615220179564</v>
      </c>
      <c r="AW45" s="98">
        <v>342.0265070542967</v>
      </c>
      <c r="AX45" s="98">
        <v>288.58486532706286</v>
      </c>
      <c r="AY45" s="98">
        <v>641.2997007268063</v>
      </c>
      <c r="AZ45" s="98">
        <v>288.58486532706286</v>
      </c>
      <c r="BA45" s="100" t="s">
        <v>562</v>
      </c>
      <c r="BB45" s="100" t="s">
        <v>562</v>
      </c>
      <c r="BC45" s="100" t="s">
        <v>562</v>
      </c>
      <c r="BD45" s="158">
        <v>1.115355453</v>
      </c>
      <c r="BE45" s="158">
        <v>1.5073286440000002</v>
      </c>
      <c r="BF45" s="162">
        <v>763</v>
      </c>
      <c r="BG45" s="162">
        <v>399</v>
      </c>
      <c r="BH45" s="162">
        <v>2794</v>
      </c>
      <c r="BI45" s="162">
        <v>527</v>
      </c>
      <c r="BJ45" s="162">
        <v>240</v>
      </c>
      <c r="BK45" s="97"/>
      <c r="BL45" s="97"/>
      <c r="BM45" s="97"/>
      <c r="BN45" s="97"/>
    </row>
    <row r="46" spans="1:66" ht="12.75">
      <c r="A46" s="79" t="s">
        <v>535</v>
      </c>
      <c r="B46" s="79" t="s">
        <v>306</v>
      </c>
      <c r="C46" s="79" t="s">
        <v>144</v>
      </c>
      <c r="D46" s="99">
        <v>2080</v>
      </c>
      <c r="E46" s="99">
        <v>275</v>
      </c>
      <c r="F46" s="99" t="s">
        <v>347</v>
      </c>
      <c r="G46" s="99">
        <v>7</v>
      </c>
      <c r="H46" s="99" t="s">
        <v>562</v>
      </c>
      <c r="I46" s="99">
        <v>14</v>
      </c>
      <c r="J46" s="99">
        <v>97</v>
      </c>
      <c r="K46" s="99">
        <v>82</v>
      </c>
      <c r="L46" s="99">
        <v>362</v>
      </c>
      <c r="M46" s="99">
        <v>64</v>
      </c>
      <c r="N46" s="99">
        <v>32</v>
      </c>
      <c r="O46" s="99">
        <v>28</v>
      </c>
      <c r="P46" s="159">
        <v>28</v>
      </c>
      <c r="Q46" s="99" t="s">
        <v>562</v>
      </c>
      <c r="R46" s="99">
        <v>7</v>
      </c>
      <c r="S46" s="99">
        <v>6</v>
      </c>
      <c r="T46" s="99" t="s">
        <v>562</v>
      </c>
      <c r="U46" s="99" t="s">
        <v>562</v>
      </c>
      <c r="V46" s="99">
        <v>10</v>
      </c>
      <c r="W46" s="99" t="s">
        <v>562</v>
      </c>
      <c r="X46" s="99">
        <v>11</v>
      </c>
      <c r="Y46" s="99">
        <v>15</v>
      </c>
      <c r="Z46" s="99">
        <v>8</v>
      </c>
      <c r="AA46" s="99" t="s">
        <v>562</v>
      </c>
      <c r="AB46" s="99" t="s">
        <v>562</v>
      </c>
      <c r="AC46" s="99" t="s">
        <v>562</v>
      </c>
      <c r="AD46" s="98" t="s">
        <v>327</v>
      </c>
      <c r="AE46" s="100">
        <v>0.13221153846153846</v>
      </c>
      <c r="AF46" s="100">
        <v>0.23</v>
      </c>
      <c r="AG46" s="98">
        <v>336.53846153846155</v>
      </c>
      <c r="AH46" s="98" t="s">
        <v>562</v>
      </c>
      <c r="AI46" s="100">
        <v>0.006999999999999999</v>
      </c>
      <c r="AJ46" s="100">
        <v>0.577381</v>
      </c>
      <c r="AK46" s="100">
        <v>0.546667</v>
      </c>
      <c r="AL46" s="100">
        <v>0.85782</v>
      </c>
      <c r="AM46" s="100">
        <v>0.412903</v>
      </c>
      <c r="AN46" s="100">
        <v>0.432432</v>
      </c>
      <c r="AO46" s="98">
        <v>1346.1538461538462</v>
      </c>
      <c r="AP46" s="158">
        <v>0.8620811462</v>
      </c>
      <c r="AQ46" s="100" t="s">
        <v>562</v>
      </c>
      <c r="AR46" s="100" t="s">
        <v>562</v>
      </c>
      <c r="AS46" s="98">
        <v>288.46153846153845</v>
      </c>
      <c r="AT46" s="98" t="s">
        <v>562</v>
      </c>
      <c r="AU46" s="98" t="s">
        <v>562</v>
      </c>
      <c r="AV46" s="98">
        <v>480.7692307692308</v>
      </c>
      <c r="AW46" s="98" t="s">
        <v>562</v>
      </c>
      <c r="AX46" s="98">
        <v>528.8461538461538</v>
      </c>
      <c r="AY46" s="98">
        <v>721.1538461538462</v>
      </c>
      <c r="AZ46" s="98">
        <v>384.61538461538464</v>
      </c>
      <c r="BA46" s="100" t="s">
        <v>562</v>
      </c>
      <c r="BB46" s="100" t="s">
        <v>562</v>
      </c>
      <c r="BC46" s="100" t="s">
        <v>562</v>
      </c>
      <c r="BD46" s="158">
        <v>0.5728466797</v>
      </c>
      <c r="BE46" s="158">
        <v>1.245947342</v>
      </c>
      <c r="BF46" s="162">
        <v>168</v>
      </c>
      <c r="BG46" s="162">
        <v>150</v>
      </c>
      <c r="BH46" s="162">
        <v>422</v>
      </c>
      <c r="BI46" s="162">
        <v>155</v>
      </c>
      <c r="BJ46" s="162">
        <v>74</v>
      </c>
      <c r="BK46" s="97"/>
      <c r="BL46" s="97"/>
      <c r="BM46" s="97"/>
      <c r="BN46" s="97"/>
    </row>
    <row r="47" spans="1:66" ht="12.75">
      <c r="A47" s="79" t="s">
        <v>529</v>
      </c>
      <c r="B47" s="79" t="s">
        <v>300</v>
      </c>
      <c r="C47" s="79" t="s">
        <v>144</v>
      </c>
      <c r="D47" s="99">
        <v>7507</v>
      </c>
      <c r="E47" s="99">
        <v>872</v>
      </c>
      <c r="F47" s="99" t="s">
        <v>347</v>
      </c>
      <c r="G47" s="99">
        <v>20</v>
      </c>
      <c r="H47" s="99">
        <v>7</v>
      </c>
      <c r="I47" s="99">
        <v>96</v>
      </c>
      <c r="J47" s="99">
        <v>514</v>
      </c>
      <c r="K47" s="99">
        <v>341</v>
      </c>
      <c r="L47" s="99">
        <v>1574</v>
      </c>
      <c r="M47" s="99">
        <v>245</v>
      </c>
      <c r="N47" s="99">
        <v>118</v>
      </c>
      <c r="O47" s="99">
        <v>132</v>
      </c>
      <c r="P47" s="159">
        <v>132</v>
      </c>
      <c r="Q47" s="99" t="s">
        <v>562</v>
      </c>
      <c r="R47" s="99">
        <v>15</v>
      </c>
      <c r="S47" s="99">
        <v>52</v>
      </c>
      <c r="T47" s="99">
        <v>12</v>
      </c>
      <c r="U47" s="99" t="s">
        <v>562</v>
      </c>
      <c r="V47" s="99">
        <v>22</v>
      </c>
      <c r="W47" s="99">
        <v>30</v>
      </c>
      <c r="X47" s="99">
        <v>15</v>
      </c>
      <c r="Y47" s="99">
        <v>53</v>
      </c>
      <c r="Z47" s="99">
        <v>29</v>
      </c>
      <c r="AA47" s="99" t="s">
        <v>562</v>
      </c>
      <c r="AB47" s="99" t="s">
        <v>562</v>
      </c>
      <c r="AC47" s="99" t="s">
        <v>562</v>
      </c>
      <c r="AD47" s="98" t="s">
        <v>327</v>
      </c>
      <c r="AE47" s="100">
        <v>0.11615825229785534</v>
      </c>
      <c r="AF47" s="100">
        <v>0.2</v>
      </c>
      <c r="AG47" s="98">
        <v>266.41800985746636</v>
      </c>
      <c r="AH47" s="98">
        <v>93.24630345011323</v>
      </c>
      <c r="AI47" s="100">
        <v>0.013000000000000001</v>
      </c>
      <c r="AJ47" s="100">
        <v>0.643304</v>
      </c>
      <c r="AK47" s="100">
        <v>0.636194</v>
      </c>
      <c r="AL47" s="100">
        <v>0.720037</v>
      </c>
      <c r="AM47" s="100">
        <v>0.422414</v>
      </c>
      <c r="AN47" s="100">
        <v>0.452107</v>
      </c>
      <c r="AO47" s="98">
        <v>1758.358865059278</v>
      </c>
      <c r="AP47" s="158">
        <v>1.055001221</v>
      </c>
      <c r="AQ47" s="100" t="s">
        <v>562</v>
      </c>
      <c r="AR47" s="100" t="s">
        <v>562</v>
      </c>
      <c r="AS47" s="98">
        <v>692.6868256294125</v>
      </c>
      <c r="AT47" s="98">
        <v>159.85080591447982</v>
      </c>
      <c r="AU47" s="98" t="s">
        <v>562</v>
      </c>
      <c r="AV47" s="98">
        <v>293.05981084321303</v>
      </c>
      <c r="AW47" s="98">
        <v>399.62701478619954</v>
      </c>
      <c r="AX47" s="98">
        <v>199.81350739309977</v>
      </c>
      <c r="AY47" s="98">
        <v>706.0077261222858</v>
      </c>
      <c r="AZ47" s="98">
        <v>386.30611429332623</v>
      </c>
      <c r="BA47" s="100" t="s">
        <v>562</v>
      </c>
      <c r="BB47" s="100" t="s">
        <v>562</v>
      </c>
      <c r="BC47" s="100" t="s">
        <v>562</v>
      </c>
      <c r="BD47" s="158">
        <v>0.8827108002</v>
      </c>
      <c r="BE47" s="158">
        <v>1.251096878</v>
      </c>
      <c r="BF47" s="162">
        <v>799</v>
      </c>
      <c r="BG47" s="162">
        <v>536</v>
      </c>
      <c r="BH47" s="162">
        <v>2186</v>
      </c>
      <c r="BI47" s="162">
        <v>580</v>
      </c>
      <c r="BJ47" s="162">
        <v>261</v>
      </c>
      <c r="BK47" s="97"/>
      <c r="BL47" s="97"/>
      <c r="BM47" s="97"/>
      <c r="BN47" s="97"/>
    </row>
    <row r="48" spans="1:66" ht="12.75">
      <c r="A48" s="79" t="s">
        <v>145</v>
      </c>
      <c r="B48" s="94" t="s">
        <v>144</v>
      </c>
      <c r="C48" s="94" t="s">
        <v>7</v>
      </c>
      <c r="D48" s="99">
        <v>290986</v>
      </c>
      <c r="E48" s="99">
        <v>27729</v>
      </c>
      <c r="F48" s="99">
        <v>60217.40000000001</v>
      </c>
      <c r="G48" s="99">
        <v>865</v>
      </c>
      <c r="H48" s="99">
        <v>437</v>
      </c>
      <c r="I48" s="99">
        <v>3192</v>
      </c>
      <c r="J48" s="99">
        <v>15164</v>
      </c>
      <c r="K48" s="99">
        <v>9526</v>
      </c>
      <c r="L48" s="99">
        <v>58367</v>
      </c>
      <c r="M48" s="99">
        <v>7447</v>
      </c>
      <c r="N48" s="99">
        <v>3582</v>
      </c>
      <c r="O48" s="99">
        <v>5274</v>
      </c>
      <c r="P48" s="99">
        <v>5274</v>
      </c>
      <c r="Q48" s="99">
        <v>367</v>
      </c>
      <c r="R48" s="99">
        <v>918</v>
      </c>
      <c r="S48" s="99">
        <v>1329</v>
      </c>
      <c r="T48" s="99">
        <v>652</v>
      </c>
      <c r="U48" s="99">
        <v>124</v>
      </c>
      <c r="V48" s="99">
        <v>1085</v>
      </c>
      <c r="W48" s="99">
        <v>1183</v>
      </c>
      <c r="X48" s="99">
        <v>954</v>
      </c>
      <c r="Y48" s="99">
        <v>2345</v>
      </c>
      <c r="Z48" s="99">
        <v>1033</v>
      </c>
      <c r="AA48" s="99">
        <v>0</v>
      </c>
      <c r="AB48" s="99">
        <v>0</v>
      </c>
      <c r="AC48" s="99">
        <v>0</v>
      </c>
      <c r="AD48" s="98">
        <v>0</v>
      </c>
      <c r="AE48" s="101">
        <v>0.09529324434852536</v>
      </c>
      <c r="AF48" s="101">
        <v>0.20694260204958317</v>
      </c>
      <c r="AG48" s="98">
        <v>297.2651605231867</v>
      </c>
      <c r="AH48" s="98">
        <v>150.17904641460413</v>
      </c>
      <c r="AI48" s="101">
        <v>0.010969599912023259</v>
      </c>
      <c r="AJ48" s="101">
        <v>0.6258357408171688</v>
      </c>
      <c r="AK48" s="101">
        <v>0.6200208279093986</v>
      </c>
      <c r="AL48" s="101">
        <v>0.7061520779142217</v>
      </c>
      <c r="AM48" s="101">
        <v>0.40886131547161525</v>
      </c>
      <c r="AN48" s="101">
        <v>0.4392935982339956</v>
      </c>
      <c r="AO48" s="98">
        <v>1812.458331328655</v>
      </c>
      <c r="AP48" s="98">
        <v>0</v>
      </c>
      <c r="AQ48" s="101">
        <v>0.06958665149791429</v>
      </c>
      <c r="AR48" s="101">
        <v>0.3997821350762527</v>
      </c>
      <c r="AS48" s="98">
        <v>456.7230038558556</v>
      </c>
      <c r="AT48" s="98">
        <v>224.06576261400892</v>
      </c>
      <c r="AU48" s="98">
        <v>42.61373399407532</v>
      </c>
      <c r="AV48" s="98">
        <v>372.870172448159</v>
      </c>
      <c r="AW48" s="98">
        <v>406.54876866928305</v>
      </c>
      <c r="AX48" s="98">
        <v>327.8508244382891</v>
      </c>
      <c r="AY48" s="98">
        <v>805.8806952911824</v>
      </c>
      <c r="AZ48" s="98">
        <v>354.99989690225647</v>
      </c>
      <c r="BA48" s="101">
        <v>0</v>
      </c>
      <c r="BB48" s="101">
        <v>0</v>
      </c>
      <c r="BC48" s="101">
        <v>0</v>
      </c>
      <c r="BD48" s="98">
        <v>0</v>
      </c>
      <c r="BE48" s="98">
        <v>0</v>
      </c>
      <c r="BF48" s="99">
        <v>24230</v>
      </c>
      <c r="BG48" s="99">
        <v>15364</v>
      </c>
      <c r="BH48" s="99">
        <v>82655</v>
      </c>
      <c r="BI48" s="99">
        <v>18214</v>
      </c>
      <c r="BJ48" s="99">
        <v>8154</v>
      </c>
      <c r="BK48" s="97"/>
      <c r="BL48" s="97"/>
      <c r="BM48" s="97"/>
      <c r="BN48" s="97"/>
    </row>
    <row r="49" spans="1:66" ht="12.75">
      <c r="A49" s="79" t="s">
        <v>24</v>
      </c>
      <c r="B49" s="94" t="s">
        <v>7</v>
      </c>
      <c r="C49" s="94" t="s">
        <v>7</v>
      </c>
      <c r="D49" s="99">
        <v>54615830</v>
      </c>
      <c r="E49" s="99">
        <v>8737890</v>
      </c>
      <c r="F49" s="99">
        <v>8198344.169999988</v>
      </c>
      <c r="G49" s="99">
        <v>243379</v>
      </c>
      <c r="H49" s="99">
        <v>127868</v>
      </c>
      <c r="I49" s="99">
        <v>870616</v>
      </c>
      <c r="J49" s="99">
        <v>4592627</v>
      </c>
      <c r="K49" s="99">
        <v>1679592</v>
      </c>
      <c r="L49" s="99">
        <v>10150944</v>
      </c>
      <c r="M49" s="99">
        <v>2959539</v>
      </c>
      <c r="N49" s="99">
        <v>1629320</v>
      </c>
      <c r="O49" s="99">
        <v>989730</v>
      </c>
      <c r="P49" s="99">
        <v>989730</v>
      </c>
      <c r="Q49" s="99">
        <v>108072</v>
      </c>
      <c r="R49" s="99">
        <v>238330</v>
      </c>
      <c r="S49" s="99">
        <v>206300</v>
      </c>
      <c r="T49" s="99">
        <v>154264</v>
      </c>
      <c r="U49" s="99">
        <v>38486</v>
      </c>
      <c r="V49" s="99">
        <v>176535</v>
      </c>
      <c r="W49" s="99">
        <v>307276</v>
      </c>
      <c r="X49" s="99">
        <v>221506</v>
      </c>
      <c r="Y49" s="99">
        <v>578574</v>
      </c>
      <c r="Z49" s="99">
        <v>318377</v>
      </c>
      <c r="AA49" s="99">
        <v>0</v>
      </c>
      <c r="AB49" s="99">
        <v>0</v>
      </c>
      <c r="AC49" s="99">
        <v>0</v>
      </c>
      <c r="AD49" s="98">
        <v>0</v>
      </c>
      <c r="AE49" s="101">
        <v>0.1599882305185145</v>
      </c>
      <c r="AF49" s="101">
        <v>0.15010930292554353</v>
      </c>
      <c r="AG49" s="98">
        <v>445.6198871279627</v>
      </c>
      <c r="AH49" s="98">
        <v>234.12259778895606</v>
      </c>
      <c r="AI49" s="101">
        <v>0.015940726342527432</v>
      </c>
      <c r="AJ49" s="101">
        <v>0.7248631360507991</v>
      </c>
      <c r="AK49" s="101">
        <v>0.7467412166569077</v>
      </c>
      <c r="AL49" s="101">
        <v>0.7559681673907895</v>
      </c>
      <c r="AM49" s="101">
        <v>0.5147293797466616</v>
      </c>
      <c r="AN49" s="101">
        <v>0.5752927626212945</v>
      </c>
      <c r="AO49" s="98">
        <v>1812.1669120472948</v>
      </c>
      <c r="AP49" s="98">
        <v>1</v>
      </c>
      <c r="AQ49" s="101">
        <v>0.10919341638628717</v>
      </c>
      <c r="AR49" s="101">
        <v>0.4534552930810221</v>
      </c>
      <c r="AS49" s="98">
        <v>377.7293140102421</v>
      </c>
      <c r="AT49" s="98">
        <v>282.45290788403287</v>
      </c>
      <c r="AU49" s="98">
        <v>70.46674929228394</v>
      </c>
      <c r="AV49" s="98">
        <v>323.23046266988894</v>
      </c>
      <c r="AW49" s="98">
        <v>562.6134400960308</v>
      </c>
      <c r="AX49" s="98">
        <v>405.57105879375996</v>
      </c>
      <c r="AY49" s="98">
        <v>1059.3522061277838</v>
      </c>
      <c r="AZ49" s="98">
        <v>582.9390489900089</v>
      </c>
      <c r="BA49" s="101">
        <v>0</v>
      </c>
      <c r="BB49" s="101">
        <v>0</v>
      </c>
      <c r="BC49" s="101">
        <v>0</v>
      </c>
      <c r="BD49" s="98">
        <v>0</v>
      </c>
      <c r="BE49" s="98">
        <v>0</v>
      </c>
      <c r="BF49" s="99">
        <v>6335854</v>
      </c>
      <c r="BG49" s="99">
        <v>2249229</v>
      </c>
      <c r="BH49" s="99">
        <v>13427740</v>
      </c>
      <c r="BI49" s="99">
        <v>5749699</v>
      </c>
      <c r="BJ49" s="99">
        <v>2832158</v>
      </c>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332</v>
      </c>
      <c r="O4" s="75" t="s">
        <v>331</v>
      </c>
      <c r="P4" s="75" t="s">
        <v>458</v>
      </c>
      <c r="Q4" s="75" t="s">
        <v>459</v>
      </c>
      <c r="R4" s="75" t="s">
        <v>460</v>
      </c>
      <c r="S4" s="75" t="s">
        <v>461</v>
      </c>
      <c r="T4" s="39" t="s">
        <v>278</v>
      </c>
      <c r="U4" s="40" t="s">
        <v>279</v>
      </c>
      <c r="V4" s="41" t="s">
        <v>7</v>
      </c>
      <c r="W4" s="24" t="s">
        <v>2</v>
      </c>
      <c r="X4" s="24" t="s">
        <v>3</v>
      </c>
      <c r="Y4" s="75" t="s">
        <v>566</v>
      </c>
      <c r="Z4" s="75" t="s">
        <v>565</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383</v>
      </c>
      <c r="E7" s="38">
        <f>IF(LEFT(VLOOKUP($B7,'Indicator chart'!$D$1:$J$36,5,FALSE),1)=" "," ",VLOOKUP($B7,'Indicator chart'!$D$1:$J$36,5,FALSE))</f>
        <v>0.10224239188467699</v>
      </c>
      <c r="F7" s="38">
        <f>IF(LEFT(VLOOKUP($B7,'Indicator chart'!$D$1:$J$36,6,FALSE),1)=" "," ",VLOOKUP($B7,'Indicator chart'!$D$1:$J$36,6,FALSE))</f>
        <v>0.09294416251075983</v>
      </c>
      <c r="G7" s="38">
        <f>IF(LEFT(VLOOKUP($B7,'Indicator chart'!$D$1:$J$36,7,FALSE),1)=" "," ",VLOOKUP($B7,'Indicator chart'!$D$1:$J$36,7,FALSE))</f>
        <v>0.11235560268465535</v>
      </c>
      <c r="H7" s="50">
        <f aca="true" t="shared" si="0" ref="H7:H31">IF(LEFT(F7,1)=" ",4,IF(AND(ABS(N7-E7)&gt;SQRT((E7-G7)^2+(N7-R7)^2),E7&lt;N7),1,IF(AND(ABS(N7-E7)&gt;SQRT((E7-F7)^2+(N7-S7)^2),E7&gt;N7),3,2)))</f>
        <v>2</v>
      </c>
      <c r="I7" s="38">
        <v>0.021661212667822838</v>
      </c>
      <c r="J7" s="38">
        <v>0.07888011634349823</v>
      </c>
      <c r="K7" s="38">
        <v>0.09504430741071701</v>
      </c>
      <c r="L7" s="38">
        <v>0.11594720929861069</v>
      </c>
      <c r="M7" s="38">
        <v>0.1810830682516098</v>
      </c>
      <c r="N7" s="80">
        <f>VLOOKUP('Hide - Control'!B$3,'All practice data'!A:CA,A7+29,FALSE)</f>
        <v>0.09529324434852536</v>
      </c>
      <c r="O7" s="80">
        <f>VLOOKUP('Hide - Control'!C$3,'All practice data'!A:CA,A7+29,FALSE)</f>
        <v>0.1599882305185145</v>
      </c>
      <c r="P7" s="38">
        <f>VLOOKUP('Hide - Control'!$B$4,'All practice data'!B:BC,A7+2,FALSE)</f>
        <v>27729</v>
      </c>
      <c r="Q7" s="38">
        <f>VLOOKUP('Hide - Control'!$B$4,'All practice data'!B:BC,3,FALSE)</f>
        <v>290986</v>
      </c>
      <c r="R7" s="38">
        <f>+((2*P7+1.96^2-1.96*SQRT(1.96^2+4*P7*(1-P7/Q7)))/(2*(Q7+1.96^2)))</f>
        <v>0.09423172686578649</v>
      </c>
      <c r="S7" s="38">
        <f>+((2*P7+1.96^2+1.96*SQRT(1.96^2+4*P7*(1-P7/Q7)))/(2*(Q7+1.96^2)))</f>
        <v>0.09636544757523359</v>
      </c>
      <c r="T7" s="53">
        <f>IF($C7=1,M7,I7)</f>
        <v>0.1810830682516098</v>
      </c>
      <c r="U7" s="51">
        <f aca="true" t="shared" si="1" ref="U7:U15">IF($C7=1,I7,M7)</f>
        <v>0.021661212667822838</v>
      </c>
      <c r="V7" s="7">
        <v>1</v>
      </c>
      <c r="W7" s="27">
        <f aca="true" t="shared" si="2" ref="W7:W31">IF((K7-I7)&gt;(M7-K7),I7,(K7-(M7-K7)))</f>
        <v>0.009005546569824219</v>
      </c>
      <c r="X7" s="27">
        <f aca="true" t="shared" si="3" ref="X7:X31">IF(W7=I7,K7+(K7-I7),M7)</f>
        <v>0.1810830682516098</v>
      </c>
      <c r="Y7" s="27">
        <f aca="true" t="shared" si="4" ref="Y7:Y31">IF(C7=1,W7,X7)</f>
        <v>0.009005546569824219</v>
      </c>
      <c r="Z7" s="27">
        <f aca="true" t="shared" si="5" ref="Z7:Z31">IF(C7=1,X7,W7)</f>
        <v>0.1810830682516098</v>
      </c>
      <c r="AA7" s="32">
        <f aca="true" t="shared" si="6" ref="AA7:AA31">IF(ISERROR(IF(C7=1,(I7-$Y7)/($Z7-$Y7),(U7-$Y7)/($Z7-$Y7))),"",IF(C7=1,(I7-$Y7)/($Z7-$Y7),(U7-$Y7)/($Z7-$Y7)))</f>
        <v>0.0735463061898469</v>
      </c>
      <c r="AB7" s="33">
        <f aca="true" t="shared" si="7" ref="AB7:AB31">IF(ISERROR(IF(C7=1,(J7-$Y7)/($Z7-$Y7),(L7-$Y7)/($Z7-$Y7))),"",IF(C7=1,(J7-$Y7)/($Z7-$Y7),(L7-$Y7)/($Z7-$Y7)))</f>
        <v>0.40606448239584475</v>
      </c>
      <c r="AC7" s="33">
        <v>0.5</v>
      </c>
      <c r="AD7" s="33">
        <f aca="true" t="shared" si="8" ref="AD7:AD31">IF(ISERROR(IF(C7=1,(L7-$Y7)/($Z7-$Y7),(J7-$Y7)/($Z7-$Y7))),"",IF(C7=1,(L7-$Y7)/($Z7-$Y7),(J7-$Y7)/($Z7-$Y7)))</f>
        <v>0.6214737502237414</v>
      </c>
      <c r="AE7" s="33">
        <f aca="true" t="shared" si="9" ref="AE7:AE31">IF(ISERROR(IF(C7=1,(M7-$Y7)/($Z7-$Y7),(I7-$Y7)/($Z7-$Y7))),"",IF(C7=1,(M7-$Y7)/($Z7-$Y7),(I7-$Y7)/($Z7-$Y7)))</f>
        <v>1</v>
      </c>
      <c r="AF7" s="33">
        <f aca="true" t="shared" si="10" ref="AF7:AF30">IF(E7=" ",-999,IF(H7=4,(E7-$Y7)/($Z7-$Y7),-999))</f>
        <v>-999</v>
      </c>
      <c r="AG7" s="33">
        <f aca="true" t="shared" si="11" ref="AG7:AG31">IF(E7=" ",-999,IF(H7=2,(E7-$Y7)/($Z7-$Y7),-999))</f>
        <v>0.5418304750301497</v>
      </c>
      <c r="AH7" s="33">
        <f aca="true" t="shared" si="12" ref="AH7:AH31">IF(E7=" ",-999,IF(MAX(AK7:AL7)&gt;-999,MAX(AK7:AL7),-999))</f>
        <v>-999</v>
      </c>
      <c r="AI7" s="34">
        <f aca="true" t="shared" si="13" ref="AI7:AI31">IF(ISERROR((O7-$Y7)/($Z7-$Y7)),-999,(O7-$Y7)/($Z7-$Y7))</f>
        <v>0.8774108464201097</v>
      </c>
      <c r="AJ7" s="4">
        <v>2.7020512924389086</v>
      </c>
      <c r="AK7" s="32">
        <f aca="true" t="shared" si="14" ref="AK7:AK31">IF(H7=1,(E7-$Y7)/($Z7-$Y7),-999)</f>
        <v>-999</v>
      </c>
      <c r="AL7" s="34">
        <f aca="true" t="shared" si="15" ref="AL7:AL31">IF(H7=3,(E7-$Y7)/($Z7-$Y7),-999)</f>
        <v>-999</v>
      </c>
      <c r="AQ7" s="103">
        <v>2</v>
      </c>
      <c r="AR7" s="103">
        <v>0.2422</v>
      </c>
      <c r="AS7" s="103">
        <v>7.2247</v>
      </c>
      <c r="AY7" s="103" t="s">
        <v>68</v>
      </c>
      <c r="AZ7" s="103" t="s">
        <v>380</v>
      </c>
      <c r="BA7" s="103" t="s">
        <v>327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0.17775706083282977</v>
      </c>
      <c r="G8" s="38">
        <f>IF(LEFT(VLOOKUP($B8,'Indicator chart'!$D$1:$J$36,7,FALSE),1)=" "," ",VLOOKUP($B8,'Indicator chart'!$D$1:$J$36,7,FALSE))</f>
        <v>0.20287811053014193</v>
      </c>
      <c r="H8" s="50">
        <f t="shared" si="0"/>
        <v>1</v>
      </c>
      <c r="I8" s="38">
        <v>0.11999999731779099</v>
      </c>
      <c r="J8" s="38">
        <v>0.18000000715255737</v>
      </c>
      <c r="K8" s="38">
        <v>0.20999999344348907</v>
      </c>
      <c r="L8" s="38">
        <v>0.23000000417232513</v>
      </c>
      <c r="M8" s="38">
        <v>0.3400000035762787</v>
      </c>
      <c r="N8" s="80">
        <f>VLOOKUP('Hide - Control'!B$3,'All practice data'!A:CA,A8+29,FALSE)</f>
        <v>0.20694260204958317</v>
      </c>
      <c r="O8" s="80">
        <f>VLOOKUP('Hide - Control'!C$3,'All practice data'!A:CA,A8+29,FALSE)</f>
        <v>0.15010930292554353</v>
      </c>
      <c r="P8" s="38">
        <f>VLOOKUP('Hide - Control'!$B$4,'All practice data'!B:BC,A8+2,FALSE)</f>
        <v>60217.40000000001</v>
      </c>
      <c r="Q8" s="38">
        <f>VLOOKUP('Hide - Control'!$B$4,'All practice data'!B:BC,3,FALSE)</f>
        <v>290986</v>
      </c>
      <c r="R8" s="38">
        <f>+((2*P8+1.96^2-1.96*SQRT(1.96^2+4*P8*(1-P8/Q8)))/(2*(Q8+1.96^2)))</f>
        <v>0.20547451124260738</v>
      </c>
      <c r="S8" s="38">
        <f>+((2*P8+1.96^2+1.96*SQRT(1.96^2+4*P8*(1-P8/Q8)))/(2*(Q8+1.96^2)))</f>
        <v>0.20841843064763635</v>
      </c>
      <c r="T8" s="53">
        <f aca="true" t="shared" si="16" ref="T8:T15">IF($C8=1,M8,I8)</f>
        <v>0.3400000035762787</v>
      </c>
      <c r="U8" s="51">
        <f t="shared" si="1"/>
        <v>0.11999999731779099</v>
      </c>
      <c r="V8" s="7"/>
      <c r="W8" s="27">
        <f t="shared" si="2"/>
        <v>0.07999998331069946</v>
      </c>
      <c r="X8" s="27">
        <f t="shared" si="3"/>
        <v>0.3400000035762787</v>
      </c>
      <c r="Y8" s="27">
        <f t="shared" si="4"/>
        <v>0.07999998331069946</v>
      </c>
      <c r="Z8" s="27">
        <f t="shared" si="5"/>
        <v>0.3400000035762787</v>
      </c>
      <c r="AA8" s="32">
        <f t="shared" si="6"/>
        <v>0.1538461957281125</v>
      </c>
      <c r="AB8" s="33">
        <f t="shared" si="7"/>
        <v>0.3846154463361658</v>
      </c>
      <c r="AC8" s="33">
        <v>0.5</v>
      </c>
      <c r="AD8" s="33">
        <f t="shared" si="8"/>
        <v>0.5769231121920948</v>
      </c>
      <c r="AE8" s="33">
        <f t="shared" si="9"/>
        <v>1</v>
      </c>
      <c r="AF8" s="33">
        <f t="shared" si="10"/>
        <v>-999</v>
      </c>
      <c r="AG8" s="33">
        <f t="shared" si="11"/>
        <v>-999</v>
      </c>
      <c r="AH8" s="33">
        <f t="shared" si="12"/>
        <v>0.42307695429000386</v>
      </c>
      <c r="AI8" s="34">
        <f t="shared" si="13"/>
        <v>0.26965120827002365</v>
      </c>
      <c r="AJ8" s="4">
        <v>3.778046717820832</v>
      </c>
      <c r="AK8" s="32">
        <f t="shared" si="14"/>
        <v>0.42307695429000386</v>
      </c>
      <c r="AL8" s="34">
        <f t="shared" si="15"/>
        <v>-999</v>
      </c>
      <c r="AQ8" s="103">
        <v>3</v>
      </c>
      <c r="AR8" s="103">
        <v>0.6187</v>
      </c>
      <c r="AS8" s="103">
        <v>8.7673</v>
      </c>
      <c r="AY8" s="103" t="s">
        <v>118</v>
      </c>
      <c r="AZ8" s="103" t="s">
        <v>119</v>
      </c>
      <c r="BA8" s="103" t="s">
        <v>327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320.3416978109984</v>
      </c>
      <c r="F9" s="38">
        <f>IF(LEFT(VLOOKUP($B9,'Indicator chart'!$D$1:$J$36,6,FALSE),1)=" "," ",VLOOKUP($B9,'Indicator chart'!$D$1:$J$36,6,FALSE))</f>
        <v>165.33447858707015</v>
      </c>
      <c r="G9" s="38">
        <f>IF(LEFT(VLOOKUP($B9,'Indicator chart'!$D$1:$J$36,7,FALSE),1)=" "," ",VLOOKUP($B9,'Indicator chart'!$D$1:$J$36,7,FALSE))</f>
        <v>559.6112285133355</v>
      </c>
      <c r="H9" s="50">
        <f t="shared" si="0"/>
        <v>2</v>
      </c>
      <c r="I9" s="38">
        <v>92.60600280761719</v>
      </c>
      <c r="J9" s="38">
        <v>193.63076782226562</v>
      </c>
      <c r="K9" s="38">
        <v>296.85491943359375</v>
      </c>
      <c r="L9" s="38">
        <v>394.67083740234375</v>
      </c>
      <c r="M9" s="38">
        <v>563.5873413085938</v>
      </c>
      <c r="N9" s="80">
        <f>VLOOKUP('Hide - Control'!B$3,'All practice data'!A:CA,A9+29,FALSE)</f>
        <v>297.2651605231867</v>
      </c>
      <c r="O9" s="80">
        <f>VLOOKUP('Hide - Control'!C$3,'All practice data'!A:CA,A9+29,FALSE)</f>
        <v>445.6198871279627</v>
      </c>
      <c r="P9" s="38">
        <f>VLOOKUP('Hide - Control'!$B$4,'All practice data'!B:BC,A9+2,FALSE)</f>
        <v>865</v>
      </c>
      <c r="Q9" s="38">
        <f>VLOOKUP('Hide - Control'!$B$4,'All practice data'!B:BC,3,FALSE)</f>
        <v>290986</v>
      </c>
      <c r="R9" s="38">
        <f>100000*(P9*(1-1/(9*P9)-1.96/(3*SQRT(P9)))^3)/Q9</f>
        <v>277.7821185218905</v>
      </c>
      <c r="S9" s="38">
        <f>100000*((P9+1)*(1-1/(9*(P9+1))+1.96/(3*SQRT(P9+1)))^3)/Q9</f>
        <v>317.7542547905894</v>
      </c>
      <c r="T9" s="53">
        <f t="shared" si="16"/>
        <v>563.5873413085938</v>
      </c>
      <c r="U9" s="51">
        <f t="shared" si="1"/>
        <v>92.60600280761719</v>
      </c>
      <c r="V9" s="7"/>
      <c r="W9" s="27">
        <f t="shared" si="2"/>
        <v>30.12249755859375</v>
      </c>
      <c r="X9" s="27">
        <f t="shared" si="3"/>
        <v>563.5873413085938</v>
      </c>
      <c r="Y9" s="27">
        <f t="shared" si="4"/>
        <v>30.12249755859375</v>
      </c>
      <c r="Z9" s="27">
        <f t="shared" si="5"/>
        <v>563.5873413085938</v>
      </c>
      <c r="AA9" s="32">
        <f t="shared" si="6"/>
        <v>0.11712769075801621</v>
      </c>
      <c r="AB9" s="33">
        <f t="shared" si="7"/>
        <v>0.30650242875291983</v>
      </c>
      <c r="AC9" s="33">
        <v>0.5</v>
      </c>
      <c r="AD9" s="33">
        <f t="shared" si="8"/>
        <v>0.6833596330006517</v>
      </c>
      <c r="AE9" s="33">
        <f t="shared" si="9"/>
        <v>1</v>
      </c>
      <c r="AF9" s="33">
        <f t="shared" si="10"/>
        <v>-999</v>
      </c>
      <c r="AG9" s="33">
        <f t="shared" si="11"/>
        <v>0.5440268532267356</v>
      </c>
      <c r="AH9" s="33">
        <f t="shared" si="12"/>
        <v>-999</v>
      </c>
      <c r="AI9" s="34">
        <f t="shared" si="13"/>
        <v>0.778865551192883</v>
      </c>
      <c r="AJ9" s="4">
        <v>4.854042143202755</v>
      </c>
      <c r="AK9" s="32">
        <f t="shared" si="14"/>
        <v>-999</v>
      </c>
      <c r="AL9" s="34">
        <f t="shared" si="15"/>
        <v>-999</v>
      </c>
      <c r="AQ9" s="103">
        <v>4</v>
      </c>
      <c r="AR9" s="103">
        <v>1.0899</v>
      </c>
      <c r="AS9" s="103">
        <v>10.2416</v>
      </c>
      <c r="AY9" s="103" t="s">
        <v>90</v>
      </c>
      <c r="AZ9" s="103" t="s">
        <v>390</v>
      </c>
      <c r="BA9" s="103" t="s">
        <v>327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240.2562733582488</v>
      </c>
      <c r="F10" s="38">
        <f>IF(LEFT(VLOOKUP($B10,'Indicator chart'!$D$1:$J$36,6,FALSE),1)=" "," ",VLOOKUP($B10,'Indicator chart'!$D$1:$J$36,6,FALSE))</f>
        <v>109.63216720561022</v>
      </c>
      <c r="G10" s="38">
        <f>IF(LEFT(VLOOKUP($B10,'Indicator chart'!$D$1:$J$36,7,FALSE),1)=" "," ",VLOOKUP($B10,'Indicator chart'!$D$1:$J$36,7,FALSE))</f>
        <v>456.1116780762216</v>
      </c>
      <c r="H10" s="50">
        <f t="shared" si="0"/>
        <v>2</v>
      </c>
      <c r="I10" s="38">
        <v>44.173431396484375</v>
      </c>
      <c r="J10" s="38">
        <v>92.99037170410156</v>
      </c>
      <c r="K10" s="38">
        <v>145.8469696044922</v>
      </c>
      <c r="L10" s="38">
        <v>193.10426330566406</v>
      </c>
      <c r="M10" s="38">
        <v>395.0834045410156</v>
      </c>
      <c r="N10" s="80">
        <f>VLOOKUP('Hide - Control'!B$3,'All practice data'!A:CA,A10+29,FALSE)</f>
        <v>150.17904641460413</v>
      </c>
      <c r="O10" s="80">
        <f>VLOOKUP('Hide - Control'!C$3,'All practice data'!A:CA,A10+29,FALSE)</f>
        <v>234.12259778895606</v>
      </c>
      <c r="P10" s="38">
        <f>VLOOKUP('Hide - Control'!$B$4,'All practice data'!B:BC,A10+2,FALSE)</f>
        <v>437</v>
      </c>
      <c r="Q10" s="38">
        <f>VLOOKUP('Hide - Control'!$B$4,'All practice data'!B:BC,3,FALSE)</f>
        <v>290986</v>
      </c>
      <c r="R10" s="38">
        <f>100000*(P10*(1-1/(9*P10)-1.96/(3*SQRT(P10)))^3)/Q10</f>
        <v>136.42633789695154</v>
      </c>
      <c r="S10" s="38">
        <f>100000*((P10+1)*(1-1/(9*(P10+1))+1.96/(3*SQRT(P10+1)))^3)/Q10</f>
        <v>164.94238100660618</v>
      </c>
      <c r="T10" s="53">
        <f t="shared" si="16"/>
        <v>395.0834045410156</v>
      </c>
      <c r="U10" s="51">
        <f t="shared" si="1"/>
        <v>44.173431396484375</v>
      </c>
      <c r="V10" s="7"/>
      <c r="W10" s="27">
        <f t="shared" si="2"/>
        <v>-103.38946533203125</v>
      </c>
      <c r="X10" s="27">
        <f t="shared" si="3"/>
        <v>395.0834045410156</v>
      </c>
      <c r="Y10" s="27">
        <f t="shared" si="4"/>
        <v>-103.38946533203125</v>
      </c>
      <c r="Z10" s="27">
        <f t="shared" si="5"/>
        <v>395.0834045410156</v>
      </c>
      <c r="AA10" s="32">
        <f t="shared" si="6"/>
        <v>0.2960299459549274</v>
      </c>
      <c r="AB10" s="33">
        <f t="shared" si="7"/>
        <v>0.3939629394196471</v>
      </c>
      <c r="AC10" s="33">
        <v>0.5</v>
      </c>
      <c r="AD10" s="33">
        <f t="shared" si="8"/>
        <v>0.594804143931058</v>
      </c>
      <c r="AE10" s="33">
        <f t="shared" si="9"/>
        <v>1</v>
      </c>
      <c r="AF10" s="33">
        <f t="shared" si="10"/>
        <v>-999</v>
      </c>
      <c r="AG10" s="33">
        <f t="shared" si="11"/>
        <v>0.6893970754673191</v>
      </c>
      <c r="AH10" s="33">
        <f t="shared" si="12"/>
        <v>-999</v>
      </c>
      <c r="AI10" s="34">
        <f t="shared" si="13"/>
        <v>0.6770921418590871</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44</v>
      </c>
      <c r="E11" s="38">
        <f>IF(LEFT(VLOOKUP($B11,'Indicator chart'!$D$1:$J$36,5,FALSE),1)=" "," ",VLOOKUP($B11,'Indicator chart'!$D$1:$J$36,5,FALSE))</f>
        <v>0.012</v>
      </c>
      <c r="F11" s="38">
        <f>IF(LEFT(VLOOKUP($B11,'Indicator chart'!$D$1:$J$36,6,FALSE),1)=" "," ",VLOOKUP($B11,'Indicator chart'!$D$1:$J$36,6,FALSE))</f>
        <v>0.008761506113840776</v>
      </c>
      <c r="G11" s="38">
        <f>IF(LEFT(VLOOKUP($B11,'Indicator chart'!$D$1:$J$36,7,FALSE),1)=" "," ",VLOOKUP($B11,'Indicator chart'!$D$1:$J$36,7,FALSE))</f>
        <v>0.01573062176697424</v>
      </c>
      <c r="H11" s="50">
        <f t="shared" si="0"/>
        <v>2</v>
      </c>
      <c r="I11" s="38">
        <v>0.003000000026077032</v>
      </c>
      <c r="J11" s="38">
        <v>0.00774999987334013</v>
      </c>
      <c r="K11" s="38">
        <v>0.010999999940395355</v>
      </c>
      <c r="L11" s="38">
        <v>0.013000000268220901</v>
      </c>
      <c r="M11" s="38">
        <v>0.01899999938905239</v>
      </c>
      <c r="N11" s="80">
        <f>VLOOKUP('Hide - Control'!B$3,'All practice data'!A:CA,A11+29,FALSE)</f>
        <v>0.010969599912023259</v>
      </c>
      <c r="O11" s="80">
        <f>VLOOKUP('Hide - Control'!C$3,'All practice data'!A:CA,A11+29,FALSE)</f>
        <v>0.015940726342527432</v>
      </c>
      <c r="P11" s="38">
        <f>VLOOKUP('Hide - Control'!$B$4,'All practice data'!B:BC,A11+2,FALSE)</f>
        <v>3192</v>
      </c>
      <c r="Q11" s="38">
        <f>VLOOKUP('Hide - Control'!$B$4,'All practice data'!B:BC,3,FALSE)</f>
        <v>290986</v>
      </c>
      <c r="R11" s="80">
        <f aca="true" t="shared" si="17" ref="R11:R16">+((2*P11+1.96^2-1.96*SQRT(1.96^2+4*P11*(1-P11/Q11)))/(2*(Q11+1.96^2)))</f>
        <v>0.010597543224988402</v>
      </c>
      <c r="S11" s="80">
        <f aca="true" t="shared" si="18" ref="S11:S16">+((2*P11+1.96^2+1.96*SQRT(1.96^2+4*P11*(1-P11/Q11)))/(2*(Q11+1.96^2)))</f>
        <v>0.01135456879678054</v>
      </c>
      <c r="T11" s="53">
        <f t="shared" si="16"/>
        <v>0.01899999938905239</v>
      </c>
      <c r="U11" s="51">
        <f t="shared" si="1"/>
        <v>0.003000000026077032</v>
      </c>
      <c r="V11" s="7"/>
      <c r="W11" s="27">
        <f t="shared" si="2"/>
        <v>0.003000000026077032</v>
      </c>
      <c r="X11" s="27">
        <f t="shared" si="3"/>
        <v>0.01899999985471368</v>
      </c>
      <c r="Y11" s="27">
        <f t="shared" si="4"/>
        <v>0.003000000026077032</v>
      </c>
      <c r="Z11" s="27">
        <f t="shared" si="5"/>
        <v>0.01899999985471368</v>
      </c>
      <c r="AA11" s="32">
        <f t="shared" si="6"/>
        <v>0</v>
      </c>
      <c r="AB11" s="33">
        <f t="shared" si="7"/>
        <v>0.29687499363353703</v>
      </c>
      <c r="AC11" s="33">
        <v>0.5</v>
      </c>
      <c r="AD11" s="33">
        <f t="shared" si="8"/>
        <v>0.6250000218278731</v>
      </c>
      <c r="AE11" s="33">
        <f t="shared" si="9"/>
        <v>0.9999999708961692</v>
      </c>
      <c r="AF11" s="33">
        <f t="shared" si="10"/>
        <v>-999</v>
      </c>
      <c r="AG11" s="33">
        <f t="shared" si="11"/>
        <v>0.5625000043946785</v>
      </c>
      <c r="AH11" s="33">
        <f t="shared" si="12"/>
        <v>-999</v>
      </c>
      <c r="AI11" s="34">
        <f t="shared" si="13"/>
        <v>0.8087954034405184</v>
      </c>
      <c r="AJ11" s="4">
        <v>7.0060329939666</v>
      </c>
      <c r="AK11" s="32">
        <f t="shared" si="14"/>
        <v>-999</v>
      </c>
      <c r="AL11" s="34">
        <f t="shared" si="15"/>
        <v>-999</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186</v>
      </c>
      <c r="E12" s="38">
        <f>IF(LEFT(VLOOKUP($B12,'Indicator chart'!$D$1:$J$36,5,FALSE),1)=" "," ",VLOOKUP($B12,'Indicator chart'!$D$1:$J$36,5,FALSE))</f>
        <v>0.611842</v>
      </c>
      <c r="F12" s="38">
        <f>IF(LEFT(VLOOKUP($B12,'Indicator chart'!$D$1:$J$36,6,FALSE),1)=" "," ",VLOOKUP($B12,'Indicator chart'!$D$1:$J$36,6,FALSE))</f>
        <v>0.5559887498536348</v>
      </c>
      <c r="G12" s="38">
        <f>IF(LEFT(VLOOKUP($B12,'Indicator chart'!$D$1:$J$36,7,FALSE),1)=" "," ",VLOOKUP($B12,'Indicator chart'!$D$1:$J$36,7,FALSE))</f>
        <v>0.6649040729487415</v>
      </c>
      <c r="H12" s="50">
        <f t="shared" si="0"/>
        <v>2</v>
      </c>
      <c r="I12" s="38">
        <v>0.4523810148239136</v>
      </c>
      <c r="J12" s="38">
        <v>0.5673679709434509</v>
      </c>
      <c r="K12" s="38">
        <v>0.6056889891624451</v>
      </c>
      <c r="L12" s="38">
        <v>0.6363584995269775</v>
      </c>
      <c r="M12" s="38">
        <v>0.7492899894714355</v>
      </c>
      <c r="N12" s="80">
        <f>VLOOKUP('Hide - Control'!B$3,'All practice data'!A:CA,A12+29,FALSE)</f>
        <v>0.6258357408171688</v>
      </c>
      <c r="O12" s="80">
        <f>VLOOKUP('Hide - Control'!C$3,'All practice data'!A:CA,A12+29,FALSE)</f>
        <v>0.7248631360507991</v>
      </c>
      <c r="P12" s="38">
        <f>VLOOKUP('Hide - Control'!$B$4,'All practice data'!B:BC,A12+2,FALSE)</f>
        <v>15164</v>
      </c>
      <c r="Q12" s="38">
        <f>VLOOKUP('Hide - Control'!$B$4,'All practice data'!B:BJ,57,FALSE)</f>
        <v>24230</v>
      </c>
      <c r="R12" s="38">
        <f t="shared" si="17"/>
        <v>0.6197231098554443</v>
      </c>
      <c r="S12" s="38">
        <f t="shared" si="18"/>
        <v>0.6319084762815221</v>
      </c>
      <c r="T12" s="53">
        <f t="shared" si="16"/>
        <v>0.7492899894714355</v>
      </c>
      <c r="U12" s="51">
        <f t="shared" si="1"/>
        <v>0.4523810148239136</v>
      </c>
      <c r="V12" s="7"/>
      <c r="W12" s="27">
        <f t="shared" si="2"/>
        <v>0.4523810148239136</v>
      </c>
      <c r="X12" s="27">
        <f t="shared" si="3"/>
        <v>0.7589969635009766</v>
      </c>
      <c r="Y12" s="27">
        <f t="shared" si="4"/>
        <v>0.4523810148239136</v>
      </c>
      <c r="Z12" s="27">
        <f t="shared" si="5"/>
        <v>0.7589969635009766</v>
      </c>
      <c r="AA12" s="32">
        <f t="shared" si="6"/>
        <v>0</v>
      </c>
      <c r="AB12" s="33">
        <f t="shared" si="7"/>
        <v>0.37501948811098873</v>
      </c>
      <c r="AC12" s="33">
        <v>0.5</v>
      </c>
      <c r="AD12" s="33">
        <f t="shared" si="8"/>
        <v>0.6000258156722125</v>
      </c>
      <c r="AE12" s="33">
        <f t="shared" si="9"/>
        <v>0.9683415879982007</v>
      </c>
      <c r="AF12" s="33">
        <f t="shared" si="10"/>
        <v>-999</v>
      </c>
      <c r="AG12" s="33">
        <f t="shared" si="11"/>
        <v>0.5200674846305384</v>
      </c>
      <c r="AH12" s="33">
        <f t="shared" si="12"/>
        <v>-999</v>
      </c>
      <c r="AI12" s="34">
        <f t="shared" si="13"/>
        <v>0.8886756295703059</v>
      </c>
      <c r="AJ12" s="4">
        <v>8.082028419348523</v>
      </c>
      <c r="AK12" s="32">
        <f t="shared" si="14"/>
        <v>-999</v>
      </c>
      <c r="AL12" s="34">
        <f t="shared" si="15"/>
        <v>-999</v>
      </c>
      <c r="AY12" s="103" t="s">
        <v>261</v>
      </c>
      <c r="AZ12" s="103" t="s">
        <v>443</v>
      </c>
      <c r="BA12" s="103" t="s">
        <v>327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158</v>
      </c>
      <c r="E13" s="38">
        <f>IF(LEFT(VLOOKUP($B13,'Indicator chart'!$D$1:$J$36,5,FALSE),1)=" "," ",VLOOKUP($B13,'Indicator chart'!$D$1:$J$36,5,FALSE))</f>
        <v>0.598485</v>
      </c>
      <c r="F13" s="38">
        <f>IF(LEFT(VLOOKUP($B13,'Indicator chart'!$D$1:$J$36,6,FALSE),1)=" "," ",VLOOKUP($B13,'Indicator chart'!$D$1:$J$36,6,FALSE))</f>
        <v>0.5383476707430899</v>
      </c>
      <c r="G13" s="38">
        <f>IF(LEFT(VLOOKUP($B13,'Indicator chart'!$D$1:$J$36,7,FALSE),1)=" "," ",VLOOKUP($B13,'Indicator chart'!$D$1:$J$36,7,FALSE))</f>
        <v>0.6557969281541688</v>
      </c>
      <c r="H13" s="50">
        <f t="shared" si="0"/>
        <v>2</v>
      </c>
      <c r="I13" s="38">
        <v>0.21428599953651428</v>
      </c>
      <c r="J13" s="38">
        <v>0.5515599846839905</v>
      </c>
      <c r="K13" s="38">
        <v>0.598022997379303</v>
      </c>
      <c r="L13" s="38">
        <v>0.6223992705345154</v>
      </c>
      <c r="M13" s="38">
        <v>0.7463470101356506</v>
      </c>
      <c r="N13" s="80">
        <f>VLOOKUP('Hide - Control'!B$3,'All practice data'!A:CA,A13+29,FALSE)</f>
        <v>0.6200208279093986</v>
      </c>
      <c r="O13" s="80">
        <f>VLOOKUP('Hide - Control'!C$3,'All practice data'!A:CA,A13+29,FALSE)</f>
        <v>0.7467412166569077</v>
      </c>
      <c r="P13" s="38">
        <f>VLOOKUP('Hide - Control'!$B$4,'All practice data'!B:BC,A13+2,FALSE)</f>
        <v>9526</v>
      </c>
      <c r="Q13" s="38">
        <f>VLOOKUP('Hide - Control'!$B$4,'All practice data'!B:BJ,58,FALSE)</f>
        <v>15364</v>
      </c>
      <c r="R13" s="38">
        <f t="shared" si="17"/>
        <v>0.6123165747205659</v>
      </c>
      <c r="S13" s="38">
        <f t="shared" si="18"/>
        <v>0.6276650763136301</v>
      </c>
      <c r="T13" s="53">
        <f t="shared" si="16"/>
        <v>0.7463470101356506</v>
      </c>
      <c r="U13" s="51">
        <f t="shared" si="1"/>
        <v>0.21428599953651428</v>
      </c>
      <c r="V13" s="7"/>
      <c r="W13" s="27">
        <f t="shared" si="2"/>
        <v>0.21428599953651428</v>
      </c>
      <c r="X13" s="27">
        <f t="shared" si="3"/>
        <v>0.9817599952220917</v>
      </c>
      <c r="Y13" s="27">
        <f t="shared" si="4"/>
        <v>0.21428599953651428</v>
      </c>
      <c r="Z13" s="27">
        <f t="shared" si="5"/>
        <v>0.9817599952220917</v>
      </c>
      <c r="AA13" s="32">
        <f t="shared" si="6"/>
        <v>0</v>
      </c>
      <c r="AB13" s="33">
        <f t="shared" si="7"/>
        <v>0.4394598214968736</v>
      </c>
      <c r="AC13" s="33">
        <v>0.5</v>
      </c>
      <c r="AD13" s="33">
        <f t="shared" si="8"/>
        <v>0.531761692633556</v>
      </c>
      <c r="AE13" s="33">
        <f t="shared" si="9"/>
        <v>0.6932625907720186</v>
      </c>
      <c r="AF13" s="33">
        <f t="shared" si="10"/>
        <v>-999</v>
      </c>
      <c r="AG13" s="33">
        <f t="shared" si="11"/>
        <v>0.5006019782081143</v>
      </c>
      <c r="AH13" s="33">
        <f t="shared" si="12"/>
        <v>-999</v>
      </c>
      <c r="AI13" s="34">
        <f t="shared" si="13"/>
        <v>0.6937762323070714</v>
      </c>
      <c r="AJ13" s="4">
        <v>9.158023844730446</v>
      </c>
      <c r="AK13" s="32">
        <f t="shared" si="14"/>
        <v>-999</v>
      </c>
      <c r="AL13" s="34">
        <f t="shared" si="15"/>
        <v>-999</v>
      </c>
      <c r="AY13" s="103" t="s">
        <v>260</v>
      </c>
      <c r="AZ13" s="103" t="s">
        <v>442</v>
      </c>
      <c r="BA13" s="103" t="s">
        <v>327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708</v>
      </c>
      <c r="E14" s="38">
        <f>IF(LEFT(VLOOKUP($B14,'Indicator chart'!$D$1:$J$36,5,FALSE),1)=" "," ",VLOOKUP($B14,'Indicator chart'!$D$1:$J$36,5,FALSE))</f>
        <v>0.685382</v>
      </c>
      <c r="F14" s="38">
        <f>IF(LEFT(VLOOKUP($B14,'Indicator chart'!$D$1:$J$36,6,FALSE),1)=" "," ",VLOOKUP($B14,'Indicator chart'!$D$1:$J$36,6,FALSE))</f>
        <v>0.6564216004754582</v>
      </c>
      <c r="G14" s="38">
        <f>IF(LEFT(VLOOKUP($B14,'Indicator chart'!$D$1:$J$36,7,FALSE),1)=" "," ",VLOOKUP($B14,'Indicator chart'!$D$1:$J$36,7,FALSE))</f>
        <v>0.7129694424765222</v>
      </c>
      <c r="H14" s="50">
        <f t="shared" si="0"/>
        <v>2</v>
      </c>
      <c r="I14" s="38">
        <v>0.4579710066318512</v>
      </c>
      <c r="J14" s="38">
        <v>0.6552789807319641</v>
      </c>
      <c r="K14" s="38">
        <v>0.7108240127563477</v>
      </c>
      <c r="L14" s="38">
        <v>0.7364462614059448</v>
      </c>
      <c r="M14" s="38">
        <v>0.8578199744224548</v>
      </c>
      <c r="N14" s="80">
        <f>VLOOKUP('Hide - Control'!B$3,'All practice data'!A:CA,A14+29,FALSE)</f>
        <v>0.7061520779142217</v>
      </c>
      <c r="O14" s="80">
        <f>VLOOKUP('Hide - Control'!C$3,'All practice data'!A:CA,A14+29,FALSE)</f>
        <v>0.7559681673907895</v>
      </c>
      <c r="P14" s="38">
        <f>VLOOKUP('Hide - Control'!$B$4,'All practice data'!B:BC,A14+2,FALSE)</f>
        <v>58367</v>
      </c>
      <c r="Q14" s="38">
        <f>VLOOKUP('Hide - Control'!$B$4,'All practice data'!B:BJ,59,FALSE)</f>
        <v>82655</v>
      </c>
      <c r="R14" s="38">
        <f t="shared" si="17"/>
        <v>0.7030370514078708</v>
      </c>
      <c r="S14" s="38">
        <f t="shared" si="18"/>
        <v>0.7092479424336108</v>
      </c>
      <c r="T14" s="53">
        <f t="shared" si="16"/>
        <v>0.8578199744224548</v>
      </c>
      <c r="U14" s="51">
        <f t="shared" si="1"/>
        <v>0.4579710066318512</v>
      </c>
      <c r="V14" s="7"/>
      <c r="W14" s="27">
        <f t="shared" si="2"/>
        <v>0.4579710066318512</v>
      </c>
      <c r="X14" s="27">
        <f t="shared" si="3"/>
        <v>0.9636770188808441</v>
      </c>
      <c r="Y14" s="27">
        <f t="shared" si="4"/>
        <v>0.4579710066318512</v>
      </c>
      <c r="Z14" s="27">
        <f t="shared" si="5"/>
        <v>0.9636770188808441</v>
      </c>
      <c r="AA14" s="32">
        <f t="shared" si="6"/>
        <v>0</v>
      </c>
      <c r="AB14" s="33">
        <f t="shared" si="7"/>
        <v>0.390163393989797</v>
      </c>
      <c r="AC14" s="33">
        <v>0.5</v>
      </c>
      <c r="AD14" s="33">
        <f t="shared" si="8"/>
        <v>0.5506662923299034</v>
      </c>
      <c r="AE14" s="33">
        <f t="shared" si="9"/>
        <v>0.7906747361226373</v>
      </c>
      <c r="AF14" s="33">
        <f t="shared" si="10"/>
        <v>-999</v>
      </c>
      <c r="AG14" s="33">
        <f t="shared" si="11"/>
        <v>0.44969011215982774</v>
      </c>
      <c r="AH14" s="33">
        <f t="shared" si="12"/>
        <v>-999</v>
      </c>
      <c r="AI14" s="34">
        <f t="shared" si="13"/>
        <v>0.5892695628309327</v>
      </c>
      <c r="AJ14" s="4">
        <v>10.234019270112368</v>
      </c>
      <c r="AK14" s="32">
        <f t="shared" si="14"/>
        <v>-999</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82</v>
      </c>
      <c r="E15" s="38">
        <f>IF(LEFT(VLOOKUP($B15,'Indicator chart'!$D$1:$J$36,5,FALSE),1)=" "," ",VLOOKUP($B15,'Indicator chart'!$D$1:$J$36,5,FALSE))</f>
        <v>0.372727</v>
      </c>
      <c r="F15" s="38">
        <f>IF(LEFT(VLOOKUP($B15,'Indicator chart'!$D$1:$J$36,6,FALSE),1)=" "," ",VLOOKUP($B15,'Indicator chart'!$D$1:$J$36,6,FALSE))</f>
        <v>0.31152931658860566</v>
      </c>
      <c r="G15" s="38">
        <f>IF(LEFT(VLOOKUP($B15,'Indicator chart'!$D$1:$J$36,7,FALSE),1)=" "," ",VLOOKUP($B15,'Indicator chart'!$D$1:$J$36,7,FALSE))</f>
        <v>0.4382937725958891</v>
      </c>
      <c r="H15" s="50">
        <f t="shared" si="0"/>
        <v>2</v>
      </c>
      <c r="I15" s="38">
        <v>0.2661289870738983</v>
      </c>
      <c r="J15" s="38">
        <v>0.34133926033973694</v>
      </c>
      <c r="K15" s="38">
        <v>0.392753005027771</v>
      </c>
      <c r="L15" s="38">
        <v>0.43150249123573303</v>
      </c>
      <c r="M15" s="38">
        <v>0.5030490159988403</v>
      </c>
      <c r="N15" s="80">
        <f>VLOOKUP('Hide - Control'!B$3,'All practice data'!A:CA,A15+29,FALSE)</f>
        <v>0.40886131547161525</v>
      </c>
      <c r="O15" s="80">
        <f>VLOOKUP('Hide - Control'!C$3,'All practice data'!A:CA,A15+29,FALSE)</f>
        <v>0.5147293797466616</v>
      </c>
      <c r="P15" s="38">
        <f>VLOOKUP('Hide - Control'!$B$4,'All practice data'!B:BC,A15+2,FALSE)</f>
        <v>7447</v>
      </c>
      <c r="Q15" s="38">
        <f>VLOOKUP('Hide - Control'!$B$4,'All practice data'!B:BJ,60,FALSE)</f>
        <v>18214</v>
      </c>
      <c r="R15" s="38">
        <f t="shared" si="17"/>
        <v>0.40174145987637266</v>
      </c>
      <c r="S15" s="38">
        <f t="shared" si="18"/>
        <v>0.41601960793310927</v>
      </c>
      <c r="T15" s="53">
        <f t="shared" si="16"/>
        <v>0.5030490159988403</v>
      </c>
      <c r="U15" s="51">
        <f t="shared" si="1"/>
        <v>0.2661289870738983</v>
      </c>
      <c r="V15" s="7"/>
      <c r="W15" s="27">
        <f t="shared" si="2"/>
        <v>0.2661289870738983</v>
      </c>
      <c r="X15" s="27">
        <f t="shared" si="3"/>
        <v>0.5193770229816437</v>
      </c>
      <c r="Y15" s="27">
        <f t="shared" si="4"/>
        <v>0.2661289870738983</v>
      </c>
      <c r="Z15" s="27">
        <f t="shared" si="5"/>
        <v>0.5193770229816437</v>
      </c>
      <c r="AA15" s="32">
        <f t="shared" si="6"/>
        <v>0</v>
      </c>
      <c r="AB15" s="33">
        <f t="shared" si="7"/>
        <v>0.29698265179531996</v>
      </c>
      <c r="AC15" s="33">
        <v>0.5</v>
      </c>
      <c r="AD15" s="33">
        <f t="shared" si="8"/>
        <v>0.6530100167176732</v>
      </c>
      <c r="AE15" s="33">
        <f t="shared" si="9"/>
        <v>0.9355256323142762</v>
      </c>
      <c r="AF15" s="33">
        <f t="shared" si="10"/>
        <v>-999</v>
      </c>
      <c r="AG15" s="33">
        <f t="shared" si="11"/>
        <v>0.42092335501837336</v>
      </c>
      <c r="AH15" s="33">
        <f t="shared" si="12"/>
        <v>-999</v>
      </c>
      <c r="AI15" s="34">
        <f t="shared" si="13"/>
        <v>0.9816478606899238</v>
      </c>
      <c r="AJ15" s="4">
        <v>11.310014695494289</v>
      </c>
      <c r="AK15" s="32">
        <f t="shared" si="14"/>
        <v>-999</v>
      </c>
      <c r="AL15" s="34">
        <f t="shared" si="15"/>
        <v>-999</v>
      </c>
      <c r="AY15" s="103" t="s">
        <v>229</v>
      </c>
      <c r="AZ15" s="103" t="s">
        <v>230</v>
      </c>
      <c r="BA15" s="103" t="s">
        <v>327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v>
      </c>
      <c r="E16" s="38">
        <f>IF(LEFT(VLOOKUP($B16,'Indicator chart'!$D$1:$J$36,5,FALSE),1)=" "," ",VLOOKUP($B16,'Indicator chart'!$D$1:$J$36,5,FALSE))</f>
        <v>0.42268</v>
      </c>
      <c r="F16" s="38">
        <f>IF(LEFT(VLOOKUP($B16,'Indicator chart'!$D$1:$J$36,6,FALSE),1)=" "," ",VLOOKUP($B16,'Indicator chart'!$D$1:$J$36,6,FALSE))</f>
        <v>0.3291646600667981</v>
      </c>
      <c r="G16" s="38">
        <f>IF(LEFT(VLOOKUP($B16,'Indicator chart'!$D$1:$J$36,7,FALSE),1)=" "," ",VLOOKUP($B16,'Indicator chart'!$D$1:$J$36,7,FALSE))</f>
        <v>0.5220872042431691</v>
      </c>
      <c r="H16" s="50">
        <f t="shared" si="0"/>
        <v>2</v>
      </c>
      <c r="I16" s="38">
        <v>0.21818199753761292</v>
      </c>
      <c r="J16" s="38">
        <v>0.3738119900226593</v>
      </c>
      <c r="K16" s="38">
        <v>0.42260751128196716</v>
      </c>
      <c r="L16" s="38">
        <v>0.4661315083503723</v>
      </c>
      <c r="M16" s="38">
        <v>0.5384619832038879</v>
      </c>
      <c r="N16" s="80">
        <f>VLOOKUP('Hide - Control'!B$3,'All practice data'!A:CA,A16+29,FALSE)</f>
        <v>0.4392935982339956</v>
      </c>
      <c r="O16" s="80">
        <f>VLOOKUP('Hide - Control'!C$3,'All practice data'!A:CA,A16+29,FALSE)</f>
        <v>0.5752927626212945</v>
      </c>
      <c r="P16" s="38">
        <f>VLOOKUP('Hide - Control'!$B$4,'All practice data'!B:BC,A16+2,FALSE)</f>
        <v>3582</v>
      </c>
      <c r="Q16" s="38">
        <f>VLOOKUP('Hide - Control'!$B$4,'All practice data'!B:BJ,61,FALSE)</f>
        <v>8154</v>
      </c>
      <c r="R16" s="38">
        <f t="shared" si="17"/>
        <v>0.4285521988514544</v>
      </c>
      <c r="S16" s="38">
        <f t="shared" si="18"/>
        <v>0.4500921719831056</v>
      </c>
      <c r="T16" s="53">
        <f aca="true" t="shared" si="19" ref="T16:T31">IF($C16=1,M16,I16)</f>
        <v>0.5384619832038879</v>
      </c>
      <c r="U16" s="51">
        <f aca="true" t="shared" si="20" ref="U16:U31">IF($C16=1,I16,M16)</f>
        <v>0.21818199753761292</v>
      </c>
      <c r="V16" s="7"/>
      <c r="W16" s="27">
        <f t="shared" si="2"/>
        <v>0.21818199753761292</v>
      </c>
      <c r="X16" s="27">
        <f t="shared" si="3"/>
        <v>0.6270330250263214</v>
      </c>
      <c r="Y16" s="27">
        <f t="shared" si="4"/>
        <v>0.21818199753761292</v>
      </c>
      <c r="Z16" s="27">
        <f t="shared" si="5"/>
        <v>0.6270330250263214</v>
      </c>
      <c r="AA16" s="32">
        <f t="shared" si="6"/>
        <v>0</v>
      </c>
      <c r="AB16" s="33">
        <f t="shared" si="7"/>
        <v>0.3806520762366056</v>
      </c>
      <c r="AC16" s="33">
        <v>0.5</v>
      </c>
      <c r="AD16" s="33">
        <f t="shared" si="8"/>
        <v>0.6064544152811434</v>
      </c>
      <c r="AE16" s="33">
        <f t="shared" si="9"/>
        <v>0.7833659796174057</v>
      </c>
      <c r="AF16" s="33">
        <f t="shared" si="10"/>
        <v>-999</v>
      </c>
      <c r="AG16" s="33">
        <f t="shared" si="11"/>
        <v>0.5001772986079503</v>
      </c>
      <c r="AH16" s="33">
        <f t="shared" si="12"/>
        <v>-999</v>
      </c>
      <c r="AI16" s="34">
        <f t="shared" si="13"/>
        <v>0.8734495967325021</v>
      </c>
      <c r="AJ16" s="4">
        <v>12.386010120876215</v>
      </c>
      <c r="AK16" s="32">
        <f t="shared" si="14"/>
        <v>-999</v>
      </c>
      <c r="AL16" s="34">
        <f t="shared" si="15"/>
        <v>-999</v>
      </c>
      <c r="AY16" s="103" t="s">
        <v>326</v>
      </c>
      <c r="AZ16" s="103" t="s">
        <v>346</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44</v>
      </c>
      <c r="E17" s="38">
        <f>IF(LEFT(VLOOKUP($B17,'Indicator chart'!$D$1:$J$36,5,FALSE),1)=" "," ",VLOOKUP($B17,'Indicator chart'!$D$1:$J$36,5,FALSE))</f>
        <v>1174.586225306994</v>
      </c>
      <c r="F17" s="38">
        <f>IF(LEFT(VLOOKUP($B17,'Indicator chart'!$D$1:$J$36,6,FALSE),1)=" "," ",VLOOKUP($B17,'Indicator chart'!$D$1:$J$36,6,FALSE))</f>
        <v>853.3682932817229</v>
      </c>
      <c r="G17" s="38">
        <f>IF(LEFT(VLOOKUP($B17,'Indicator chart'!$D$1:$J$36,7,FALSE),1)=" "," ",VLOOKUP($B17,'Indicator chart'!$D$1:$J$36,7,FALSE))</f>
        <v>1576.8730212034268</v>
      </c>
      <c r="H17" s="50">
        <f t="shared" si="0"/>
        <v>1</v>
      </c>
      <c r="I17" s="38">
        <v>276.7208557128906</v>
      </c>
      <c r="J17" s="38">
        <v>1051.744140625</v>
      </c>
      <c r="K17" s="38">
        <v>1570.174560546875</v>
      </c>
      <c r="L17" s="38">
        <v>1918.7691650390625</v>
      </c>
      <c r="M17" s="38">
        <v>3800.84814453125</v>
      </c>
      <c r="N17" s="80">
        <f>VLOOKUP('Hide - Control'!B$3,'All practice data'!A:CA,A17+29,FALSE)</f>
        <v>1812.458331328655</v>
      </c>
      <c r="O17" s="80">
        <f>VLOOKUP('Hide - Control'!C$3,'All practice data'!A:CA,A17+29,FALSE)</f>
        <v>1812.1669120472948</v>
      </c>
      <c r="P17" s="38">
        <f>VLOOKUP('Hide - Control'!$B$4,'All practice data'!B:BC,A17+2,FALSE)</f>
        <v>5274</v>
      </c>
      <c r="Q17" s="38">
        <f>VLOOKUP('Hide - Control'!$B$4,'All practice data'!B:BC,3,FALSE)</f>
        <v>290986</v>
      </c>
      <c r="R17" s="38">
        <f>100000*(P17*(1-1/(9*P17)-1.96/(3*SQRT(P17)))^3)/Q17</f>
        <v>1763.8682303204027</v>
      </c>
      <c r="S17" s="38">
        <f>100000*((P17+1)*(1-1/(9*(P17+1))+1.96/(3*SQRT(P17+1)))^3)/Q17</f>
        <v>1862.047743002546</v>
      </c>
      <c r="T17" s="53">
        <f t="shared" si="19"/>
        <v>3800.84814453125</v>
      </c>
      <c r="U17" s="51">
        <f t="shared" si="20"/>
        <v>276.7208557128906</v>
      </c>
      <c r="V17" s="7"/>
      <c r="W17" s="27">
        <f t="shared" si="2"/>
        <v>-660.4990234375</v>
      </c>
      <c r="X17" s="27">
        <f t="shared" si="3"/>
        <v>3800.84814453125</v>
      </c>
      <c r="Y17" s="27">
        <f t="shared" si="4"/>
        <v>-660.4990234375</v>
      </c>
      <c r="Z17" s="27">
        <f t="shared" si="5"/>
        <v>3800.84814453125</v>
      </c>
      <c r="AA17" s="32">
        <f t="shared" si="6"/>
        <v>0.21007553186610817</v>
      </c>
      <c r="AB17" s="33">
        <f t="shared" si="7"/>
        <v>0.3837950958750614</v>
      </c>
      <c r="AC17" s="33">
        <v>0.5</v>
      </c>
      <c r="AD17" s="33">
        <f t="shared" si="8"/>
        <v>0.5781366236178617</v>
      </c>
      <c r="AE17" s="33">
        <f t="shared" si="9"/>
        <v>1</v>
      </c>
      <c r="AF17" s="33">
        <f t="shared" si="10"/>
        <v>-999</v>
      </c>
      <c r="AG17" s="33">
        <f t="shared" si="11"/>
        <v>-999</v>
      </c>
      <c r="AH17" s="33">
        <f t="shared" si="12"/>
        <v>0.41132984716363324</v>
      </c>
      <c r="AI17" s="34">
        <f t="shared" si="13"/>
        <v>0.5542419906789273</v>
      </c>
      <c r="AJ17" s="4">
        <v>13.462005546258133</v>
      </c>
      <c r="AK17" s="32">
        <f t="shared" si="14"/>
        <v>0.41132984716363324</v>
      </c>
      <c r="AL17" s="34">
        <f t="shared" si="15"/>
        <v>-999</v>
      </c>
      <c r="AY17" s="103" t="s">
        <v>103</v>
      </c>
      <c r="AZ17" s="103" t="s">
        <v>104</v>
      </c>
      <c r="BA17" s="103" t="s">
        <v>327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44</v>
      </c>
      <c r="E18" s="80">
        <f>IF(LEFT(VLOOKUP($B18,'Indicator chart'!$D$1:$J$36,5,FALSE),1)=" "," ",VLOOKUP($B18,'Indicator chart'!$D$1:$J$36,5,FALSE))</f>
        <v>0.7744582366999999</v>
      </c>
      <c r="F18" s="81">
        <f>IF(LEFT(VLOOKUP($B18,'Indicator chart'!$D$1:$J$36,6,FALSE),1)=" "," ",VLOOKUP($B18,'Indicator chart'!$D$1:$J$36,6,FALSE))</f>
        <v>0.5627225113000001</v>
      </c>
      <c r="G18" s="38">
        <f>IF(LEFT(VLOOKUP($B18,'Indicator chart'!$D$1:$J$36,7,FALSE),1)=" "," ",VLOOKUP($B18,'Indicator chart'!$D$1:$J$36,7,FALSE))</f>
        <v>1.0396739959999999</v>
      </c>
      <c r="H18" s="50">
        <f>IF(LEFT(F18,1)=" ",4,IF(AND(ABS(N18-E18)&gt;SQRT((E18-G18)^2+(N18-R18)^2),E18&lt;N18),1,IF(AND(ABS(N18-E18)&gt;SQRT((E18-F18)^2+(N18-S18)^2),E18&gt;N18),3,2)))</f>
        <v>2</v>
      </c>
      <c r="I18" s="38">
        <v>0.18354327976703644</v>
      </c>
      <c r="J18" s="38"/>
      <c r="K18" s="38">
        <v>1</v>
      </c>
      <c r="L18" s="38"/>
      <c r="M18" s="38">
        <v>2.296032190322876</v>
      </c>
      <c r="N18" s="80">
        <v>1</v>
      </c>
      <c r="O18" s="80">
        <f>VLOOKUP('Hide - Control'!C$3,'All practice data'!A:CA,A18+29,FALSE)</f>
        <v>1</v>
      </c>
      <c r="P18" s="38">
        <f>VLOOKUP('Hide - Control'!$B$4,'All practice data'!B:BC,A18+2,FALSE)</f>
        <v>5274</v>
      </c>
      <c r="Q18" s="38">
        <f>VLOOKUP('Hide - Control'!$B$4,'All practice data'!B:BC,14,FALSE)</f>
        <v>5274</v>
      </c>
      <c r="R18" s="81">
        <v>1</v>
      </c>
      <c r="S18" s="38">
        <v>1</v>
      </c>
      <c r="T18" s="53">
        <f t="shared" si="19"/>
        <v>2.296032190322876</v>
      </c>
      <c r="U18" s="51">
        <f t="shared" si="20"/>
        <v>0.18354327976703644</v>
      </c>
      <c r="V18" s="7"/>
      <c r="W18" s="27">
        <f>IF((K18-I18)&gt;(M18-K18),I18,(K18-(M18-K18)))</f>
        <v>-0.296032190322876</v>
      </c>
      <c r="X18" s="27">
        <f t="shared" si="3"/>
        <v>2.296032190322876</v>
      </c>
      <c r="Y18" s="27">
        <f t="shared" si="4"/>
        <v>-0.296032190322876</v>
      </c>
      <c r="Z18" s="27">
        <f t="shared" si="5"/>
        <v>2.296032190322876</v>
      </c>
      <c r="AA18" s="32" t="s">
        <v>327</v>
      </c>
      <c r="AB18" s="33" t="s">
        <v>327</v>
      </c>
      <c r="AC18" s="33">
        <v>0.5</v>
      </c>
      <c r="AD18" s="33" t="s">
        <v>327</v>
      </c>
      <c r="AE18" s="33" t="s">
        <v>327</v>
      </c>
      <c r="AF18" s="33">
        <f t="shared" si="10"/>
        <v>-999</v>
      </c>
      <c r="AG18" s="33">
        <f t="shared" si="11"/>
        <v>0.4129875920582607</v>
      </c>
      <c r="AH18" s="33">
        <f t="shared" si="12"/>
        <v>-999</v>
      </c>
      <c r="AI18" s="34">
        <v>0.5</v>
      </c>
      <c r="AJ18" s="4">
        <v>14.538000971640056</v>
      </c>
      <c r="AK18" s="32">
        <f t="shared" si="14"/>
        <v>-999</v>
      </c>
      <c r="AL18" s="34">
        <f t="shared" si="15"/>
        <v>-999</v>
      </c>
      <c r="AY18" s="103" t="s">
        <v>105</v>
      </c>
      <c r="AZ18" s="103" t="s">
        <v>106</v>
      </c>
      <c r="BA18" s="103" t="s">
        <v>327</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0.0500403568148613</v>
      </c>
      <c r="K19" s="38">
        <v>0.06555704772472382</v>
      </c>
      <c r="L19" s="38">
        <v>0.09697088599205017</v>
      </c>
      <c r="M19" s="38">
        <v>0.15555556118488312</v>
      </c>
      <c r="N19" s="80">
        <f>VLOOKUP('Hide - Control'!B$3,'All practice data'!A:CA,A19+29,FALSE)</f>
        <v>0.06958665149791429</v>
      </c>
      <c r="O19" s="80">
        <f>VLOOKUP('Hide - Control'!C$3,'All practice data'!A:CA,A19+29,FALSE)</f>
        <v>0.10919341638628717</v>
      </c>
      <c r="P19" s="38">
        <f>VLOOKUP('Hide - Control'!$B$4,'All practice data'!B:BC,A19+2,FALSE)</f>
        <v>367</v>
      </c>
      <c r="Q19" s="38">
        <f>VLOOKUP('Hide - Control'!$B$4,'All practice data'!B:BC,15,FALSE)</f>
        <v>5274</v>
      </c>
      <c r="R19" s="38">
        <f>+((2*P19+1.96^2-1.96*SQRT(1.96^2+4*P19*(1-P19/Q19)))/(2*(Q19+1.96^2)))</f>
        <v>0.06302797805742764</v>
      </c>
      <c r="S19" s="38">
        <f>+((2*P19+1.96^2+1.96*SQRT(1.96^2+4*P19*(1-P19/Q19)))/(2*(Q19+1.96^2)))</f>
        <v>0.0767718977099694</v>
      </c>
      <c r="T19" s="53">
        <f t="shared" si="19"/>
        <v>0.15555556118488312</v>
      </c>
      <c r="U19" s="51">
        <f t="shared" si="20"/>
        <v>0.02070442959666252</v>
      </c>
      <c r="V19" s="7"/>
      <c r="W19" s="27">
        <f t="shared" si="2"/>
        <v>-0.024441465735435486</v>
      </c>
      <c r="X19" s="27">
        <f t="shared" si="3"/>
        <v>0.15555556118488312</v>
      </c>
      <c r="Y19" s="27">
        <f t="shared" si="4"/>
        <v>-0.024441465735435486</v>
      </c>
      <c r="Z19" s="27">
        <f t="shared" si="5"/>
        <v>0.15555556118488312</v>
      </c>
      <c r="AA19" s="32">
        <f t="shared" si="6"/>
        <v>0.25081467235613436</v>
      </c>
      <c r="AB19" s="33">
        <f t="shared" si="7"/>
        <v>0.41379473775013254</v>
      </c>
      <c r="AC19" s="33">
        <v>0.5</v>
      </c>
      <c r="AD19" s="33">
        <f t="shared" si="8"/>
        <v>0.6745242063427674</v>
      </c>
      <c r="AE19" s="33">
        <f t="shared" si="9"/>
        <v>1</v>
      </c>
      <c r="AF19" s="33">
        <f t="shared" si="10"/>
        <v>-999</v>
      </c>
      <c r="AG19" s="33">
        <f t="shared" si="11"/>
        <v>-999</v>
      </c>
      <c r="AH19" s="33">
        <f t="shared" si="12"/>
        <v>-999</v>
      </c>
      <c r="AI19" s="34">
        <f t="shared" si="13"/>
        <v>0.7424282745563368</v>
      </c>
      <c r="AJ19" s="4">
        <v>15.61399639702198</v>
      </c>
      <c r="AK19" s="32">
        <f t="shared" si="14"/>
        <v>-999</v>
      </c>
      <c r="AL19" s="34">
        <f t="shared" si="15"/>
        <v>-999</v>
      </c>
      <c r="AY19" s="103" t="s">
        <v>270</v>
      </c>
      <c r="AZ19" s="103" t="s">
        <v>446</v>
      </c>
      <c r="BA19" s="103" t="s">
        <v>327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0.25</v>
      </c>
      <c r="K20" s="38">
        <v>0.3796653747558594</v>
      </c>
      <c r="L20" s="38">
        <v>0.48720529675483704</v>
      </c>
      <c r="M20" s="38">
        <v>0.6153846383094788</v>
      </c>
      <c r="N20" s="80">
        <f>VLOOKUP('Hide - Control'!B$3,'All practice data'!A:CA,A20+29,FALSE)</f>
        <v>0.3997821350762527</v>
      </c>
      <c r="O20" s="80">
        <f>VLOOKUP('Hide - Control'!C$3,'All practice data'!A:CA,A20+29,FALSE)</f>
        <v>0.4534552930810221</v>
      </c>
      <c r="P20" s="38">
        <f>VLOOKUP('Hide - Control'!$B$4,'All practice data'!B:BC,A20+1,FALSE)</f>
        <v>367</v>
      </c>
      <c r="Q20" s="38">
        <f>VLOOKUP('Hide - Control'!$B$4,'All practice data'!B:BC,A20+2,FALSE)</f>
        <v>918</v>
      </c>
      <c r="R20" s="38">
        <f>+((2*P20+1.96^2-1.96*SQRT(1.96^2+4*P20*(1-P20/Q20)))/(2*(Q20+1.96^2)))</f>
        <v>0.368574671397532</v>
      </c>
      <c r="S20" s="38">
        <f>+((2*P20+1.96^2+1.96*SQRT(1.96^2+4*P20*(1-P20/Q20)))/(2*(Q20+1.96^2)))</f>
        <v>0.4318248766376184</v>
      </c>
      <c r="T20" s="53">
        <f t="shared" si="19"/>
        <v>0.6153846383094788</v>
      </c>
      <c r="U20" s="51">
        <f t="shared" si="20"/>
        <v>0.09238772839307785</v>
      </c>
      <c r="V20" s="7"/>
      <c r="W20" s="27">
        <f t="shared" si="2"/>
        <v>0.09238772839307785</v>
      </c>
      <c r="X20" s="27">
        <f t="shared" si="3"/>
        <v>0.6669430211186409</v>
      </c>
      <c r="Y20" s="27">
        <f t="shared" si="4"/>
        <v>0.09238772839307785</v>
      </c>
      <c r="Z20" s="27">
        <f t="shared" si="5"/>
        <v>0.6669430211186409</v>
      </c>
      <c r="AA20" s="32">
        <f t="shared" si="6"/>
        <v>0</v>
      </c>
      <c r="AB20" s="33">
        <f t="shared" si="7"/>
        <v>0.27432045897487856</v>
      </c>
      <c r="AC20" s="33">
        <v>0.5</v>
      </c>
      <c r="AD20" s="33">
        <f t="shared" si="8"/>
        <v>0.687170709869945</v>
      </c>
      <c r="AE20" s="33">
        <f t="shared" si="9"/>
        <v>0.9102638449911746</v>
      </c>
      <c r="AF20" s="33">
        <f t="shared" si="10"/>
        <v>-999</v>
      </c>
      <c r="AG20" s="33">
        <f t="shared" si="11"/>
        <v>-999</v>
      </c>
      <c r="AH20" s="33">
        <f t="shared" si="12"/>
        <v>-999</v>
      </c>
      <c r="AI20" s="34">
        <f t="shared" si="13"/>
        <v>0.6284296207160841</v>
      </c>
      <c r="AJ20" s="4">
        <v>16.689991822403904</v>
      </c>
      <c r="AK20" s="32">
        <f t="shared" si="14"/>
        <v>-999</v>
      </c>
      <c r="AL20" s="34">
        <f t="shared" si="15"/>
        <v>-999</v>
      </c>
      <c r="AY20" s="103" t="s">
        <v>211</v>
      </c>
      <c r="AZ20" s="103" t="s">
        <v>427</v>
      </c>
      <c r="BA20" s="103" t="s">
        <v>327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266.95141484249865</v>
      </c>
      <c r="F21" s="38">
        <f>IF(LEFT(VLOOKUP($B21,'Indicator chart'!$D$1:$J$36,6,FALSE),1)=" "," ",VLOOKUP($B21,'Indicator chart'!$D$1:$J$36,6,FALSE))</f>
        <v>127.79979219256812</v>
      </c>
      <c r="G21" s="38">
        <f>IF(LEFT(VLOOKUP($B21,'Indicator chart'!$D$1:$J$36,7,FALSE),1)=" "," ",VLOOKUP($B21,'Indicator chart'!$D$1:$J$36,7,FALSE))</f>
        <v>490.9670815283107</v>
      </c>
      <c r="H21" s="50">
        <f t="shared" si="0"/>
        <v>2</v>
      </c>
      <c r="I21" s="38">
        <v>61.46357345581055</v>
      </c>
      <c r="J21" s="38">
        <v>262.7396240234375</v>
      </c>
      <c r="K21" s="38">
        <v>429.3875427246094</v>
      </c>
      <c r="L21" s="38">
        <v>555.8471069335938</v>
      </c>
      <c r="M21" s="38">
        <v>853.5489501953125</v>
      </c>
      <c r="N21" s="80">
        <f>VLOOKUP('Hide - Control'!B$3,'All practice data'!A:CA,A21+29,FALSE)</f>
        <v>456.7230038558556</v>
      </c>
      <c r="O21" s="80">
        <f>VLOOKUP('Hide - Control'!C$3,'All practice data'!A:CA,A21+29,FALSE)</f>
        <v>377.7293140102421</v>
      </c>
      <c r="P21" s="38">
        <f>VLOOKUP('Hide - Control'!$B$4,'All practice data'!B:BC,A21+2,FALSE)</f>
        <v>1329</v>
      </c>
      <c r="Q21" s="38">
        <f>VLOOKUP('Hide - Control'!$B$4,'All practice data'!B:BC,3,FALSE)</f>
        <v>290986</v>
      </c>
      <c r="R21" s="38">
        <f aca="true" t="shared" si="21" ref="R21:R27">100000*(P21*(1-1/(9*P21)-1.96/(3*SQRT(P21)))^3)/Q21</f>
        <v>432.4945983034901</v>
      </c>
      <c r="S21" s="38">
        <f aca="true" t="shared" si="22" ref="S21:S27">100000*((P21+1)*(1-1/(9*(P21+1))+1.96/(3*SQRT(P21+1)))^3)/Q21</f>
        <v>481.9552791344229</v>
      </c>
      <c r="T21" s="53">
        <f t="shared" si="19"/>
        <v>853.5489501953125</v>
      </c>
      <c r="U21" s="51">
        <f t="shared" si="20"/>
        <v>61.46357345581055</v>
      </c>
      <c r="V21" s="7"/>
      <c r="W21" s="27">
        <f t="shared" si="2"/>
        <v>5.22613525390625</v>
      </c>
      <c r="X21" s="27">
        <f t="shared" si="3"/>
        <v>853.5489501953125</v>
      </c>
      <c r="Y21" s="27">
        <f t="shared" si="4"/>
        <v>5.22613525390625</v>
      </c>
      <c r="Z21" s="27">
        <f t="shared" si="5"/>
        <v>853.5489501953125</v>
      </c>
      <c r="AA21" s="32">
        <f t="shared" si="6"/>
        <v>0.06629249763344938</v>
      </c>
      <c r="AB21" s="33">
        <f t="shared" si="7"/>
        <v>0.30355600985141223</v>
      </c>
      <c r="AC21" s="33">
        <v>0.5</v>
      </c>
      <c r="AD21" s="33">
        <f t="shared" si="8"/>
        <v>0.6490700968801822</v>
      </c>
      <c r="AE21" s="33">
        <f t="shared" si="9"/>
        <v>1</v>
      </c>
      <c r="AF21" s="33">
        <f t="shared" si="10"/>
        <v>-999</v>
      </c>
      <c r="AG21" s="33">
        <f t="shared" si="11"/>
        <v>0.3085208543008121</v>
      </c>
      <c r="AH21" s="33">
        <f t="shared" si="12"/>
        <v>-999</v>
      </c>
      <c r="AI21" s="34">
        <f t="shared" si="13"/>
        <v>0.43910545867149015</v>
      </c>
      <c r="AJ21" s="4">
        <v>17.765987247785823</v>
      </c>
      <c r="AK21" s="32">
        <f t="shared" si="14"/>
        <v>-999</v>
      </c>
      <c r="AL21" s="34">
        <f t="shared" si="15"/>
        <v>-999</v>
      </c>
      <c r="AY21" s="103" t="s">
        <v>123</v>
      </c>
      <c r="AZ21" s="103" t="s">
        <v>401</v>
      </c>
      <c r="BA21" s="103" t="s">
        <v>327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160.1708489054992</v>
      </c>
      <c r="F22" s="38">
        <f>IF(LEFT(VLOOKUP($B22,'Indicator chart'!$D$1:$J$36,6,FALSE),1)=" "," ",VLOOKUP($B22,'Indicator chart'!$D$1:$J$36,6,FALSE))</f>
        <v>58.487473056158024</v>
      </c>
      <c r="G22" s="38">
        <f>IF(LEFT(VLOOKUP($B22,'Indicator chart'!$D$1:$J$36,7,FALSE),1)=" "," ",VLOOKUP($B22,'Indicator chart'!$D$1:$J$36,7,FALSE))</f>
        <v>348.6357519668382</v>
      </c>
      <c r="H22" s="50">
        <f t="shared" si="0"/>
        <v>2</v>
      </c>
      <c r="I22" s="38">
        <v>18.07059669494629</v>
      </c>
      <c r="J22" s="38">
        <v>73.23636627197266</v>
      </c>
      <c r="K22" s="38">
        <v>195.73626708984375</v>
      </c>
      <c r="L22" s="38">
        <v>250.59165954589844</v>
      </c>
      <c r="M22" s="38">
        <v>565.4154052734375</v>
      </c>
      <c r="N22" s="80">
        <f>VLOOKUP('Hide - Control'!B$3,'All practice data'!A:CA,A22+29,FALSE)</f>
        <v>224.06576261400892</v>
      </c>
      <c r="O22" s="80">
        <f>VLOOKUP('Hide - Control'!C$3,'All practice data'!A:CA,A22+29,FALSE)</f>
        <v>282.45290788403287</v>
      </c>
      <c r="P22" s="38">
        <f>VLOOKUP('Hide - Control'!$B$4,'All practice data'!B:BC,A22+2,FALSE)</f>
        <v>652</v>
      </c>
      <c r="Q22" s="38">
        <f>VLOOKUP('Hide - Control'!$B$4,'All practice data'!B:BC,3,FALSE)</f>
        <v>290986</v>
      </c>
      <c r="R22" s="38">
        <f t="shared" si="21"/>
        <v>207.1941480436344</v>
      </c>
      <c r="S22" s="38">
        <f t="shared" si="22"/>
        <v>241.94513946818083</v>
      </c>
      <c r="T22" s="53">
        <f t="shared" si="19"/>
        <v>565.4154052734375</v>
      </c>
      <c r="U22" s="51">
        <f t="shared" si="20"/>
        <v>18.07059669494629</v>
      </c>
      <c r="V22" s="7"/>
      <c r="W22" s="27">
        <f t="shared" si="2"/>
        <v>-173.94287109375</v>
      </c>
      <c r="X22" s="27">
        <f t="shared" si="3"/>
        <v>565.4154052734375</v>
      </c>
      <c r="Y22" s="27">
        <f t="shared" si="4"/>
        <v>-173.94287109375</v>
      </c>
      <c r="Z22" s="27">
        <f t="shared" si="5"/>
        <v>565.4154052734375</v>
      </c>
      <c r="AA22" s="32">
        <f t="shared" si="6"/>
        <v>0.2597028719718242</v>
      </c>
      <c r="AB22" s="33">
        <f t="shared" si="7"/>
        <v>0.33431591322711596</v>
      </c>
      <c r="AC22" s="33">
        <v>0.5</v>
      </c>
      <c r="AD22" s="33">
        <f t="shared" si="8"/>
        <v>0.5741932486717872</v>
      </c>
      <c r="AE22" s="33">
        <f t="shared" si="9"/>
        <v>1</v>
      </c>
      <c r="AF22" s="33">
        <f t="shared" si="10"/>
        <v>-999</v>
      </c>
      <c r="AG22" s="33">
        <f t="shared" si="11"/>
        <v>0.45189690935889154</v>
      </c>
      <c r="AH22" s="33">
        <f t="shared" si="12"/>
        <v>-999</v>
      </c>
      <c r="AI22" s="34">
        <f t="shared" si="13"/>
        <v>0.6172863597608841</v>
      </c>
      <c r="AJ22" s="4">
        <v>18.841982673167745</v>
      </c>
      <c r="AK22" s="32">
        <f t="shared" si="14"/>
        <v>-999</v>
      </c>
      <c r="AL22" s="34">
        <f t="shared" si="15"/>
        <v>-999</v>
      </c>
      <c r="AY22" s="103" t="s">
        <v>149</v>
      </c>
      <c r="AZ22" s="103" t="s">
        <v>411</v>
      </c>
      <c r="BA22" s="103" t="s">
        <v>327</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12.173900604248047</v>
      </c>
      <c r="K23" s="38">
        <v>33.68265151977539</v>
      </c>
      <c r="L23" s="38">
        <v>52.845584869384766</v>
      </c>
      <c r="M23" s="38">
        <v>128.70013427734375</v>
      </c>
      <c r="N23" s="80">
        <f>VLOOKUP('Hide - Control'!B$3,'All practice data'!A:CA,A23+29,FALSE)</f>
        <v>42.61373399407532</v>
      </c>
      <c r="O23" s="80">
        <f>VLOOKUP('Hide - Control'!C$3,'All practice data'!A:CA,A23+29,FALSE)</f>
        <v>70.46674929228394</v>
      </c>
      <c r="P23" s="38">
        <f>VLOOKUP('Hide - Control'!$B$4,'All practice data'!B:BC,A23+2,FALSE)</f>
        <v>124</v>
      </c>
      <c r="Q23" s="38">
        <f>VLOOKUP('Hide - Control'!$B$4,'All practice data'!B:BC,3,FALSE)</f>
        <v>290986</v>
      </c>
      <c r="R23" s="38">
        <f t="shared" si="21"/>
        <v>35.443206189998016</v>
      </c>
      <c r="S23" s="38">
        <f t="shared" si="22"/>
        <v>50.808570591281295</v>
      </c>
      <c r="T23" s="53">
        <f t="shared" si="19"/>
        <v>128.70013427734375</v>
      </c>
      <c r="U23" s="51">
        <f t="shared" si="20"/>
        <v>3.248678207397461</v>
      </c>
      <c r="V23" s="7"/>
      <c r="W23" s="27">
        <f t="shared" si="2"/>
        <v>-61.33483123779297</v>
      </c>
      <c r="X23" s="27">
        <f t="shared" si="3"/>
        <v>128.70013427734375</v>
      </c>
      <c r="Y23" s="27">
        <f t="shared" si="4"/>
        <v>-61.33483123779297</v>
      </c>
      <c r="Z23" s="27">
        <f t="shared" si="5"/>
        <v>128.70013427734375</v>
      </c>
      <c r="AA23" s="32">
        <f t="shared" si="6"/>
        <v>0.33985066521900786</v>
      </c>
      <c r="AB23" s="33">
        <f t="shared" si="7"/>
        <v>0.3868168767930546</v>
      </c>
      <c r="AC23" s="33">
        <v>0.5</v>
      </c>
      <c r="AD23" s="33">
        <f t="shared" si="8"/>
        <v>0.600838986644713</v>
      </c>
      <c r="AE23" s="33">
        <f t="shared" si="9"/>
        <v>1</v>
      </c>
      <c r="AF23" s="33">
        <f t="shared" si="10"/>
        <v>-999</v>
      </c>
      <c r="AG23" s="33">
        <f t="shared" si="11"/>
        <v>-999</v>
      </c>
      <c r="AH23" s="33">
        <f t="shared" si="12"/>
        <v>-999</v>
      </c>
      <c r="AI23" s="34">
        <f t="shared" si="13"/>
        <v>0.6935648930332171</v>
      </c>
      <c r="AJ23" s="4">
        <v>19.917978098549675</v>
      </c>
      <c r="AK23" s="32">
        <f t="shared" si="14"/>
        <v>-999</v>
      </c>
      <c r="AL23" s="34">
        <f t="shared" si="15"/>
        <v>-999</v>
      </c>
      <c r="AY23" s="103" t="s">
        <v>264</v>
      </c>
      <c r="AZ23" s="103" t="s">
        <v>265</v>
      </c>
      <c r="BA23" s="103" t="s">
        <v>327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v>
      </c>
      <c r="E24" s="38">
        <f>IF(LEFT(VLOOKUP($B24,'Indicator chart'!$D$1:$J$36,5,FALSE),1)=" "," ",VLOOKUP($B24,'Indicator chart'!$D$1:$J$36,5,FALSE))</f>
        <v>240.2562733582488</v>
      </c>
      <c r="F24" s="38">
        <f>IF(LEFT(VLOOKUP($B24,'Indicator chart'!$D$1:$J$36,6,FALSE),1)=" "," ",VLOOKUP($B24,'Indicator chart'!$D$1:$J$36,6,FALSE))</f>
        <v>109.63216720561022</v>
      </c>
      <c r="G24" s="38">
        <f>IF(LEFT(VLOOKUP($B24,'Indicator chart'!$D$1:$J$36,7,FALSE),1)=" "," ",VLOOKUP($B24,'Indicator chart'!$D$1:$J$36,7,FALSE))</f>
        <v>456.1116780762216</v>
      </c>
      <c r="H24" s="50">
        <f t="shared" si="0"/>
        <v>2</v>
      </c>
      <c r="I24" s="38">
        <v>27.3076171875</v>
      </c>
      <c r="J24" s="38">
        <v>210.97808837890625</v>
      </c>
      <c r="K24" s="38">
        <v>322.97259521484375</v>
      </c>
      <c r="L24" s="38">
        <v>417.60333251953125</v>
      </c>
      <c r="M24" s="38">
        <v>1711.9522705078125</v>
      </c>
      <c r="N24" s="80">
        <f>VLOOKUP('Hide - Control'!B$3,'All practice data'!A:CA,A24+29,FALSE)</f>
        <v>372.870172448159</v>
      </c>
      <c r="O24" s="80">
        <f>VLOOKUP('Hide - Control'!C$3,'All practice data'!A:CA,A24+29,FALSE)</f>
        <v>323.23046266988894</v>
      </c>
      <c r="P24" s="38">
        <f>VLOOKUP('Hide - Control'!$B$4,'All practice data'!B:BC,A24+2,FALSE)</f>
        <v>1085</v>
      </c>
      <c r="Q24" s="38">
        <f>VLOOKUP('Hide - Control'!$B$4,'All practice data'!B:BC,3,FALSE)</f>
        <v>290986</v>
      </c>
      <c r="R24" s="38">
        <f t="shared" si="21"/>
        <v>351.0102741098094</v>
      </c>
      <c r="S24" s="38">
        <f t="shared" si="22"/>
        <v>395.7349140043409</v>
      </c>
      <c r="T24" s="53">
        <f t="shared" si="19"/>
        <v>1711.9522705078125</v>
      </c>
      <c r="U24" s="51">
        <f t="shared" si="20"/>
        <v>27.3076171875</v>
      </c>
      <c r="V24" s="7"/>
      <c r="W24" s="27">
        <f t="shared" si="2"/>
        <v>-1066.007080078125</v>
      </c>
      <c r="X24" s="27">
        <f t="shared" si="3"/>
        <v>1711.9522705078125</v>
      </c>
      <c r="Y24" s="27">
        <f t="shared" si="4"/>
        <v>-1066.007080078125</v>
      </c>
      <c r="Z24" s="27">
        <f t="shared" si="5"/>
        <v>1711.9522705078125</v>
      </c>
      <c r="AA24" s="32">
        <f t="shared" si="6"/>
        <v>0.3935675649951534</v>
      </c>
      <c r="AB24" s="33">
        <f t="shared" si="7"/>
        <v>0.459684612803166</v>
      </c>
      <c r="AC24" s="33">
        <v>0.5</v>
      </c>
      <c r="AD24" s="33">
        <f t="shared" si="8"/>
        <v>0.5340648387402529</v>
      </c>
      <c r="AE24" s="33">
        <f t="shared" si="9"/>
        <v>1</v>
      </c>
      <c r="AF24" s="33">
        <f t="shared" si="10"/>
        <v>-999</v>
      </c>
      <c r="AG24" s="33">
        <f t="shared" si="11"/>
        <v>0.47022407047131626</v>
      </c>
      <c r="AH24" s="33">
        <f t="shared" si="12"/>
        <v>-999</v>
      </c>
      <c r="AI24" s="34">
        <f t="shared" si="13"/>
        <v>0.5000928262161183</v>
      </c>
      <c r="AJ24" s="4">
        <v>20.99397352393159</v>
      </c>
      <c r="AK24" s="32">
        <f t="shared" si="14"/>
        <v>-999</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427.12226374799786</v>
      </c>
      <c r="F25" s="38">
        <f>IF(LEFT(VLOOKUP($B25,'Indicator chart'!$D$1:$J$36,6,FALSE),1)=" "," ",VLOOKUP($B25,'Indicator chart'!$D$1:$J$36,6,FALSE))</f>
        <v>243.97783610245082</v>
      </c>
      <c r="G25" s="38">
        <f>IF(LEFT(VLOOKUP($B25,'Indicator chart'!$D$1:$J$36,7,FALSE),1)=" "," ",VLOOKUP($B25,'Indicator chart'!$D$1:$J$36,7,FALSE))</f>
        <v>693.6635140270126</v>
      </c>
      <c r="H25" s="50">
        <f t="shared" si="0"/>
        <v>2</v>
      </c>
      <c r="I25" s="38">
        <v>185.5142822265625</v>
      </c>
      <c r="J25" s="38">
        <v>315.3482971191406</v>
      </c>
      <c r="K25" s="38">
        <v>398.3246765136719</v>
      </c>
      <c r="L25" s="38">
        <v>464.7357482910156</v>
      </c>
      <c r="M25" s="38">
        <v>588.0911254882812</v>
      </c>
      <c r="N25" s="80">
        <f>VLOOKUP('Hide - Control'!B$3,'All practice data'!A:CA,A25+29,FALSE)</f>
        <v>406.54876866928305</v>
      </c>
      <c r="O25" s="80">
        <f>VLOOKUP('Hide - Control'!C$3,'All practice data'!A:CA,A25+29,FALSE)</f>
        <v>562.6134400960308</v>
      </c>
      <c r="P25" s="38">
        <f>VLOOKUP('Hide - Control'!$B$4,'All practice data'!B:BC,A25+2,FALSE)</f>
        <v>1183</v>
      </c>
      <c r="Q25" s="38">
        <f>VLOOKUP('Hide - Control'!$B$4,'All practice data'!B:BC,3,FALSE)</f>
        <v>290986</v>
      </c>
      <c r="R25" s="38">
        <f t="shared" si="21"/>
        <v>383.70846792989596</v>
      </c>
      <c r="S25" s="38">
        <f t="shared" si="22"/>
        <v>430.39348568856815</v>
      </c>
      <c r="T25" s="53">
        <f t="shared" si="19"/>
        <v>588.0911254882812</v>
      </c>
      <c r="U25" s="51">
        <f t="shared" si="20"/>
        <v>185.5142822265625</v>
      </c>
      <c r="V25" s="7"/>
      <c r="W25" s="27">
        <f t="shared" si="2"/>
        <v>185.5142822265625</v>
      </c>
      <c r="X25" s="27">
        <f t="shared" si="3"/>
        <v>611.1350708007812</v>
      </c>
      <c r="Y25" s="27">
        <f t="shared" si="4"/>
        <v>185.5142822265625</v>
      </c>
      <c r="Z25" s="27">
        <f t="shared" si="5"/>
        <v>611.1350708007812</v>
      </c>
      <c r="AA25" s="32">
        <f t="shared" si="6"/>
        <v>0</v>
      </c>
      <c r="AB25" s="33">
        <f t="shared" si="7"/>
        <v>0.3050462251327227</v>
      </c>
      <c r="AC25" s="33">
        <v>0.5</v>
      </c>
      <c r="AD25" s="33">
        <f t="shared" si="8"/>
        <v>0.6560334306033624</v>
      </c>
      <c r="AE25" s="33">
        <f t="shared" si="9"/>
        <v>0.9458580362352728</v>
      </c>
      <c r="AF25" s="33">
        <f t="shared" si="10"/>
        <v>-999</v>
      </c>
      <c r="AG25" s="33">
        <f t="shared" si="11"/>
        <v>0.5676601989550243</v>
      </c>
      <c r="AH25" s="33">
        <f t="shared" si="12"/>
        <v>-999</v>
      </c>
      <c r="AI25" s="34">
        <f t="shared" si="13"/>
        <v>0.8859979775252699</v>
      </c>
      <c r="AJ25" s="4">
        <v>22.06996894931352</v>
      </c>
      <c r="AK25" s="32">
        <f t="shared" si="14"/>
        <v>-999</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293.6465563267485</v>
      </c>
      <c r="F26" s="38">
        <f>IF(LEFT(VLOOKUP($B26,'Indicator chart'!$D$1:$J$36,6,FALSE),1)=" "," ",VLOOKUP($B26,'Indicator chart'!$D$1:$J$36,6,FALSE))</f>
        <v>146.38588091272786</v>
      </c>
      <c r="G26" s="38">
        <f>IF(LEFT(VLOOKUP($B26,'Indicator chart'!$D$1:$J$36,7,FALSE),1)=" "," ",VLOOKUP($B26,'Indicator chart'!$D$1:$J$36,7,FALSE))</f>
        <v>525.4514319117412</v>
      </c>
      <c r="H26" s="50">
        <f t="shared" si="0"/>
        <v>2</v>
      </c>
      <c r="I26" s="38">
        <v>112.1823501586914</v>
      </c>
      <c r="J26" s="38">
        <v>234.22059631347656</v>
      </c>
      <c r="K26" s="38">
        <v>295.7066650390625</v>
      </c>
      <c r="L26" s="38">
        <v>360.13232421875</v>
      </c>
      <c r="M26" s="38">
        <v>659.450927734375</v>
      </c>
      <c r="N26" s="80">
        <f>VLOOKUP('Hide - Control'!B$3,'All practice data'!A:CA,A26+29,FALSE)</f>
        <v>327.8508244382891</v>
      </c>
      <c r="O26" s="80">
        <f>VLOOKUP('Hide - Control'!C$3,'All practice data'!A:CA,A26+29,FALSE)</f>
        <v>405.57105879375996</v>
      </c>
      <c r="P26" s="38">
        <f>VLOOKUP('Hide - Control'!$B$4,'All practice data'!B:BC,A26+2,FALSE)</f>
        <v>954</v>
      </c>
      <c r="Q26" s="38">
        <f>VLOOKUP('Hide - Control'!$B$4,'All practice data'!B:BC,3,FALSE)</f>
        <v>290986</v>
      </c>
      <c r="R26" s="38">
        <f t="shared" si="21"/>
        <v>307.3735012874061</v>
      </c>
      <c r="S26" s="38">
        <f t="shared" si="22"/>
        <v>349.33366073784987</v>
      </c>
      <c r="T26" s="53">
        <f t="shared" si="19"/>
        <v>659.450927734375</v>
      </c>
      <c r="U26" s="51">
        <f t="shared" si="20"/>
        <v>112.1823501586914</v>
      </c>
      <c r="V26" s="7"/>
      <c r="W26" s="27">
        <f t="shared" si="2"/>
        <v>-68.03759765625</v>
      </c>
      <c r="X26" s="27">
        <f t="shared" si="3"/>
        <v>659.450927734375</v>
      </c>
      <c r="Y26" s="27">
        <f t="shared" si="4"/>
        <v>-68.03759765625</v>
      </c>
      <c r="Z26" s="27">
        <f t="shared" si="5"/>
        <v>659.450927734375</v>
      </c>
      <c r="AA26" s="32">
        <f t="shared" si="6"/>
        <v>0.24772892152240106</v>
      </c>
      <c r="AB26" s="33">
        <f t="shared" si="7"/>
        <v>0.41548173396608423</v>
      </c>
      <c r="AC26" s="33">
        <v>0.5</v>
      </c>
      <c r="AD26" s="33">
        <f t="shared" si="8"/>
        <v>0.58855900393081</v>
      </c>
      <c r="AE26" s="33">
        <f t="shared" si="9"/>
        <v>1</v>
      </c>
      <c r="AF26" s="33">
        <f t="shared" si="10"/>
        <v>-999</v>
      </c>
      <c r="AG26" s="33">
        <f t="shared" si="11"/>
        <v>0.4971681907818301</v>
      </c>
      <c r="AH26" s="33">
        <f t="shared" si="12"/>
        <v>-999</v>
      </c>
      <c r="AI26" s="34">
        <f t="shared" si="13"/>
        <v>0.6510187307706411</v>
      </c>
      <c r="AJ26" s="4">
        <v>23.145964374695435</v>
      </c>
      <c r="AK26" s="32">
        <f t="shared" si="14"/>
        <v>-999</v>
      </c>
      <c r="AL26" s="34">
        <f t="shared" si="15"/>
        <v>-999</v>
      </c>
      <c r="AY26" s="103" t="s">
        <v>120</v>
      </c>
      <c r="AZ26" s="103" t="s">
        <v>400</v>
      </c>
      <c r="BA26" s="103" t="s">
        <v>327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v>
      </c>
      <c r="E27" s="38">
        <f>IF(LEFT(VLOOKUP($B27,'Indicator chart'!$D$1:$J$36,5,FALSE),1)=" "," ",VLOOKUP($B27,'Indicator chart'!$D$1:$J$36,5,FALSE))</f>
        <v>774.1591030432461</v>
      </c>
      <c r="F27" s="38">
        <f>IF(LEFT(VLOOKUP($B27,'Indicator chart'!$D$1:$J$36,6,FALSE),1)=" "," ",VLOOKUP($B27,'Indicator chart'!$D$1:$J$36,6,FALSE))</f>
        <v>518.3552254475948</v>
      </c>
      <c r="G27" s="38">
        <f>IF(LEFT(VLOOKUP($B27,'Indicator chart'!$D$1:$J$36,7,FALSE),1)=" "," ",VLOOKUP($B27,'Indicator chart'!$D$1:$J$36,7,FALSE))</f>
        <v>1111.8684807686354</v>
      </c>
      <c r="H27" s="50">
        <f t="shared" si="0"/>
        <v>2</v>
      </c>
      <c r="I27" s="38">
        <v>187.00326538085938</v>
      </c>
      <c r="J27" s="38">
        <v>671.6380615234375</v>
      </c>
      <c r="K27" s="38">
        <v>772.6568603515625</v>
      </c>
      <c r="L27" s="38">
        <v>893.7874145507812</v>
      </c>
      <c r="M27" s="38">
        <v>1690.7620849609375</v>
      </c>
      <c r="N27" s="80">
        <f>VLOOKUP('Hide - Control'!B$3,'All practice data'!A:CA,A27+29,FALSE)</f>
        <v>805.8806952911824</v>
      </c>
      <c r="O27" s="80">
        <f>VLOOKUP('Hide - Control'!C$3,'All practice data'!A:CA,A27+29,FALSE)</f>
        <v>1059.3522061277838</v>
      </c>
      <c r="P27" s="38">
        <f>VLOOKUP('Hide - Control'!$B$4,'All practice data'!B:BC,A27+2,FALSE)</f>
        <v>2345</v>
      </c>
      <c r="Q27" s="38">
        <f>VLOOKUP('Hide - Control'!$B$4,'All practice data'!B:BC,3,FALSE)</f>
        <v>290986</v>
      </c>
      <c r="R27" s="38">
        <f t="shared" si="21"/>
        <v>773.5894504859154</v>
      </c>
      <c r="S27" s="38">
        <f t="shared" si="22"/>
        <v>839.1735505476175</v>
      </c>
      <c r="T27" s="53">
        <f t="shared" si="19"/>
        <v>1690.7620849609375</v>
      </c>
      <c r="U27" s="51">
        <f t="shared" si="20"/>
        <v>187.00326538085938</v>
      </c>
      <c r="V27" s="7"/>
      <c r="W27" s="27">
        <f t="shared" si="2"/>
        <v>-145.4483642578125</v>
      </c>
      <c r="X27" s="27">
        <f t="shared" si="3"/>
        <v>1690.7620849609375</v>
      </c>
      <c r="Y27" s="27">
        <f t="shared" si="4"/>
        <v>-145.4483642578125</v>
      </c>
      <c r="Z27" s="27">
        <f t="shared" si="5"/>
        <v>1690.7620849609375</v>
      </c>
      <c r="AA27" s="32">
        <f t="shared" si="6"/>
        <v>0.18105311936337123</v>
      </c>
      <c r="AB27" s="33">
        <f t="shared" si="7"/>
        <v>0.44498517374677543</v>
      </c>
      <c r="AC27" s="33">
        <v>0.5</v>
      </c>
      <c r="AD27" s="33">
        <f t="shared" si="8"/>
        <v>0.5659676859211622</v>
      </c>
      <c r="AE27" s="33">
        <f t="shared" si="9"/>
        <v>1</v>
      </c>
      <c r="AF27" s="33">
        <f t="shared" si="10"/>
        <v>-999</v>
      </c>
      <c r="AG27" s="33">
        <f t="shared" si="11"/>
        <v>0.5008181211975581</v>
      </c>
      <c r="AH27" s="33">
        <f t="shared" si="12"/>
        <v>-999</v>
      </c>
      <c r="AI27" s="34">
        <f t="shared" si="13"/>
        <v>0.6561342524209037</v>
      </c>
      <c r="AJ27" s="4">
        <v>24.221959800077364</v>
      </c>
      <c r="AK27" s="32">
        <f t="shared" si="14"/>
        <v>-999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373.73198077949814</v>
      </c>
      <c r="F28" s="38">
        <f>IF(LEFT(VLOOKUP($B28,'Indicator chart'!$D$1:$J$36,6,FALSE),1)=" "," ",VLOOKUP($B28,'Indicator chart'!$D$1:$J$36,6,FALSE))</f>
        <v>204.14951016402034</v>
      </c>
      <c r="G28" s="38">
        <f>IF(LEFT(VLOOKUP($B28,'Indicator chart'!$D$1:$J$36,7,FALSE),1)=" "," ",VLOOKUP($B28,'Indicator chart'!$D$1:$J$36,7,FALSE))</f>
        <v>627.1005308975641</v>
      </c>
      <c r="H28" s="50">
        <f t="shared" si="0"/>
        <v>2</v>
      </c>
      <c r="I28" s="38">
        <v>93.50163269042969</v>
      </c>
      <c r="J28" s="38">
        <v>284.4096984863281</v>
      </c>
      <c r="K28" s="38">
        <v>370.0632629394531</v>
      </c>
      <c r="L28" s="38">
        <v>432.4761962890625</v>
      </c>
      <c r="M28" s="38">
        <v>893.3002319335938</v>
      </c>
      <c r="N28" s="80">
        <f>VLOOKUP('Hide - Control'!B$3,'All practice data'!A:CA,A28+29,FALSE)</f>
        <v>354.99989690225647</v>
      </c>
      <c r="O28" s="80">
        <f>VLOOKUP('Hide - Control'!C$3,'All practice data'!A:CA,A28+29,FALSE)</f>
        <v>582.9390489900089</v>
      </c>
      <c r="P28" s="38">
        <f>VLOOKUP('Hide - Control'!$B$4,'All practice data'!B:BC,A28+2,FALSE)</f>
        <v>1033</v>
      </c>
      <c r="Q28" s="38">
        <f>VLOOKUP('Hide - Control'!$B$4,'All practice data'!B:BC,3,FALSE)</f>
        <v>290986</v>
      </c>
      <c r="R28" s="38">
        <f>100000*(P28*(1-1/(9*P28)-1.96/(3*SQRT(P28)))^3)/Q28</f>
        <v>333.6782355013426</v>
      </c>
      <c r="S28" s="38">
        <f>100000*((P28+1)*(1-1/(9*(P28+1))+1.96/(3*SQRT(P28+1)))^3)/Q28</f>
        <v>377.32665222885873</v>
      </c>
      <c r="T28" s="53">
        <f t="shared" si="19"/>
        <v>893.3002319335938</v>
      </c>
      <c r="U28" s="51">
        <f t="shared" si="20"/>
        <v>93.50163269042969</v>
      </c>
      <c r="V28" s="7"/>
      <c r="W28" s="27">
        <f t="shared" si="2"/>
        <v>-153.1737060546875</v>
      </c>
      <c r="X28" s="27">
        <f t="shared" si="3"/>
        <v>893.3002319335938</v>
      </c>
      <c r="Y28" s="27">
        <f t="shared" si="4"/>
        <v>-153.1737060546875</v>
      </c>
      <c r="Z28" s="27">
        <f t="shared" si="5"/>
        <v>893.3002319335938</v>
      </c>
      <c r="AA28" s="32">
        <f t="shared" si="6"/>
        <v>0.23572047978502025</v>
      </c>
      <c r="AB28" s="33">
        <f t="shared" si="7"/>
        <v>0.41815031283265064</v>
      </c>
      <c r="AC28" s="33">
        <v>0.5</v>
      </c>
      <c r="AD28" s="33">
        <f t="shared" si="8"/>
        <v>0.5596411731663291</v>
      </c>
      <c r="AE28" s="33">
        <f t="shared" si="9"/>
        <v>1</v>
      </c>
      <c r="AF28" s="33">
        <f t="shared" si="10"/>
        <v>-999</v>
      </c>
      <c r="AG28" s="33">
        <f t="shared" si="11"/>
        <v>0.5035057899741848</v>
      </c>
      <c r="AH28" s="33">
        <f t="shared" si="12"/>
        <v>-999</v>
      </c>
      <c r="AI28" s="34">
        <f t="shared" si="13"/>
        <v>0.7034219662075709</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327</v>
      </c>
      <c r="BB34" s="10">
        <v>532801</v>
      </c>
      <c r="BE34" s="77"/>
      <c r="BF34" s="253"/>
    </row>
    <row r="35" spans="2:58" ht="12.75">
      <c r="B35" s="17" t="s">
        <v>41</v>
      </c>
      <c r="C35" s="18"/>
      <c r="H35" s="290" t="s">
        <v>564</v>
      </c>
      <c r="I35" s="291"/>
      <c r="Y35" s="43"/>
      <c r="Z35" s="44"/>
      <c r="AA35" s="44"/>
      <c r="AB35" s="43"/>
      <c r="AC35" s="43"/>
      <c r="AY35" s="103" t="s">
        <v>159</v>
      </c>
      <c r="AZ35" s="103" t="s">
        <v>415</v>
      </c>
      <c r="BA35" s="103" t="s">
        <v>327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327</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327</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327</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327</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327</v>
      </c>
      <c r="BB65" s="10">
        <v>1169302</v>
      </c>
      <c r="BE65" s="70"/>
      <c r="BF65" s="241"/>
    </row>
    <row r="66" spans="1:58" ht="12.75">
      <c r="A66" s="3"/>
      <c r="B66" s="12"/>
      <c r="C66" s="3"/>
      <c r="E66" s="2"/>
      <c r="F66" s="2"/>
      <c r="G66" s="2"/>
      <c r="V66" s="2"/>
      <c r="AY66" s="103" t="s">
        <v>200</v>
      </c>
      <c r="AZ66" s="103" t="s">
        <v>426</v>
      </c>
      <c r="BA66" s="103" t="s">
        <v>327</v>
      </c>
      <c r="BB66" s="10">
        <v>217916</v>
      </c>
      <c r="BE66" s="70"/>
      <c r="BF66" s="239"/>
    </row>
    <row r="67" spans="1:58" ht="12.75">
      <c r="A67" s="3"/>
      <c r="B67" s="12"/>
      <c r="C67" s="3"/>
      <c r="AY67" s="103" t="s">
        <v>69</v>
      </c>
      <c r="AZ67" s="103" t="s">
        <v>70</v>
      </c>
      <c r="BA67" s="103" t="s">
        <v>327</v>
      </c>
      <c r="BB67" s="10">
        <v>270842</v>
      </c>
      <c r="BE67" s="70"/>
      <c r="BF67" s="239"/>
    </row>
    <row r="68" spans="1:58" ht="12.75">
      <c r="A68" s="3"/>
      <c r="B68" s="12"/>
      <c r="C68" s="3"/>
      <c r="AY68" s="103" t="s">
        <v>109</v>
      </c>
      <c r="AZ68" s="103" t="s">
        <v>110</v>
      </c>
      <c r="BA68" s="103" t="s">
        <v>327</v>
      </c>
      <c r="BB68" s="10">
        <v>251613</v>
      </c>
      <c r="BF68" s="252"/>
    </row>
    <row r="69" spans="1:58" ht="12.75">
      <c r="A69" s="3"/>
      <c r="B69" s="12"/>
      <c r="C69" s="3"/>
      <c r="AY69" s="103" t="s">
        <v>209</v>
      </c>
      <c r="AZ69" s="103" t="s">
        <v>210</v>
      </c>
      <c r="BA69" s="103" t="s">
        <v>327</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327</v>
      </c>
      <c r="BB71" s="10">
        <v>213326</v>
      </c>
      <c r="BE71" s="70"/>
      <c r="BF71" s="239"/>
    </row>
    <row r="72" spans="1:58" ht="12.75">
      <c r="A72" s="3"/>
      <c r="B72" s="12"/>
      <c r="C72" s="3"/>
      <c r="AY72" s="103" t="s">
        <v>136</v>
      </c>
      <c r="AZ72" s="103" t="s">
        <v>137</v>
      </c>
      <c r="BA72" s="103" t="s">
        <v>327</v>
      </c>
      <c r="BB72" s="10">
        <v>183220</v>
      </c>
      <c r="BE72" s="250"/>
      <c r="BF72" s="239"/>
    </row>
    <row r="73" spans="1:58" ht="12.75">
      <c r="A73" s="3"/>
      <c r="B73" s="12"/>
      <c r="C73" s="3"/>
      <c r="AY73" s="103" t="s">
        <v>64</v>
      </c>
      <c r="AZ73" s="103" t="s">
        <v>378</v>
      </c>
      <c r="BA73" s="103" t="s">
        <v>327</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327</v>
      </c>
      <c r="BB75" s="10">
        <v>158106</v>
      </c>
      <c r="BE75" s="70"/>
      <c r="BF75" s="241"/>
    </row>
    <row r="76" spans="1:58" ht="12.75">
      <c r="A76" s="3"/>
      <c r="B76" s="12"/>
      <c r="C76" s="3"/>
      <c r="AY76" s="103" t="s">
        <v>140</v>
      </c>
      <c r="AZ76" s="103" t="s">
        <v>141</v>
      </c>
      <c r="BA76" s="103" t="s">
        <v>327</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327</v>
      </c>
      <c r="BB78" s="10">
        <v>362638</v>
      </c>
      <c r="BE78" s="70"/>
      <c r="BF78" s="239"/>
    </row>
    <row r="79" spans="1:58" ht="12.75">
      <c r="A79" s="3"/>
      <c r="B79" s="12"/>
      <c r="C79" s="3"/>
      <c r="AY79" s="103" t="s">
        <v>223</v>
      </c>
      <c r="AZ79" s="103" t="s">
        <v>431</v>
      </c>
      <c r="BA79" s="103" t="s">
        <v>327</v>
      </c>
      <c r="BB79" s="10">
        <v>678998</v>
      </c>
      <c r="BF79" s="239"/>
    </row>
    <row r="80" spans="1:58" ht="12.75">
      <c r="A80" s="3"/>
      <c r="B80" s="12"/>
      <c r="C80" s="3"/>
      <c r="AY80" s="103" t="s">
        <v>144</v>
      </c>
      <c r="AZ80" s="103" t="s">
        <v>145</v>
      </c>
      <c r="BA80" s="103" t="s">
        <v>327</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327</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327</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327</v>
      </c>
      <c r="BB89" s="10">
        <v>283085</v>
      </c>
      <c r="BE89" s="70"/>
      <c r="BF89" s="241"/>
    </row>
    <row r="90" spans="1:58" ht="12.75">
      <c r="A90" s="3"/>
      <c r="B90" s="12"/>
      <c r="C90" s="3"/>
      <c r="AY90" s="103" t="s">
        <v>76</v>
      </c>
      <c r="AZ90" s="103" t="s">
        <v>384</v>
      </c>
      <c r="BA90" s="103" t="s">
        <v>327</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327</v>
      </c>
      <c r="BB93" s="10">
        <v>165284</v>
      </c>
      <c r="BF93" s="252"/>
    </row>
    <row r="94" spans="1:58" ht="12.75">
      <c r="A94" s="3"/>
      <c r="B94" s="12"/>
      <c r="C94" s="3"/>
      <c r="AY94" s="103" t="s">
        <v>186</v>
      </c>
      <c r="AZ94" s="103" t="s">
        <v>422</v>
      </c>
      <c r="BA94" s="103" t="s">
        <v>327</v>
      </c>
      <c r="BB94" s="10">
        <v>339272</v>
      </c>
      <c r="BE94" s="70"/>
      <c r="BF94" s="241"/>
    </row>
    <row r="95" spans="1:58" ht="12.75">
      <c r="A95" s="3"/>
      <c r="B95" s="12"/>
      <c r="C95" s="3"/>
      <c r="AY95" s="103" t="s">
        <v>86</v>
      </c>
      <c r="AZ95" s="103" t="s">
        <v>87</v>
      </c>
      <c r="BA95" s="103" t="s">
        <v>327</v>
      </c>
      <c r="BB95" s="10">
        <v>165642</v>
      </c>
      <c r="BE95" s="247"/>
      <c r="BF95" s="249"/>
    </row>
    <row r="96" spans="1:58" ht="12.75">
      <c r="A96" s="3"/>
      <c r="B96" s="12"/>
      <c r="C96" s="3"/>
      <c r="AY96" s="103" t="s">
        <v>157</v>
      </c>
      <c r="AZ96" s="103" t="s">
        <v>158</v>
      </c>
      <c r="BA96" s="103" t="s">
        <v>327</v>
      </c>
      <c r="BB96" s="10">
        <v>208351</v>
      </c>
      <c r="BE96" s="243"/>
      <c r="BF96" s="238"/>
    </row>
    <row r="97" spans="1:58" ht="12.75">
      <c r="A97" s="3"/>
      <c r="B97" s="12"/>
      <c r="C97" s="3"/>
      <c r="AY97" s="103" t="s">
        <v>231</v>
      </c>
      <c r="AZ97" s="103" t="s">
        <v>232</v>
      </c>
      <c r="BA97" s="103" t="s">
        <v>327</v>
      </c>
      <c r="BB97" s="10">
        <v>203178</v>
      </c>
      <c r="BE97" s="243"/>
      <c r="BF97" s="238"/>
    </row>
    <row r="98" spans="1:58" ht="12.75">
      <c r="A98" s="3"/>
      <c r="B98" s="12"/>
      <c r="C98" s="3"/>
      <c r="AY98" s="103" t="s">
        <v>82</v>
      </c>
      <c r="AZ98" s="103" t="s">
        <v>388</v>
      </c>
      <c r="BA98" s="103" t="s">
        <v>327</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327</v>
      </c>
      <c r="BB100" s="10">
        <v>648340</v>
      </c>
      <c r="BE100" s="70"/>
      <c r="BF100" s="249"/>
    </row>
    <row r="101" spans="51:58" ht="12.75">
      <c r="AY101" s="103" t="s">
        <v>51</v>
      </c>
      <c r="AZ101" s="103" t="s">
        <v>52</v>
      </c>
      <c r="BA101" s="103" t="s">
        <v>327</v>
      </c>
      <c r="BB101" s="10">
        <v>320818</v>
      </c>
      <c r="BE101" s="237"/>
      <c r="BF101" s="238"/>
    </row>
    <row r="102" spans="51:58" ht="12.75">
      <c r="AY102" s="103" t="s">
        <v>88</v>
      </c>
      <c r="AZ102" s="103" t="s">
        <v>89</v>
      </c>
      <c r="BA102" s="103" t="s">
        <v>327</v>
      </c>
      <c r="BB102" s="10">
        <v>339920</v>
      </c>
      <c r="BE102" s="237"/>
      <c r="BF102" s="238"/>
    </row>
    <row r="103" spans="51:58" ht="12.75">
      <c r="AY103" s="103" t="s">
        <v>177</v>
      </c>
      <c r="AZ103" s="103" t="s">
        <v>419</v>
      </c>
      <c r="BA103" s="103" t="s">
        <v>327</v>
      </c>
      <c r="BB103" s="10">
        <v>656875</v>
      </c>
      <c r="BE103" s="70"/>
      <c r="BF103" s="239"/>
    </row>
    <row r="104" spans="51:58" ht="12.75">
      <c r="AY104" s="103" t="s">
        <v>114</v>
      </c>
      <c r="AZ104" s="103" t="s">
        <v>398</v>
      </c>
      <c r="BA104" s="103" t="s">
        <v>327</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327</v>
      </c>
      <c r="BB107" s="10">
        <v>274443</v>
      </c>
      <c r="BF107" s="252"/>
    </row>
    <row r="108" spans="51:58" ht="12.75">
      <c r="AY108" s="103" t="s">
        <v>95</v>
      </c>
      <c r="AZ108" s="103" t="s">
        <v>393</v>
      </c>
      <c r="BA108" s="103" t="s">
        <v>327</v>
      </c>
      <c r="BB108" s="10">
        <v>213174</v>
      </c>
      <c r="BE108" s="70"/>
      <c r="BF108" s="239"/>
    </row>
    <row r="109" spans="51:58" ht="12.75">
      <c r="AY109" s="103" t="s">
        <v>179</v>
      </c>
      <c r="AZ109" s="103" t="s">
        <v>180</v>
      </c>
      <c r="BA109" s="103" t="s">
        <v>327</v>
      </c>
      <c r="BB109" s="10">
        <v>278950</v>
      </c>
      <c r="BE109" s="237"/>
      <c r="BF109" s="238"/>
    </row>
    <row r="110" spans="51:58" ht="12.75">
      <c r="AY110" s="103" t="s">
        <v>273</v>
      </c>
      <c r="AZ110" s="103" t="s">
        <v>274</v>
      </c>
      <c r="BA110" s="103" t="s">
        <v>327</v>
      </c>
      <c r="BB110" s="10">
        <v>133304</v>
      </c>
      <c r="BE110" s="70"/>
      <c r="BF110" s="249"/>
    </row>
    <row r="111" spans="51:58" ht="12.75">
      <c r="AY111" s="103" t="s">
        <v>155</v>
      </c>
      <c r="AZ111" s="103" t="s">
        <v>413</v>
      </c>
      <c r="BA111" s="103" t="s">
        <v>327</v>
      </c>
      <c r="BB111" s="10">
        <v>197060</v>
      </c>
      <c r="BE111" s="70"/>
      <c r="BF111" s="239"/>
    </row>
    <row r="112" spans="51:58" ht="12.75">
      <c r="AY112" s="103" t="s">
        <v>100</v>
      </c>
      <c r="AZ112" s="103" t="s">
        <v>101</v>
      </c>
      <c r="BA112" s="103" t="s">
        <v>327</v>
      </c>
      <c r="BB112" s="10">
        <v>253140</v>
      </c>
      <c r="BE112" s="250"/>
      <c r="BF112" s="249"/>
    </row>
    <row r="113" spans="51:58" ht="12.75">
      <c r="AY113" s="103" t="s">
        <v>92</v>
      </c>
      <c r="AZ113" s="103" t="s">
        <v>93</v>
      </c>
      <c r="BA113" s="103" t="s">
        <v>327</v>
      </c>
      <c r="BB113" s="10">
        <v>240983</v>
      </c>
      <c r="BE113" s="70"/>
      <c r="BF113" s="241"/>
    </row>
    <row r="114" spans="51:58" ht="12.75">
      <c r="AY114" s="103" t="s">
        <v>228</v>
      </c>
      <c r="AZ114" s="103" t="s">
        <v>434</v>
      </c>
      <c r="BA114" s="103" t="s">
        <v>327</v>
      </c>
      <c r="BB114" s="10">
        <v>340451</v>
      </c>
      <c r="BF114" s="241"/>
    </row>
    <row r="115" spans="51:58" ht="12.75">
      <c r="AY115" s="103" t="s">
        <v>189</v>
      </c>
      <c r="AZ115" s="103" t="s">
        <v>190</v>
      </c>
      <c r="BA115" s="103" t="s">
        <v>327</v>
      </c>
      <c r="BB115" s="10">
        <v>280673</v>
      </c>
      <c r="BE115" s="248"/>
      <c r="BF115" s="241"/>
    </row>
    <row r="116" spans="51:58" ht="12.75">
      <c r="AY116" s="103" t="s">
        <v>169</v>
      </c>
      <c r="AZ116" s="103" t="s">
        <v>170</v>
      </c>
      <c r="BA116" s="103" t="s">
        <v>327</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327</v>
      </c>
      <c r="BB118" s="10">
        <v>217094</v>
      </c>
      <c r="BE118" s="70"/>
      <c r="BF118" s="239"/>
    </row>
    <row r="119" spans="51:58" ht="12.75">
      <c r="AY119" s="103" t="s">
        <v>268</v>
      </c>
      <c r="AZ119" s="103" t="s">
        <v>444</v>
      </c>
      <c r="BA119" s="103" t="s">
        <v>327</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327</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327</v>
      </c>
      <c r="BB124" s="10">
        <v>150179</v>
      </c>
      <c r="BF124" s="252"/>
    </row>
    <row r="125" spans="51:58" ht="12.75">
      <c r="AY125" s="103" t="s">
        <v>253</v>
      </c>
      <c r="AZ125" s="103" t="s">
        <v>254</v>
      </c>
      <c r="BA125" s="103" t="s">
        <v>327</v>
      </c>
      <c r="BB125" s="10">
        <v>420503</v>
      </c>
      <c r="BE125" s="70"/>
      <c r="BF125" s="249"/>
    </row>
    <row r="126" spans="51:58" ht="12.75">
      <c r="AY126" s="103" t="s">
        <v>134</v>
      </c>
      <c r="AZ126" s="103" t="s">
        <v>408</v>
      </c>
      <c r="BA126" s="103" t="s">
        <v>327</v>
      </c>
      <c r="BB126" s="10">
        <v>263936</v>
      </c>
      <c r="BE126" s="70"/>
      <c r="BF126" s="239"/>
    </row>
    <row r="127" spans="51:58" ht="12.75">
      <c r="AY127" s="103" t="s">
        <v>142</v>
      </c>
      <c r="AZ127" s="103" t="s">
        <v>143</v>
      </c>
      <c r="BA127" s="103" t="s">
        <v>327</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327</v>
      </c>
      <c r="BB129" s="10">
        <v>191885</v>
      </c>
      <c r="BE129" s="70"/>
      <c r="BF129" s="249"/>
    </row>
    <row r="130" spans="51:58" ht="12.75">
      <c r="AY130" s="103" t="s">
        <v>233</v>
      </c>
      <c r="AZ130" s="103" t="s">
        <v>435</v>
      </c>
      <c r="BA130" s="103" t="s">
        <v>327</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327</v>
      </c>
      <c r="BB132" s="10">
        <v>283991</v>
      </c>
      <c r="BE132" s="247"/>
      <c r="BF132" s="249"/>
    </row>
    <row r="133" spans="51:58" ht="12.75">
      <c r="AY133" s="103" t="s">
        <v>216</v>
      </c>
      <c r="AZ133" s="103" t="s">
        <v>217</v>
      </c>
      <c r="BA133" s="103" t="s">
        <v>327</v>
      </c>
      <c r="BB133" s="10">
        <v>1156805</v>
      </c>
      <c r="BE133" s="247"/>
      <c r="BF133" s="251"/>
    </row>
    <row r="134" spans="51:58" ht="12.75">
      <c r="AY134" s="103" t="s">
        <v>156</v>
      </c>
      <c r="AZ134" s="103" t="s">
        <v>414</v>
      </c>
      <c r="BA134" s="103" t="s">
        <v>327</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327</v>
      </c>
      <c r="BB138" s="10">
        <v>145889</v>
      </c>
      <c r="BE138" s="70"/>
      <c r="BF138" s="239"/>
    </row>
    <row r="139" spans="51:58" ht="12.75">
      <c r="AY139" s="103" t="s">
        <v>75</v>
      </c>
      <c r="AZ139" s="103" t="s">
        <v>383</v>
      </c>
      <c r="BA139" s="103" t="s">
        <v>327</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327</v>
      </c>
      <c r="BB142" s="10">
        <v>265654</v>
      </c>
      <c r="BE142" s="70"/>
      <c r="BF142" s="241"/>
    </row>
    <row r="143" spans="51:58" ht="12.75">
      <c r="AY143" s="103" t="s">
        <v>181</v>
      </c>
      <c r="AZ143" s="103" t="s">
        <v>182</v>
      </c>
      <c r="BA143" s="103" t="s">
        <v>327</v>
      </c>
      <c r="BB143" s="10">
        <v>284466</v>
      </c>
      <c r="BE143" s="70"/>
      <c r="BF143" s="249"/>
    </row>
    <row r="144" spans="51:58" ht="12.75">
      <c r="AY144" s="103" t="s">
        <v>146</v>
      </c>
      <c r="AZ144" s="103" t="s">
        <v>147</v>
      </c>
      <c r="BA144" s="103" t="s">
        <v>327</v>
      </c>
      <c r="BB144" s="10">
        <v>319933</v>
      </c>
      <c r="BE144" s="70"/>
      <c r="BF144" s="241"/>
    </row>
    <row r="145" spans="51:58" ht="12.75">
      <c r="AY145" s="103" t="s">
        <v>111</v>
      </c>
      <c r="AZ145" s="103" t="s">
        <v>112</v>
      </c>
      <c r="BA145" s="103" t="s">
        <v>327</v>
      </c>
      <c r="BB145" s="10">
        <v>192336</v>
      </c>
      <c r="BE145" s="248"/>
      <c r="BF145" s="249"/>
    </row>
    <row r="146" spans="51:58" ht="12.75">
      <c r="AY146" s="103" t="s">
        <v>237</v>
      </c>
      <c r="AZ146" s="103" t="s">
        <v>238</v>
      </c>
      <c r="BA146" s="103" t="s">
        <v>327</v>
      </c>
      <c r="BB146" s="10">
        <v>548313</v>
      </c>
      <c r="BF146" s="252"/>
    </row>
    <row r="147" spans="51:58" ht="12.75">
      <c r="AY147" s="103" t="s">
        <v>247</v>
      </c>
      <c r="AZ147" s="103" t="s">
        <v>248</v>
      </c>
      <c r="BA147" s="103" t="s">
        <v>327</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327</v>
      </c>
      <c r="BB150" s="10">
        <v>259945</v>
      </c>
      <c r="BF150" s="252"/>
    </row>
    <row r="151" spans="51:58" ht="12.75">
      <c r="AY151" s="103" t="s">
        <v>138</v>
      </c>
      <c r="AZ151" s="103" t="s">
        <v>139</v>
      </c>
      <c r="BA151" s="103" t="s">
        <v>327</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327</v>
      </c>
      <c r="BB153" s="10">
        <v>332176</v>
      </c>
      <c r="BF153" s="252"/>
    </row>
    <row r="154" spans="51:58" ht="12.75">
      <c r="AY154" s="103" t="s">
        <v>161</v>
      </c>
      <c r="AZ154" s="103" t="s">
        <v>417</v>
      </c>
      <c r="BA154" s="103" t="s">
        <v>327</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540</v>
      </c>
      <c r="B3" s="56" t="s">
        <v>145</v>
      </c>
      <c r="C3" s="56" t="s">
        <v>24</v>
      </c>
    </row>
    <row r="4" spans="1:2" ht="12.75">
      <c r="A4" s="76">
        <v>1</v>
      </c>
      <c r="B4" s="78" t="s">
        <v>144</v>
      </c>
    </row>
    <row r="5" ht="12.75">
      <c r="A5" s="280" t="s">
        <v>540</v>
      </c>
    </row>
    <row r="6" ht="12.75">
      <c r="A6" s="280" t="s">
        <v>523</v>
      </c>
    </row>
    <row r="7" ht="12.75">
      <c r="A7" s="280" t="s">
        <v>541</v>
      </c>
    </row>
    <row r="8" ht="12.75">
      <c r="A8" s="280" t="s">
        <v>511</v>
      </c>
    </row>
    <row r="9" ht="12.75">
      <c r="A9" s="280" t="s">
        <v>548</v>
      </c>
    </row>
    <row r="10" ht="12.75">
      <c r="A10" s="280" t="s">
        <v>519</v>
      </c>
    </row>
    <row r="11" ht="12.75">
      <c r="A11" s="280" t="s">
        <v>547</v>
      </c>
    </row>
    <row r="12" ht="12.75">
      <c r="A12" s="280" t="s">
        <v>530</v>
      </c>
    </row>
    <row r="13" ht="12.75">
      <c r="A13" s="280" t="s">
        <v>516</v>
      </c>
    </row>
    <row r="14" ht="12.75">
      <c r="A14" s="280" t="s">
        <v>520</v>
      </c>
    </row>
    <row r="15" ht="12.75">
      <c r="A15" s="280" t="s">
        <v>544</v>
      </c>
    </row>
    <row r="16" ht="12.75">
      <c r="A16" s="280" t="s">
        <v>554</v>
      </c>
    </row>
    <row r="17" ht="12.75">
      <c r="A17" s="280" t="s">
        <v>551</v>
      </c>
    </row>
    <row r="18" ht="12.75">
      <c r="A18" s="280" t="s">
        <v>550</v>
      </c>
    </row>
    <row r="19" ht="12.75">
      <c r="A19" s="280" t="s">
        <v>532</v>
      </c>
    </row>
    <row r="20" ht="12.75">
      <c r="A20" s="280" t="s">
        <v>537</v>
      </c>
    </row>
    <row r="21" ht="12.75">
      <c r="A21" s="280" t="s">
        <v>525</v>
      </c>
    </row>
    <row r="22" ht="12.75">
      <c r="A22" s="280" t="s">
        <v>545</v>
      </c>
    </row>
    <row r="23" ht="12.75">
      <c r="A23" s="280" t="s">
        <v>514</v>
      </c>
    </row>
    <row r="24" ht="12.75">
      <c r="A24" s="280" t="s">
        <v>536</v>
      </c>
    </row>
    <row r="25" ht="12.75">
      <c r="A25" s="280" t="s">
        <v>543</v>
      </c>
    </row>
    <row r="26" ht="12.75">
      <c r="A26" s="280" t="s">
        <v>533</v>
      </c>
    </row>
    <row r="27" ht="12.75">
      <c r="A27" s="280" t="s">
        <v>527</v>
      </c>
    </row>
    <row r="28" ht="12.75">
      <c r="A28" s="280" t="s">
        <v>534</v>
      </c>
    </row>
    <row r="29" ht="12.75">
      <c r="A29" s="280" t="s">
        <v>517</v>
      </c>
    </row>
    <row r="30" ht="12.75">
      <c r="A30" s="280" t="s">
        <v>522</v>
      </c>
    </row>
    <row r="31" ht="12.75">
      <c r="A31" s="280" t="s">
        <v>546</v>
      </c>
    </row>
    <row r="32" ht="12.75">
      <c r="A32" s="280" t="s">
        <v>531</v>
      </c>
    </row>
    <row r="33" ht="12.75">
      <c r="A33" s="280" t="s">
        <v>552</v>
      </c>
    </row>
    <row r="34" ht="12.75">
      <c r="A34" s="280" t="s">
        <v>549</v>
      </c>
    </row>
    <row r="35" ht="12.75">
      <c r="A35" s="280" t="s">
        <v>553</v>
      </c>
    </row>
    <row r="36" ht="12.75">
      <c r="A36" s="280" t="s">
        <v>542</v>
      </c>
    </row>
    <row r="37" ht="12.75">
      <c r="A37" s="280" t="s">
        <v>513</v>
      </c>
    </row>
    <row r="38" ht="12.75">
      <c r="A38" s="280" t="s">
        <v>524</v>
      </c>
    </row>
    <row r="39" ht="12.75">
      <c r="A39" s="280" t="s">
        <v>518</v>
      </c>
    </row>
    <row r="40" ht="12.75">
      <c r="A40" s="280" t="s">
        <v>526</v>
      </c>
    </row>
    <row r="41" ht="12.75">
      <c r="A41" s="280" t="s">
        <v>528</v>
      </c>
    </row>
    <row r="42" ht="12.75">
      <c r="A42" s="280" t="s">
        <v>512</v>
      </c>
    </row>
    <row r="43" ht="12.75">
      <c r="A43" s="280" t="s">
        <v>515</v>
      </c>
    </row>
    <row r="44" ht="12.75">
      <c r="A44" s="280" t="s">
        <v>521</v>
      </c>
    </row>
    <row r="45" ht="12.75">
      <c r="A45" s="280" t="s">
        <v>539</v>
      </c>
    </row>
    <row r="46" ht="12.75">
      <c r="A46" s="280" t="s">
        <v>538</v>
      </c>
    </row>
    <row r="47" ht="12.75">
      <c r="A47" s="280" t="s">
        <v>535</v>
      </c>
    </row>
    <row r="48" ht="12.75">
      <c r="A48" s="280" t="s">
        <v>529</v>
      </c>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