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<sst xmlns="http://schemas.openxmlformats.org/spreadsheetml/2006/main" count="1347" uniqueCount="566">
  <si>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</si>
  <si>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</si>
  <si>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</si>
  <si>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</si>
  <si>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</si>
  <si>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</si>
  <si>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</si>
  <si>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</si>
  <si>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</si>
  <si>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</si>
  <si>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</si>
  <si>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</si>
  <si>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</si>
  <si>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</si>
  <si>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</si>
  <si>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</si>
  <si>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</si>
  <si>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</si>
  <si>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</si>
  <si>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</si>
  <si>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</si>
  <si>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</si>
  <si>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</si>
  <si>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</si>
  <si>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</si>
  <si>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</si>
  <si>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</si>
  <si>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</si>
  <si>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</si>
  <si>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</si>
  <si>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</si>
  <si>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</si>
  <si>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</si>
  <si>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</si>
  <si>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</si>
  <si>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</si>
  <si>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</si>
  <si>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</si>
  <si>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</si>
  <si>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</si>
  <si>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</si>
  <si>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</si>
  <si>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</si>
  <si>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</si>
  <si>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</si>
  <si>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</si>
  <si>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</si>
  <si>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</si>
  <si>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</si>
  <si>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</si>
  <si>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</si>
  <si>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</si>
  <si>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</si>
  <si>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</si>
  <si>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</si>
  <si>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</si>
  <si>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</si>
  <si>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</si>
  <si>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</si>
  <si>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</si>
  <si>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</si>
  <si>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</si>
  <si>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</si>
  <si>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</si>
  <si>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</si>
  <si>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</si>
  <si>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</si>
  <si>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</si>
  <si>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</si>
  <si>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</si>
  <si>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</si>
  <si>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</si>
  <si>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</si>
  <si>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</si>
  <si>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</si>
  <si>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</si>
  <si>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</si>
  <si>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</si>
  <si>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</si>
  <si>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</si>
  <si>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</si>
  <si>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</si>
  <si>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</si>
  <si>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</si>
  <si>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</si>
  <si>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</si>
  <si>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</si>
  <si>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</si>
  <si>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</si>
  <si>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</si>
  <si>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</si>
  <si>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</si>
  <si>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</si>
  <si>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</si>
  <si>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</si>
  <si>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</si>
  <si>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</si>
  <si>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</si>
  <si>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</si>
  <si>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</si>
  <si>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</si>
  <si>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</si>
  <si>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</si>
  <si>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</si>
  <si>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</si>
  <si>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</si>
  <si>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</si>
  <si>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</si>
  <si>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</si>
  <si>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</si>
  <si>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</si>
  <si>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</si>
  <si>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</si>
  <si>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</si>
  <si>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</si>
  <si>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</si>
  <si>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</si>
  <si>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</si>
  <si>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</si>
  <si>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</si>
  <si>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</si>
  <si>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</si>
  <si>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</si>
  <si>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</si>
  <si>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</si>
  <si>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</si>
  <si>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</si>
  <si>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</si>
  <si>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</si>
  <si>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</si>
  <si>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</si>
  <si>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</si>
  <si>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</si>
  <si>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</si>
  <si>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</si>
  <si>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</si>
  <si>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</si>
  <si>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</si>
  <si>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</si>
  <si>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</si>
  <si>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</si>
  <si>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</si>
  <si>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</si>
  <si>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</si>
  <si>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</si>
  <si>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</si>
  <si>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</si>
  <si>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</si>
  <si>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</si>
  <si>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</si>
  <si>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</si>
  <si>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</si>
  <si>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</si>
  <si>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</si>
  <si>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</si>
  <si>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</si>
  <si>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</si>
  <si>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</si>
  <si>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</si>
  <si>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</si>
  <si>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</si>
  <si>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</si>
  <si>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</si>
  <si>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</si>
  <si>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</si>
  <si>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</si>
  <si>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</si>
  <si>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</si>
  <si>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</si>
  <si>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</si>
  <si>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</si>
  <si>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</si>
  <si>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</si>
  <si>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</si>
  <si>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</si>
  <si>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</si>
  <si>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</si>
  <si>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</si>
  <si>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</si>
  <si>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</si>
  <si>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</si>
  <si>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</si>
  <si>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</si>
  <si>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</si>
  <si>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</si>
  <si>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</si>
  <si>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</si>
  <si>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</si>
  <si>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</si>
  <si>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</si>
  <si>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</si>
  <si>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</si>
  <si>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</si>
  <si>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</si>
  <si>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</si>
  <si>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</si>
  <si>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</si>
  <si>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</si>
  <si>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</si>
  <si>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</si>
  <si>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</si>
  <si>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</si>
  <si>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</si>
  <si>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</si>
  <si>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</si>
  <si>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</si>
  <si>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</si>
  <si>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</si>
  <si>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</si>
  <si>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</si>
  <si>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</si>
  <si>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</si>
  <si>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</si>
  <si>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</si>
  <si>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</si>
  <si>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</si>
  <si>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</si>
  <si>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</si>
  <si>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</si>
  <si>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</si>
  <si>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</si>
  <si>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</si>
  <si>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</si>
  <si>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</si>
  <si>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</si>
  <si>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</si>
  <si>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</si>
  <si>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</si>
  <si>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</si>
  <si>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</si>
  <si>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</si>
  <si>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</si>
  <si>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</si>
  <si>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</si>
  <si>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</si>
  <si>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</si>
  <si>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</si>
  <si>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</si>
  <si>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</si>
  <si>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</si>
  <si>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</si>
  <si>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</si>
  <si>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</si>
  <si>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</si>
  <si>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</si>
  <si>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</si>
  <si>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</si>
  <si>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</si>
  <si>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</si>
  <si>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</si>
  <si>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</si>
  <si>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</si>
  <si>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</si>
  <si>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</si>
  <si>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</si>
  <si>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</si>
  <si>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</si>
  <si>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</si>
  <si>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</si>
  <si>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</si>
  <si>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</si>
  <si>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</si>
  <si>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</si>
  <si>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</si>
  <si>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</si>
  <si>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</si>
  <si>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</si>
  <si>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</si>
  <si>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</si>
  <si>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</si>
  <si>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</si>
  <si>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</si>
  <si>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</si>
  <si>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</si>
  <si>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</si>
  <si>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</si>
  <si>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</si>
  <si>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</si>
  <si>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</si>
  <si>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</si>
  <si>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</si>
  <si>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</si>
  <si>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M82002</t>
  </si>
  <si>
    <t>M82004</t>
  </si>
  <si>
    <t>M82005</t>
  </si>
  <si>
    <t>M82006</t>
  </si>
  <si>
    <t>M82008</t>
  </si>
  <si>
    <t>M82010</t>
  </si>
  <si>
    <t>M82011</t>
  </si>
  <si>
    <t>M82013</t>
  </si>
  <si>
    <t>M82014</t>
  </si>
  <si>
    <t>M82015</t>
  </si>
  <si>
    <t>M82016</t>
  </si>
  <si>
    <t>M82017</t>
  </si>
  <si>
    <t>M82018</t>
  </si>
  <si>
    <t>M82019</t>
  </si>
  <si>
    <t>M82020</t>
  </si>
  <si>
    <t>M82021</t>
  </si>
  <si>
    <t>M82022</t>
  </si>
  <si>
    <t>M82023</t>
  </si>
  <si>
    <t>M82024</t>
  </si>
  <si>
    <t>M82025</t>
  </si>
  <si>
    <t>M82026</t>
  </si>
  <si>
    <t>M82030</t>
  </si>
  <si>
    <t>M82031</t>
  </si>
  <si>
    <t>M82032</t>
  </si>
  <si>
    <t>M82033</t>
  </si>
  <si>
    <t>M82034</t>
  </si>
  <si>
    <t>M82035</t>
  </si>
  <si>
    <t>M82038</t>
  </si>
  <si>
    <t>M82040</t>
  </si>
  <si>
    <t>M82041</t>
  </si>
  <si>
    <t>M82043</t>
  </si>
  <si>
    <t>M82044</t>
  </si>
  <si>
    <t>M82045</t>
  </si>
  <si>
    <t>M82046</t>
  </si>
  <si>
    <t>M82047</t>
  </si>
  <si>
    <t>M82048</t>
  </si>
  <si>
    <t>M82050</t>
  </si>
  <si>
    <t>M82051</t>
  </si>
  <si>
    <t>M82055</t>
  </si>
  <si>
    <t>M82058</t>
  </si>
  <si>
    <t>M82060</t>
  </si>
  <si>
    <t>M82601</t>
  </si>
  <si>
    <t>M82604</t>
  </si>
  <si>
    <t>M82620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</si>
  <si>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</si>
  <si>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</si>
  <si>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</si>
  <si>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</si>
  <si>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</si>
  <si>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</si>
  <si>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</si>
  <si>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</si>
  <si>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</si>
  <si>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</si>
  <si>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</si>
  <si>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</si>
  <si>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</si>
  <si>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</si>
  <si>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</si>
  <si>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</si>
  <si>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</si>
  <si>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</si>
  <si>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</si>
  <si>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</si>
  <si>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</si>
  <si>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</si>
  <si>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</si>
  <si>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</si>
  <si>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</si>
  <si>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</si>
  <si>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</si>
  <si>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</si>
  <si>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</si>
  <si>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</si>
  <si>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</si>
  <si>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</si>
  <si>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</si>
  <si>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</si>
  <si>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</si>
  <si>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</si>
  <si>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</si>
  <si>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</si>
  <si>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</si>
  <si>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</si>
  <si>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</si>
  <si>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</si>
  <si>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</si>
  <si>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</si>
  <si>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</si>
  <si>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</si>
  <si>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</si>
  <si>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</si>
  <si>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</si>
  <si>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</si>
  <si>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</si>
  <si>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</si>
  <si>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</si>
  <si>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</si>
  <si>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</si>
  <si>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</si>
  <si>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</si>
  <si>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</si>
  <si>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</si>
  <si>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</si>
  <si>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</si>
  <si>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</si>
  <si>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</si>
  <si>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</si>
  <si>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</si>
  <si>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</si>
  <si>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</si>
  <si>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</si>
  <si>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</si>
  <si>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</si>
  <si>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</si>
  <si>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</si>
  <si>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</si>
  <si>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</si>
  <si>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</si>
  <si>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</si>
  <si>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</si>
  <si>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</si>
  <si>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</si>
  <si>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</si>
  <si>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</si>
  <si>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</si>
  <si>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</si>
  <si>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</si>
  <si>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</si>
  <si>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</si>
  <si>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</si>
  <si>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</si>
  <si>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</si>
  <si>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</si>
  <si>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</si>
  <si>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</si>
  <si>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</si>
  <si>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</si>
  <si>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</si>
  <si>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</si>
  <si>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</si>
  <si>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</si>
  <si>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</si>
  <si>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</si>
  <si>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</si>
  <si>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</si>
  <si>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</si>
  <si>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</si>
  <si>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</si>
  <si>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</si>
  <si>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</si>
  <si>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</si>
  <si>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</si>
  <si>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</si>
  <si>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</si>
  <si>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</si>
  <si>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</si>
  <si>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</si>
  <si>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</si>
  <si>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</si>
  <si>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</si>
  <si>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</si>
  <si>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</si>
  <si>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</si>
  <si>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</si>
  <si>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</si>
  <si>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</si>
  <si>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</si>
  <si>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</si>
  <si>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</si>
  <si>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</si>
  <si>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</si>
  <si>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</si>
  <si>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</si>
  <si>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</si>
  <si>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</si>
  <si>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</si>
  <si>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</si>
  <si>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</si>
  <si>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</si>
  <si>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</si>
  <si>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</si>
  <si>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</si>
  <si>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</si>
  <si>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</si>
  <si>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</si>
  <si>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</si>
  <si>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</si>
  <si>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</si>
  <si>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</si>
  <si>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</si>
  <si>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</si>
  <si>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</si>
  <si>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</si>
  <si>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</si>
  <si>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</si>
  <si>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</si>
  <si>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</si>
  <si>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</si>
  <si>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</si>
  <si>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</si>
  <si>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</si>
  <si>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</si>
  <si>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</si>
  <si>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</si>
  <si>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</si>
  <si>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</si>
  <si>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</si>
  <si>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</si>
  <si>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</si>
  <si>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</si>
  <si>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</si>
  <si>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</si>
  <si>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</si>
  <si>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</si>
  <si>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</si>
  <si>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</si>
  <si>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</si>
  <si>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</si>
  <si>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</si>
  <si>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</si>
  <si>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</si>
  <si>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</si>
  <si>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</si>
  <si>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</si>
  <si>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</si>
  <si>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</si>
  <si>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</si>
  <si>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(M82002) MYTTON OAK MEDICAL PRACTICE</t>
  </si>
  <si>
    <t>(M82004) BRIDGNORTH MEDICAL PRACTICE</t>
  </si>
  <si>
    <t>(M82005) PLAS FFYNNON MEDICAL CENTRE</t>
  </si>
  <si>
    <t>(M82006) RIVERSIDE MEDICAL PRACTICE</t>
  </si>
  <si>
    <t>(M82008) CHURCH STRETTON MEDICAL CENTRE</t>
  </si>
  <si>
    <t>(M82010) MARKET DRAYTON MEDICAL PRACTICE</t>
  </si>
  <si>
    <t>(M82011) SHAWBURY MEDICAL PRACTICE</t>
  </si>
  <si>
    <t>(M82013) WESTBURY MEDICAL CENTRE</t>
  </si>
  <si>
    <t>(M82014) STATION DRIVE SURGERY</t>
  </si>
  <si>
    <t>(M82015) CAMBRIAN SURGERY</t>
  </si>
  <si>
    <t>(M82016) RADBROOK GREEN SURGERY</t>
  </si>
  <si>
    <t>(M82017) CLIVE MEDICAL PRACTICE</t>
  </si>
  <si>
    <t>(M82018) BEECHES MEDICAL PRACTICE</t>
  </si>
  <si>
    <t>(M82019) MUCH WENLOCK PRACTICE</t>
  </si>
  <si>
    <t>(M82020) KNOCKIN MEDICAL CENTRE</t>
  </si>
  <si>
    <t>(M82021) ALBRIGHTON MEDICAL PRACTICE</t>
  </si>
  <si>
    <t>(M82022) THE CAXTON SURGERY</t>
  </si>
  <si>
    <t>(M82023) BASCHURCH SURGERY</t>
  </si>
  <si>
    <t>(M82024) BROWN CLEE MEDICAL CENTRE</t>
  </si>
  <si>
    <t>(M82025) ELLESMERE MEDICAL PRACTICE</t>
  </si>
  <si>
    <t>(M82026) WILLOW STREET MEDICAL CENTRE</t>
  </si>
  <si>
    <t>(M82030) PONTESBURY MEDICAL PRACTICE</t>
  </si>
  <si>
    <t>(M82031) HIGHLEY MEDICAL CENTRE</t>
  </si>
  <si>
    <t>(M82032) ALBERT ROAD MEDICAL CENTRE</t>
  </si>
  <si>
    <t>(M82033) BISHOPS CASTLE SURGERY</t>
  </si>
  <si>
    <t>(M82034) CLAREMONT BANK SURGERY</t>
  </si>
  <si>
    <t>(M82035) WEM MEDICAL PRACTICE</t>
  </si>
  <si>
    <t>(M82038) SHIFNAL MEDICAL PRACTICE</t>
  </si>
  <si>
    <t>(M82040) MARYSVILLE MEDICAL PRACTICE</t>
  </si>
  <si>
    <t>(M82041) CLEOBURY MORTIMER SURGERY</t>
  </si>
  <si>
    <t>(M82043) LUDLOW - PORTCULLIS</t>
  </si>
  <si>
    <t>(M82044) DODINGTON SURGERY</t>
  </si>
  <si>
    <t>(M82045) BRIDGEWATER SURGERY</t>
  </si>
  <si>
    <t>(M82046) CRAVEN ARMS SURGERY</t>
  </si>
  <si>
    <t>(M82047) MARDEN MEDICAL PRACTICE</t>
  </si>
  <si>
    <t>(M82048) BELVIDERE MEDICAL PRACTICE</t>
  </si>
  <si>
    <t>(M82050) MOUNT PLEASANT MEDICAL CENTRE</t>
  </si>
  <si>
    <t>(M82051) BROSELEY MEDICAL PRACTICE</t>
  </si>
  <si>
    <t>(M82055) RICHMOND HOUSE SURGERY</t>
  </si>
  <si>
    <t>(M82058) HODNET MEDICAL PRACTICE</t>
  </si>
  <si>
    <t>(M82060) SOUTH HERMITAGE SURGERY</t>
  </si>
  <si>
    <t>(M82601) ALVELEY MEDICAL PRACTICE</t>
  </si>
  <si>
    <t>(M82604) WORTHEN MEDICAL PRACTICE</t>
  </si>
  <si>
    <t>(M82620) THE MEADOWS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</si>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</sst>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0.9999999627470976</c:v>
                </c:pt>
                <c:pt idx="4">
                  <c:v>1</c:v>
                </c:pt>
                <c:pt idx="5">
                  <c:v>0.7660149360750974</c:v>
                </c:pt>
                <c:pt idx="6">
                  <c:v>1</c:v>
                </c:pt>
                <c:pt idx="7">
                  <c:v>0.5726932746245895</c:v>
                </c:pt>
                <c:pt idx="8">
                  <c:v>0.5798998309844484</c:v>
                </c:pt>
                <c:pt idx="9">
                  <c:v>1</c:v>
                </c:pt>
                <c:pt idx="10">
                  <c:v>1</c:v>
                </c:pt>
                <c:pt idx="11">
                  <c:v>0.8843469680349813</c:v>
                </c:pt>
                <c:pt idx="12">
                  <c:v>0.898958694412319</c:v>
                </c:pt>
                <c:pt idx="13">
                  <c:v>0</c:v>
                </c:pt>
                <c:pt idx="14">
                  <c:v>1</c:v>
                </c:pt>
                <c:pt idx="15">
                  <c:v>1</c:v>
                </c:pt>
                <c:pt idx="16">
                  <c:v>1</c:v>
                </c:pt>
                <c:pt idx="17">
                  <c:v>0.9835361341512704</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0.5833099359094818</c:v>
                </c:pt>
                <c:pt idx="3">
                  <c:v>0.6250000279396768</c:v>
                </c:pt>
                <c:pt idx="4">
                  <c:v>0.5947280178226333</c:v>
                </c:pt>
                <c:pt idx="5">
                  <c:v>0.653696905446916</c:v>
                </c:pt>
                <c:pt idx="6">
                  <c:v>0.5937500109139359</c:v>
                </c:pt>
                <c:pt idx="7">
                  <c:v>0.5248549516209462</c:v>
                </c:pt>
                <c:pt idx="8">
                  <c:v>0.5242077127899172</c:v>
                </c:pt>
                <c:pt idx="9">
                  <c:v>0.6626127031848923</c:v>
                </c:pt>
                <c:pt idx="10">
                  <c:v>0.6588468082943442</c:v>
                </c:pt>
                <c:pt idx="11">
                  <c:v>0.5691991962896449</c:v>
                </c:pt>
                <c:pt idx="12">
                  <c:v>0.6237204788134726</c:v>
                </c:pt>
                <c:pt idx="13">
                  <c:v>0</c:v>
                </c:pt>
                <c:pt idx="14">
                  <c:v>0.6350053705551133</c:v>
                </c:pt>
                <c:pt idx="15">
                  <c:v>0.65635345196684</c:v>
                </c:pt>
                <c:pt idx="16">
                  <c:v>0.6289257670380409</c:v>
                </c:pt>
                <c:pt idx="17">
                  <c:v>0.7335709287733989</c:v>
                </c:pt>
                <c:pt idx="18">
                  <c:v>0.5801042780982792</c:v>
                </c:pt>
                <c:pt idx="19">
                  <c:v>0.5758187861713416</c:v>
                </c:pt>
                <c:pt idx="20">
                  <c:v>0.643125977013378</c:v>
                </c:pt>
                <c:pt idx="21">
                  <c:v>0.6128965617045101</c:v>
                </c:pt>
                <c:pt idx="22">
                  <c:v>0.6378614501772175</c:v>
                </c:pt>
                <c:pt idx="23">
                  <c:v>0.636700789068449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0.4094814467640442</c:v>
                </c:pt>
                <c:pt idx="3">
                  <c:v>0.3000000447034829</c:v>
                </c:pt>
                <c:pt idx="4">
                  <c:v>0.43532306803901816</c:v>
                </c:pt>
                <c:pt idx="5">
                  <c:v>0.36362231810964696</c:v>
                </c:pt>
                <c:pt idx="6">
                  <c:v>0.46093753910827034</c:v>
                </c:pt>
                <c:pt idx="7">
                  <c:v>0.4819089531099877</c:v>
                </c:pt>
                <c:pt idx="8">
                  <c:v>0.379556945491525</c:v>
                </c:pt>
                <c:pt idx="9">
                  <c:v>0.42971151176262196</c:v>
                </c:pt>
                <c:pt idx="10">
                  <c:v>0.37014926818169713</c:v>
                </c:pt>
                <c:pt idx="11">
                  <c:v>0.34692737655698697</c:v>
                </c:pt>
                <c:pt idx="12">
                  <c:v>0.3550224112816694</c:v>
                </c:pt>
                <c:pt idx="13">
                  <c:v>0</c:v>
                </c:pt>
                <c:pt idx="14">
                  <c:v>0.4234181679496461</c:v>
                </c:pt>
                <c:pt idx="15">
                  <c:v>0.410661282909665</c:v>
                </c:pt>
                <c:pt idx="16">
                  <c:v>0.3396935023548596</c:v>
                </c:pt>
                <c:pt idx="17">
                  <c:v>0.3401561993007003</c:v>
                </c:pt>
                <c:pt idx="18">
                  <c:v>0.45986816972437256</c:v>
                </c:pt>
                <c:pt idx="19">
                  <c:v>0.4066763364453055</c:v>
                </c:pt>
                <c:pt idx="20">
                  <c:v>0.37404228698277997</c:v>
                </c:pt>
                <c:pt idx="21">
                  <c:v>0.43878142518569835</c:v>
                </c:pt>
                <c:pt idx="22">
                  <c:v>0.39512805778535903</c:v>
                </c:pt>
                <c:pt idx="23">
                  <c:v>0.4280866905329637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0.1243225616752408</c:v>
                </c:pt>
                <c:pt idx="3">
                  <c:v>0</c:v>
                </c:pt>
                <c:pt idx="4">
                  <c:v>0.027587586569445675</c:v>
                </c:pt>
                <c:pt idx="5">
                  <c:v>0</c:v>
                </c:pt>
                <c:pt idx="6">
                  <c:v>0.343750040017765</c:v>
                </c:pt>
                <c:pt idx="7">
                  <c:v>0</c:v>
                </c:pt>
                <c:pt idx="8">
                  <c:v>0</c:v>
                </c:pt>
                <c:pt idx="9">
                  <c:v>0.216154894469924</c:v>
                </c:pt>
                <c:pt idx="10">
                  <c:v>0.00802422370621737</c:v>
                </c:pt>
                <c:pt idx="11">
                  <c:v>0</c:v>
                </c:pt>
                <c:pt idx="12">
                  <c:v>0</c:v>
                </c:pt>
                <c:pt idx="13">
                  <c:v>0</c:v>
                </c:pt>
                <c:pt idx="14">
                  <c:v>0.18615418966816683</c:v>
                </c:pt>
                <c:pt idx="15">
                  <c:v>0.003002213692488229</c:v>
                </c:pt>
                <c:pt idx="16">
                  <c:v>0.038920354519935876</c:v>
                </c:pt>
                <c:pt idx="17">
                  <c:v>0</c:v>
                </c:pt>
                <c:pt idx="18">
                  <c:v>0.3778398627176206</c:v>
                </c:pt>
                <c:pt idx="19">
                  <c:v>0.27236107621070843</c:v>
                </c:pt>
                <c:pt idx="20">
                  <c:v>0.06028812743154895</c:v>
                </c:pt>
                <c:pt idx="21">
                  <c:v>0.28901534220446623</c:v>
                </c:pt>
                <c:pt idx="22">
                  <c:v>0.05528477272120633</c:v>
                </c:pt>
                <c:pt idx="23">
                  <c:v>0.26481303498892306</c:v>
                </c:pt>
                <c:pt idx="24">
                  <c:v>0</c:v>
                </c:pt>
                <c:pt idx="25">
                  <c:v>0</c:v>
                </c:pt>
                <c:pt idx="26">
                  <c:v>0</c:v>
                </c:pt>
              </c:numCache>
            </c:numRef>
          </c:val>
        </c:ser>
        <c:overlap val="100"/>
        <c:gapWidth val="100"/>
        <c:axId val="21772674"/>
        <c:axId val="6173633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0.22471714198202625</c:v>
                </c:pt>
                <c:pt idx="3">
                  <c:v>0.9010930292391479</c:v>
                </c:pt>
                <c:pt idx="4">
                  <c:v>0.4492950844270725</c:v>
                </c:pt>
                <c:pt idx="5">
                  <c:v>0.39663940122314106</c:v>
                </c:pt>
                <c:pt idx="6">
                  <c:v>0.4043977218369596</c:v>
                </c:pt>
                <c:pt idx="7">
                  <c:v>0.45687572644668006</c:v>
                </c:pt>
                <c:pt idx="8">
                  <c:v>0.4714492523959702</c:v>
                </c:pt>
                <c:pt idx="9">
                  <c:v>0.35954693190076453</c:v>
                </c:pt>
                <c:pt idx="10">
                  <c:v>1.3276215048593927</c:v>
                </c:pt>
                <c:pt idx="11">
                  <c:v>0.3323436731841785</c:v>
                </c:pt>
                <c:pt idx="12">
                  <c:v>0.32388167283541697</c:v>
                </c:pt>
                <c:pt idx="13">
                  <c:v>0.5</c:v>
                </c:pt>
                <c:pt idx="14">
                  <c:v>0.5983881413618903</c:v>
                </c:pt>
                <c:pt idx="15">
                  <c:v>0.5504122579449767</c:v>
                </c:pt>
                <c:pt idx="16">
                  <c:v>0.12984155134531497</c:v>
                </c:pt>
                <c:pt idx="17">
                  <c:v>0.5280526223476546</c:v>
                </c:pt>
                <c:pt idx="18">
                  <c:v>0.5253501606831665</c:v>
                </c:pt>
                <c:pt idx="19">
                  <c:v>0.43762423200158834</c:v>
                </c:pt>
                <c:pt idx="20">
                  <c:v>0.40768212613350463</c:v>
                </c:pt>
                <c:pt idx="21">
                  <c:v>0.4491846462788909</c:v>
                </c:pt>
                <c:pt idx="22">
                  <c:v>0.3849830414568691</c:v>
                </c:pt>
                <c:pt idx="23">
                  <c:v>0.486102095314658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0.36462333218275367</c:v>
                </c:pt>
                <c:pt idx="6">
                  <c:v>-999</c:v>
                </c:pt>
                <c:pt idx="7">
                  <c:v>-999</c:v>
                </c:pt>
                <c:pt idx="8">
                  <c:v>0.4058627611374565</c:v>
                </c:pt>
                <c:pt idx="9">
                  <c:v>-999</c:v>
                </c:pt>
                <c:pt idx="10">
                  <c:v>-999</c:v>
                </c:pt>
                <c:pt idx="11">
                  <c:v>-999</c:v>
                </c:pt>
                <c:pt idx="12">
                  <c:v>-999</c:v>
                </c:pt>
                <c:pt idx="13">
                  <c:v>0.4287635741212759</c:v>
                </c:pt>
                <c:pt idx="14">
                  <c:v>-999</c:v>
                </c:pt>
                <c:pt idx="15">
                  <c:v>0.685953290506284</c:v>
                </c:pt>
                <c:pt idx="16">
                  <c:v>0.45957174312348725</c:v>
                </c:pt>
                <c:pt idx="17">
                  <c:v>0.34948796043559316</c:v>
                </c:pt>
                <c:pt idx="18">
                  <c:v>-999</c:v>
                </c:pt>
                <c:pt idx="19">
                  <c:v>-999</c:v>
                </c:pt>
                <c:pt idx="20">
                  <c:v>0.20953767550984542</c:v>
                </c:pt>
                <c:pt idx="21">
                  <c:v>0.43404848325779155</c:v>
                </c:pt>
                <c:pt idx="22">
                  <c:v>0.33797669640897965</c:v>
                </c:pt>
                <c:pt idx="23">
                  <c:v>0.5288885532262405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0.12917639896736968</c:v>
                </c:pt>
                <c:pt idx="3">
                  <c:v>0.8999999999999999</c:v>
                </c:pt>
                <c:pt idx="4">
                  <c:v>0.22444945476302414</c:v>
                </c:pt>
                <c:pt idx="5">
                  <c:v>-999</c:v>
                </c:pt>
                <c:pt idx="6">
                  <c:v>0.34375002651358827</c:v>
                </c:pt>
                <c:pt idx="7">
                  <c:v>0.4347756863071803</c:v>
                </c:pt>
                <c:pt idx="8">
                  <c:v>-999</c:v>
                </c:pt>
                <c:pt idx="9">
                  <c:v>0.6210811163483054</c:v>
                </c:pt>
                <c:pt idx="10">
                  <c:v>0.23906014515441168</c:v>
                </c:pt>
                <c:pt idx="11">
                  <c:v>0.20571441046668948</c:v>
                </c:pt>
                <c:pt idx="12">
                  <c:v>0.23974022575747234</c:v>
                </c:pt>
                <c:pt idx="13">
                  <c:v>-999</c:v>
                </c:pt>
                <c:pt idx="14">
                  <c:v>0.8335092954826777</c:v>
                </c:pt>
                <c:pt idx="15">
                  <c:v>-999</c:v>
                </c:pt>
                <c:pt idx="16">
                  <c:v>-999</c:v>
                </c:pt>
                <c:pt idx="17">
                  <c:v>-999</c:v>
                </c:pt>
                <c:pt idx="18">
                  <c:v>-999</c:v>
                </c:pt>
                <c:pt idx="19">
                  <c:v>0.35054788606760334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8756140"/>
        <c:axId val="34587533"/>
      </c:scatterChart>
      <c:catAx>
        <c:axId val="21772674"/>
        <c:scaling>
          <c:orientation val="maxMin"/>
        </c:scaling>
        <c:axPos val="l"/>
        <c:delete val="0"/>
        <c:numFmt formatCode="General" sourceLinked="1"/>
        <c:majorTickMark val="out"/>
        <c:minorTickMark val="none"/>
        <c:tickLblPos val="none"/>
        <c:spPr>
          <a:ln w="3175">
            <a:noFill/>
          </a:ln>
        </c:spPr>
        <c:crossAx val="61736339"/>
        <c:crosses val="autoZero"/>
        <c:auto val="1"/>
        <c:lblOffset val="100"/>
        <c:tickLblSkip val="1"/>
        <c:noMultiLvlLbl val="0"/>
      </c:catAx>
      <c:valAx>
        <c:axId val="61736339"/>
        <c:scaling>
          <c:orientation val="minMax"/>
          <c:max val="1"/>
          <c:min val="0"/>
        </c:scaling>
        <c:axPos val="t"/>
        <c:delete val="0"/>
        <c:numFmt formatCode="General" sourceLinked="1"/>
        <c:majorTickMark val="none"/>
        <c:minorTickMark val="none"/>
        <c:tickLblPos val="none"/>
        <c:spPr>
          <a:ln w="3175">
            <a:noFill/>
          </a:ln>
        </c:spPr>
        <c:crossAx val="21772674"/>
        <c:crossesAt val="1"/>
        <c:crossBetween val="between"/>
        <c:dispUnits/>
        <c:majorUnit val="1"/>
      </c:valAx>
      <c:valAx>
        <c:axId val="18756140"/>
        <c:scaling>
          <c:orientation val="minMax"/>
          <c:max val="1"/>
          <c:min val="0"/>
        </c:scaling>
        <c:axPos val="t"/>
        <c:delete val="0"/>
        <c:numFmt formatCode="General" sourceLinked="1"/>
        <c:majorTickMark val="none"/>
        <c:minorTickMark val="none"/>
        <c:tickLblPos val="none"/>
        <c:spPr>
          <a:ln w="3175">
            <a:noFill/>
          </a:ln>
        </c:spPr>
        <c:crossAx val="34587533"/>
        <c:crosses val="max"/>
        <c:crossBetween val="midCat"/>
        <c:dispUnits/>
        <c:majorUnit val="0.1"/>
        <c:minorUnit val="0.020000000000000004"/>
      </c:valAx>
      <c:valAx>
        <c:axId val="34587533"/>
        <c:scaling>
          <c:orientation val="maxMin"/>
          <c:max val="29"/>
          <c:min val="0"/>
        </c:scaling>
        <c:axPos val="l"/>
        <c:delete val="0"/>
        <c:numFmt formatCode="General" sourceLinked="1"/>
        <c:majorTickMark val="none"/>
        <c:minorTickMark val="none"/>
        <c:tickLblPos val="none"/>
        <c:spPr>
          <a:ln w="3175">
            <a:noFill/>
          </a:ln>
        </c:spPr>
        <c:crossAx val="1875614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(M82032) ALBERT ROAD MEDICAL CENTRE, SHROPSHIRE COUNTY PCT (5M2)</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479</v>
      </c>
      <c r="Q3" s="65"/>
      <c r="R3" s="66"/>
      <c r="S3" s="66"/>
      <c r="T3" s="66"/>
      <c r="U3" s="66"/>
      <c r="V3" s="66"/>
      <c r="W3" s="66"/>
      <c r="X3" s="66"/>
      <c r="Y3" s="66"/>
      <c r="Z3" s="66"/>
      <c r="AA3" s="66"/>
      <c r="AB3" s="66"/>
      <c r="AC3" s="66"/>
    </row>
    <row r="4" spans="2:29" ht="18" customHeight="1">
      <c r="B4" s="319" t="s">
        <v>557</v>
      </c>
      <c r="C4" s="320"/>
      <c r="D4" s="320"/>
      <c r="E4" s="320"/>
      <c r="F4" s="320"/>
      <c r="G4" s="321"/>
      <c r="H4" s="112"/>
      <c r="I4" s="112"/>
      <c r="J4" s="112"/>
      <c r="K4" s="112"/>
      <c r="L4" s="113"/>
      <c r="M4" s="65"/>
      <c r="N4" s="65"/>
      <c r="O4" s="65"/>
      <c r="P4" s="134" t="s">
        <v>480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556</v>
      </c>
      <c r="C8" s="115"/>
      <c r="D8" s="115"/>
      <c r="E8" s="128">
        <f>VLOOKUP('Hide - Control'!A$3,'All practice data'!A:CA,4,FALSE)</f>
        <v>7770</v>
      </c>
      <c r="F8" s="310" t="str">
        <f>VLOOKUP('Hide - Control'!B4,'Hide - Calculation'!AY:BA,3,FALSE)</f>
        <v>Please note: Bowel screening indicators are based on less than 30 but over 12 months of data.</v>
      </c>
      <c r="G8" s="310"/>
      <c r="H8" s="310"/>
      <c r="I8" s="115"/>
      <c r="J8" s="115"/>
      <c r="K8" s="115"/>
      <c r="L8" s="115"/>
      <c r="M8" s="109"/>
      <c r="N8" s="314" t="s">
        <v>489</v>
      </c>
      <c r="O8" s="314"/>
      <c r="P8" s="314"/>
      <c r="Q8" s="314" t="s">
        <v>32</v>
      </c>
      <c r="R8" s="314"/>
      <c r="S8" s="314"/>
      <c r="T8" s="314" t="s">
        <v>560</v>
      </c>
      <c r="U8" s="314"/>
      <c r="V8" s="314" t="s">
        <v>33</v>
      </c>
      <c r="W8" s="314"/>
      <c r="X8" s="314"/>
      <c r="Y8" s="135"/>
      <c r="Z8" s="314" t="s">
        <v>482</v>
      </c>
      <c r="AA8" s="314"/>
      <c r="AB8" s="161"/>
      <c r="AC8" s="109"/>
    </row>
    <row r="9" spans="2:29" s="61" customFormat="1" ht="19.5" customHeight="1" thickBot="1">
      <c r="B9" s="114" t="s">
        <v>474</v>
      </c>
      <c r="C9" s="114"/>
      <c r="D9" s="114"/>
      <c r="E9" s="129">
        <f>VLOOKUP('Hide - Control'!B4,'Hide - Calculation'!AY:BB,4,FALSE)</f>
        <v>295379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452</v>
      </c>
      <c r="E11" s="317"/>
      <c r="F11" s="318"/>
      <c r="G11" s="263" t="s">
        <v>450</v>
      </c>
      <c r="H11" s="255" t="s">
        <v>451</v>
      </c>
      <c r="I11" s="255" t="s">
        <v>462</v>
      </c>
      <c r="J11" s="255" t="s">
        <v>463</v>
      </c>
      <c r="K11" s="255" t="s">
        <v>336</v>
      </c>
      <c r="L11" s="256" t="s">
        <v>376</v>
      </c>
      <c r="M11" s="257" t="s">
        <v>472</v>
      </c>
      <c r="N11" s="334" t="s">
        <v>470</v>
      </c>
      <c r="O11" s="334"/>
      <c r="P11" s="334"/>
      <c r="Q11" s="334"/>
      <c r="R11" s="334"/>
      <c r="S11" s="334"/>
      <c r="T11" s="334"/>
      <c r="U11" s="334"/>
      <c r="V11" s="334"/>
      <c r="W11" s="334"/>
      <c r="X11" s="334"/>
      <c r="Y11" s="334"/>
      <c r="Z11" s="334"/>
      <c r="AA11" s="258" t="s">
        <v>473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334</v>
      </c>
      <c r="C13" s="163">
        <v>1</v>
      </c>
      <c r="D13" s="312" t="s">
        <v>330</v>
      </c>
      <c r="E13" s="313"/>
      <c r="F13" s="313"/>
      <c r="G13" s="166">
        <f>IF(VLOOKUP('Hide - Control'!A$3,'All practice data'!A:CA,C13+4,FALSE)=" "," ",VLOOKUP('Hide - Control'!A$3,'All practice data'!A:CA,C13+4,FALSE))</f>
        <v>1093</v>
      </c>
      <c r="H13" s="190">
        <f>IF(VLOOKUP('Hide - Control'!A$3,'All practice data'!A:CA,C13+30,FALSE)=" "," ",VLOOKUP('Hide - Control'!A$3,'All practice data'!A:CA,C13+30,FALSE))</f>
        <v>0.14066924066924066</v>
      </c>
      <c r="I13" s="191">
        <f>IF(LEFT(G13,1)=" "," n/a",+((2*G13+1.96^2-1.96*SQRT(1.96^2+4*G13*(1-G13/E$8)))/(2*(E$8+1.96^2))))</f>
        <v>0.13311586646533968</v>
      </c>
      <c r="J13" s="191">
        <f>IF(LEFT(G13,1)=" "," n/a",+((2*G13+1.96^2+1.96*SQRT(1.96^2+4*G13*(1-G13/E$8)))/(2*(E$8+1.96^2))))</f>
        <v>0.14857775590020994</v>
      </c>
      <c r="K13" s="190">
        <f>IF('Hide - Calculation'!N7="","",'Hide - Calculation'!N7)</f>
        <v>0.21298738231221584</v>
      </c>
      <c r="L13" s="192">
        <f>'Hide - Calculation'!O7</f>
        <v>0.1599882305185145</v>
      </c>
      <c r="M13" s="208">
        <f>IF(ISBLANK('Hide - Calculation'!K7),"",'Hide - Calculation'!U7)</f>
        <v>0.13968776166439056</v>
      </c>
      <c r="N13" s="173"/>
      <c r="O13" s="173"/>
      <c r="P13" s="173"/>
      <c r="Q13" s="173"/>
      <c r="R13" s="173"/>
      <c r="S13" s="173"/>
      <c r="T13" s="173"/>
      <c r="U13" s="173"/>
      <c r="V13" s="173"/>
      <c r="W13" s="173"/>
      <c r="X13" s="173"/>
      <c r="Y13" s="173"/>
      <c r="Z13" s="173"/>
      <c r="AA13" s="226">
        <f>IF(ISBLANK('Hide - Calculation'!K7),"",'Hide - Calculation'!T7)</f>
        <v>0.3167557120323181</v>
      </c>
      <c r="AB13" s="233" t="s">
        <v>554</v>
      </c>
      <c r="AC13" s="209" t="s">
        <v>555</v>
      </c>
    </row>
    <row r="14" spans="2:29" ht="33.75" customHeight="1">
      <c r="B14" s="306"/>
      <c r="C14" s="137">
        <v>2</v>
      </c>
      <c r="D14" s="132" t="s">
        <v>483</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0.142233400260005</v>
      </c>
      <c r="J14" s="120">
        <f>IF(LEFT(G14,1)=" "," n/a",+((2*H14*E8+1.96^2+1.96*SQRT(1.96^2+4*H14*E8*(1-H14*E8/E$8)))/(2*(E$8+1.96^2))))</f>
        <v>0.15811251880271432</v>
      </c>
      <c r="K14" s="119">
        <f>IF('Hide - Calculation'!N8="","",'Hide - Calculation'!N8)</f>
        <v>0.1085923508441697</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0.1599999964237213</v>
      </c>
      <c r="AB14" s="234" t="s">
        <v>39</v>
      </c>
      <c r="AC14" s="130" t="s">
        <v>555</v>
      </c>
    </row>
    <row r="15" spans="2:39" s="63" customFormat="1" ht="33.75" customHeight="1">
      <c r="B15" s="306"/>
      <c r="C15" s="137">
        <v>3</v>
      </c>
      <c r="D15" s="132" t="s">
        <v>339</v>
      </c>
      <c r="E15" s="85"/>
      <c r="F15" s="85"/>
      <c r="G15" s="121">
        <f>IF(VLOOKUP('Hide - Control'!A$3,'All practice data'!A:CA,C15+4,FALSE)=" "," ",VLOOKUP('Hide - Control'!A$3,'All practice data'!A:CA,C15+4,FALSE))</f>
        <v>20</v>
      </c>
      <c r="H15" s="122">
        <f>IF(VLOOKUP('Hide - Control'!A$3,'All practice data'!A:CA,C15+30,FALSE)=" "," ",VLOOKUP('Hide - Control'!A$3,'All practice data'!A:CA,C15+30,FALSE))</f>
        <v>257.4002574002574</v>
      </c>
      <c r="I15" s="123">
        <f>IF(LEFT(G15,1)=" "," n/a",IF(G15&lt;5,100000*VLOOKUP(G15,'Hide - Calculation'!AQ:AR,2,FALSE)/$E$8,100000*(G15*(1-1/(9*G15)-1.96/(3*SQRT(G15)))^3)/$E$8))</f>
        <v>157.15975436776765</v>
      </c>
      <c r="J15" s="123">
        <f>IF(LEFT(G15,1)=" "," n/a",IF(G15&lt;5,100000*VLOOKUP(G15,'Hide - Calculation'!AQ:AS,3,FALSE)/$E$8,100000*((G15+1)*(1-1/(9*(G15+1))+1.96/(3*SQRT(G15+1)))^3)/$E$8))</f>
        <v>397.55590522873734</v>
      </c>
      <c r="K15" s="122">
        <f>IF('Hide - Calculation'!N9="","",'Hide - Calculation'!N9)</f>
        <v>502.74393237163105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906.6182861328125</v>
      </c>
      <c r="AB15" s="234" t="s">
        <v>453</v>
      </c>
      <c r="AC15" s="131">
        <v>2009</v>
      </c>
      <c r="AD15" s="64"/>
      <c r="AE15" s="64"/>
      <c r="AF15" s="64"/>
      <c r="AG15" s="64"/>
      <c r="AH15" s="64"/>
      <c r="AI15" s="64"/>
      <c r="AJ15" s="64"/>
      <c r="AK15" s="64"/>
      <c r="AL15" s="64"/>
      <c r="AM15" s="64"/>
    </row>
    <row r="16" spans="2:29" s="63" customFormat="1" ht="33.75" customHeight="1">
      <c r="B16" s="306"/>
      <c r="C16" s="137">
        <v>4</v>
      </c>
      <c r="D16" s="132" t="s">
        <v>475</v>
      </c>
      <c r="E16" s="85"/>
      <c r="F16" s="85"/>
      <c r="G16" s="121">
        <f>IF(VLOOKUP('Hide - Control'!A$3,'All practice data'!A:CA,C16+4,FALSE)=" "," ",VLOOKUP('Hide - Control'!A$3,'All practice data'!A:CA,C16+4,FALSE))</f>
        <v>17</v>
      </c>
      <c r="H16" s="122">
        <f>IF(VLOOKUP('Hide - Control'!A$3,'All practice data'!A:CA,C16+30,FALSE)=" "," ",VLOOKUP('Hide - Control'!A$3,'All practice data'!A:CA,C16+30,FALSE))</f>
        <v>218.7902187902188</v>
      </c>
      <c r="I16" s="123">
        <f>IF(LEFT(G16,1)=" "," n/a",IF(G16&lt;5,100000*VLOOKUP(G16,'Hide - Calculation'!AQ:AR,2,FALSE)/$E$8,100000*(G16*(1-1/(9*G16)-1.96/(3*SQRT(G16)))^3)/$E$8))</f>
        <v>127.37932525323943</v>
      </c>
      <c r="J16" s="123">
        <f>IF(LEFT(G16,1)=" "," n/a",IF(G16&lt;5,100000*VLOOKUP(G16,'Hide - Calculation'!AQ:AS,3,FALSE)/$E$8,100000*((G16+1)*(1-1/(9*(G16+1))+1.96/(3*SQRT(G16+1)))^3)/$E$8))</f>
        <v>350.32574926145304</v>
      </c>
      <c r="K16" s="122">
        <f>IF('Hide - Calculation'!N10="","",'Hide - Calculation'!N10)</f>
        <v>287.7658872160851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411.01519775390625</v>
      </c>
      <c r="AB16" s="234" t="s">
        <v>333</v>
      </c>
      <c r="AC16" s="131" t="s">
        <v>507</v>
      </c>
    </row>
    <row r="17" spans="2:29" s="63" customFormat="1" ht="33.75" customHeight="1" thickBot="1">
      <c r="B17" s="309"/>
      <c r="C17" s="180">
        <v>5</v>
      </c>
      <c r="D17" s="195" t="s">
        <v>338</v>
      </c>
      <c r="E17" s="182"/>
      <c r="F17" s="182"/>
      <c r="G17" s="140">
        <f>IF(VLOOKUP('Hide - Control'!A$3,'All practice data'!A:CA,C17+4,FALSE)=" "," ",VLOOKUP('Hide - Control'!A$3,'All practice data'!A:CA,C17+4,FALSE))</f>
        <v>107</v>
      </c>
      <c r="H17" s="141">
        <f>IF(VLOOKUP('Hide - Control'!A$3,'All practice data'!A:CA,C17+30,FALSE)=" "," ",VLOOKUP('Hide - Control'!A$3,'All practice data'!A:CA,C17+30,FALSE))</f>
        <v>0.013999999999999999</v>
      </c>
      <c r="I17" s="142">
        <f>IF(LEFT(G17,1)=" "," n/a",+((2*G17+1.96^2-1.96*SQRT(1.96^2+4*G17*(1-G17/E$8)))/(2*(E$8+1.96^2))))</f>
        <v>0.01140942604125781</v>
      </c>
      <c r="J17" s="142">
        <f>IF(LEFT(G17,1)=" "," n/a",+((2*G17+1.96^2+1.96*SQRT(1.96^2+4*G17*(1-G17/E$8)))/(2*(E$8+1.96^2))))</f>
        <v>0.016612961242784614</v>
      </c>
      <c r="K17" s="141">
        <f>IF('Hide - Calculation'!N11="","",'Hide - Calculation'!N11)</f>
        <v>0.019954025167665947</v>
      </c>
      <c r="L17" s="157">
        <f>'Hide - Calculation'!O11</f>
        <v>0.015940726342527432</v>
      </c>
      <c r="M17" s="210">
        <f>IF(ISBLANK('Hide - Calculation'!K11),"",'Hide - Calculation'!U11)</f>
        <v>0.014000000432133675</v>
      </c>
      <c r="N17" s="91"/>
      <c r="O17" s="91"/>
      <c r="P17" s="91"/>
      <c r="Q17" s="91"/>
      <c r="R17" s="91"/>
      <c r="S17" s="91"/>
      <c r="T17" s="91"/>
      <c r="U17" s="91"/>
      <c r="V17" s="91"/>
      <c r="W17" s="91"/>
      <c r="X17" s="91"/>
      <c r="Y17" s="91"/>
      <c r="Z17" s="91"/>
      <c r="AA17" s="229">
        <f>IF(ISBLANK('Hide - Calculation'!K11),"",'Hide - Calculation'!T11)</f>
        <v>0.03500000014901161</v>
      </c>
      <c r="AB17" s="235" t="s">
        <v>476</v>
      </c>
      <c r="AC17" s="189" t="s">
        <v>507</v>
      </c>
    </row>
    <row r="18" spans="2:29" s="63" customFormat="1" ht="33.75" customHeight="1">
      <c r="B18" s="308" t="s">
        <v>13</v>
      </c>
      <c r="C18" s="163">
        <v>6</v>
      </c>
      <c r="D18" s="164" t="s">
        <v>484</v>
      </c>
      <c r="E18" s="165"/>
      <c r="F18" s="165"/>
      <c r="G18" s="219">
        <f>IF(OR(VLOOKUP('Hide - Control'!A$3,'All practice data'!A:CA,C18+4,FALSE)=" ",VLOOKUP('Hide - Control'!A$3,'All practice data'!A:CA,C18+52,FALSE)=0)," n/a",VLOOKUP('Hide - Control'!A$3,'All practice data'!A:CA,C18+4,FALSE))</f>
        <v>650</v>
      </c>
      <c r="H18" s="220">
        <f>IF(OR(VLOOKUP('Hide - Control'!A$3,'All practice data'!A:CA,C18+30,FALSE)=" ",VLOOKUP('Hide - Control'!A$3,'All practice data'!A:CA,C18+52,FALSE)=0)," n/a",VLOOKUP('Hide - Control'!A$3,'All practice data'!A:CA,C18+30,FALSE))</f>
        <v>0.695931</v>
      </c>
      <c r="I18" s="191">
        <f>IF(OR(LEFT(H18,1)=" ",VLOOKUP('Hide - Control'!A$3,'All practice data'!A:CA,C18+52,FALSE)=0)," n/a",+((2*G18+1.96^2-1.96*SQRT(1.96^2+4*G18*(1-G18/(VLOOKUP('Hide - Control'!A$3,'All practice data'!A:CA,C18+52,FALSE)))))/(2*(((VLOOKUP('Hide - Control'!A$3,'All practice data'!A:CA,C18+52,FALSE)))+1.96^2))))</f>
        <v>0.6656764384315811</v>
      </c>
      <c r="J18" s="191">
        <f>IF(OR(LEFT(H18,1)=" ",VLOOKUP('Hide - Control'!A$3,'All practice data'!A:CA,C18+52,FALSE)=0)," n/a",+((2*G18+1.96^2+1.96*SQRT(1.96^2+4*G18*(1-G18/(VLOOKUP('Hide - Control'!A$3,'All practice data'!A:CA,C18+52,FALSE)))))/(2*((VLOOKUP('Hide - Control'!A$3,'All practice data'!A:CA,C18+52,FALSE))+1.96^2))))</f>
        <v>0.7245813620328044</v>
      </c>
      <c r="K18" s="220">
        <f>IF('Hide - Calculation'!N12="","",'Hide - Calculation'!N12)</f>
        <v>0.7528827559863442</v>
      </c>
      <c r="L18" s="192">
        <f>'Hide - Calculation'!O12</f>
        <v>0.7248631360507991</v>
      </c>
      <c r="M18" s="193">
        <f>IF(ISBLANK('Hide - Calculation'!K12),"",'Hide - Calculation'!U12)</f>
        <v>0.1267469972372055</v>
      </c>
      <c r="N18" s="194"/>
      <c r="O18" s="173"/>
      <c r="P18" s="173"/>
      <c r="Q18" s="173"/>
      <c r="R18" s="173"/>
      <c r="S18" s="173"/>
      <c r="T18" s="173"/>
      <c r="U18" s="173"/>
      <c r="V18" s="173"/>
      <c r="W18" s="173"/>
      <c r="X18" s="173"/>
      <c r="Y18" s="173"/>
      <c r="Z18" s="174"/>
      <c r="AA18" s="193">
        <f>IF(ISBLANK('Hide - Calculation'!K12),"",'Hide - Calculation'!T12)</f>
        <v>0.8764849901199341</v>
      </c>
      <c r="AB18" s="233" t="s">
        <v>48</v>
      </c>
      <c r="AC18" s="175" t="s">
        <v>508</v>
      </c>
    </row>
    <row r="19" spans="2:29" s="63" customFormat="1" ht="33.75" customHeight="1">
      <c r="B19" s="306"/>
      <c r="C19" s="137">
        <v>7</v>
      </c>
      <c r="D19" s="132" t="s">
        <v>485</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0.642857</v>
      </c>
      <c r="I19" s="120">
        <f>IF(OR(LEFT(H19,1)=" ",VLOOKUP('Hide - Control'!A$3,'All practice data'!A:CA,C19+52,FALSE)=0)," n/a",+((2*G19+1.96^2-1.96*SQRT(1.96^2+4*G19*(1-G19/(VLOOKUP('Hide - Control'!A$3,'All practice data'!A:CA,C19+52,FALSE)))))/(2*(((VLOOKUP('Hide - Control'!A$3,'All practice data'!A:CA,C19+52,FALSE)))+1.96^2))))</f>
        <v>0.38764004682140407</v>
      </c>
      <c r="J19" s="120">
        <f>IF(OR(LEFT(H19,1)=" ",VLOOKUP('Hide - Control'!A$3,'All practice data'!A:CA,C19+52,FALSE)=0)," n/a",+((2*G19+1.96^2+1.96*SQRT(1.96^2+4*G19*(1-G19/(VLOOKUP('Hide - Control'!A$3,'All practice data'!A:CA,C19+52,FALSE)))))/(2*((VLOOKUP('Hide - Control'!A$3,'All practice data'!A:CA,C19+52,FALSE))+1.96^2))))</f>
        <v>0.8365550926279727</v>
      </c>
      <c r="K19" s="218">
        <f>IF('Hide - Calculation'!N13="","",'Hide - Calculation'!N13)</f>
        <v>0.8229521445477112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0.9185190200805664</v>
      </c>
      <c r="AB19" s="234" t="s">
        <v>48</v>
      </c>
      <c r="AC19" s="131" t="s">
        <v>507</v>
      </c>
    </row>
    <row r="20" spans="2:29" s="63" customFormat="1" ht="33.75" customHeight="1">
      <c r="B20" s="306"/>
      <c r="C20" s="137">
        <v>8</v>
      </c>
      <c r="D20" s="132" t="s">
        <v>486</v>
      </c>
      <c r="E20" s="85"/>
      <c r="F20" s="85"/>
      <c r="G20" s="221">
        <f>IF(OR(VLOOKUP('Hide - Control'!A$3,'All practice data'!A:CA,C20+4,FALSE)=" ",VLOOKUP('Hide - Control'!A$3,'All practice data'!A:CA,C20+52,FALSE)=0)," n/a",VLOOKUP('Hide - Control'!A$3,'All practice data'!A:CA,C20+4,FALSE))</f>
        <v>1472</v>
      </c>
      <c r="H20" s="218">
        <f>IF(OR(VLOOKUP('Hide - Control'!A$3,'All practice data'!A:CA,C20+30,FALSE)=" ",VLOOKUP('Hide - Control'!A$3,'All practice data'!A:CA,C20+52,FALSE)=0)," n/a",VLOOKUP('Hide - Control'!A$3,'All practice data'!A:CA,C20+30,FALSE))</f>
        <v>0.804811</v>
      </c>
      <c r="I20" s="120">
        <f>IF(OR(LEFT(H20,1)=" ",VLOOKUP('Hide - Control'!A$3,'All practice data'!A:CA,C20+52,FALSE)=0)," n/a",+((2*G20+1.96^2-1.96*SQRT(1.96^2+4*G20*(1-G20/(VLOOKUP('Hide - Control'!A$3,'All practice data'!A:CA,C20+52,FALSE)))))/(2*(((VLOOKUP('Hide - Control'!A$3,'All practice data'!A:CA,C20+52,FALSE)))+1.96^2))))</f>
        <v>0.7860157930426133</v>
      </c>
      <c r="J20" s="120">
        <f>IF(OR(LEFT(H20,1)=" ",VLOOKUP('Hide - Control'!A$3,'All practice data'!A:CA,C20+52,FALSE)=0)," n/a",+((2*G20+1.96^2+1.96*SQRT(1.96^2+4*G20*(1-G20/(VLOOKUP('Hide - Control'!A$3,'All practice data'!A:CA,C20+52,FALSE)))))/(2*((VLOOKUP('Hide - Control'!A$3,'All practice data'!A:CA,C20+52,FALSE))+1.96^2))))</f>
        <v>0.8223291943256352</v>
      </c>
      <c r="K20" s="218">
        <f>IF('Hide - Calculation'!N14="","",'Hide - Calculation'!N14)</f>
        <v>0.7822014051522248</v>
      </c>
      <c r="L20" s="155">
        <f>'Hide - Calculation'!O14</f>
        <v>0.7559681673907895</v>
      </c>
      <c r="M20" s="152">
        <f>IF(ISBLANK('Hide - Calculation'!K14),"",'Hide - Calculation'!U14)</f>
        <v>0.7291889786720276</v>
      </c>
      <c r="N20" s="160"/>
      <c r="O20" s="84"/>
      <c r="P20" s="84"/>
      <c r="Q20" s="84"/>
      <c r="R20" s="84"/>
      <c r="S20" s="84"/>
      <c r="T20" s="84"/>
      <c r="U20" s="84"/>
      <c r="V20" s="84"/>
      <c r="W20" s="84"/>
      <c r="X20" s="84"/>
      <c r="Y20" s="84"/>
      <c r="Z20" s="88"/>
      <c r="AA20" s="152">
        <f>IF(ISBLANK('Hide - Calculation'!K14),"",'Hide - Calculation'!T14)</f>
        <v>0.8755760192871094</v>
      </c>
      <c r="AB20" s="234" t="s">
        <v>48</v>
      </c>
      <c r="AC20" s="131" t="s">
        <v>509</v>
      </c>
    </row>
    <row r="21" spans="2:29" s="63" customFormat="1" ht="33.75" customHeight="1">
      <c r="B21" s="306"/>
      <c r="C21" s="137">
        <v>9</v>
      </c>
      <c r="D21" s="132" t="s">
        <v>487</v>
      </c>
      <c r="E21" s="85"/>
      <c r="F21" s="85"/>
      <c r="G21" s="221">
        <f>IF(OR(VLOOKUP('Hide - Control'!A$3,'All practice data'!A:CA,C21+4,FALSE)=" ",VLOOKUP('Hide - Control'!A$3,'All practice data'!A:CA,C21+52,FALSE)=0)," n/a",VLOOKUP('Hide - Control'!A$3,'All practice data'!A:CA,C21+4,FALSE))</f>
        <v>284</v>
      </c>
      <c r="H21" s="218">
        <f>IF(OR(VLOOKUP('Hide - Control'!A$3,'All practice data'!A:CA,C21+30,FALSE)=" ",VLOOKUP('Hide - Control'!A$3,'All practice data'!A:CA,C21+52,FALSE)=0)," n/a",VLOOKUP('Hide - Control'!A$3,'All practice data'!A:CA,C21+30,FALSE))</f>
        <v>0.380697</v>
      </c>
      <c r="I21" s="120">
        <f>IF(OR(LEFT(H21,1)=" ",VLOOKUP('Hide - Control'!A$3,'All practice data'!A:CA,C21+52,FALSE)=0)," n/a",+((2*G21+1.96^2-1.96*SQRT(1.96^2+4*G21*(1-G21/(VLOOKUP('Hide - Control'!A$3,'All practice data'!A:CA,C21+52,FALSE)))))/(2*(((VLOOKUP('Hide - Control'!A$3,'All practice data'!A:CA,C21+52,FALSE)))+1.96^2))))</f>
        <v>0.3465482641112554</v>
      </c>
      <c r="J21" s="120">
        <f>IF(OR(LEFT(H21,1)=" ",VLOOKUP('Hide - Control'!A$3,'All practice data'!A:CA,C21+52,FALSE)=0)," n/a",+((2*G21+1.96^2+1.96*SQRT(1.96^2+4*G21*(1-G21/(VLOOKUP('Hide - Control'!A$3,'All practice data'!A:CA,C21+52,FALSE)))))/(2*((VLOOKUP('Hide - Control'!A$3,'All practice data'!A:CA,C21+52,FALSE))+1.96^2))))</f>
        <v>0.4160682671668172</v>
      </c>
      <c r="K21" s="218">
        <f>IF('Hide - Calculation'!N15="","",'Hide - Calculation'!N15)</f>
        <v>0.41646813579511616</v>
      </c>
      <c r="L21" s="155">
        <f>'Hide - Calculation'!O15</f>
        <v>0.5147293797466616</v>
      </c>
      <c r="M21" s="152">
        <f>IF(ISBLANK('Hide - Calculation'!K15),"",'Hide - Calculation'!U15)</f>
        <v>0.35225000977516174</v>
      </c>
      <c r="N21" s="160"/>
      <c r="O21" s="84"/>
      <c r="P21" s="84"/>
      <c r="Q21" s="84"/>
      <c r="R21" s="84"/>
      <c r="S21" s="84"/>
      <c r="T21" s="84"/>
      <c r="U21" s="84"/>
      <c r="V21" s="84"/>
      <c r="W21" s="84"/>
      <c r="X21" s="84"/>
      <c r="Y21" s="84"/>
      <c r="Z21" s="88"/>
      <c r="AA21" s="152">
        <f>IF(ISBLANK('Hide - Calculation'!K15),"",'Hide - Calculation'!T15)</f>
        <v>0.4743900001049042</v>
      </c>
      <c r="AB21" s="234" t="s">
        <v>48</v>
      </c>
      <c r="AC21" s="131" t="s">
        <v>508</v>
      </c>
    </row>
    <row r="22" spans="2:29" s="63" customFormat="1" ht="33.75" customHeight="1" thickBot="1">
      <c r="B22" s="309"/>
      <c r="C22" s="180">
        <v>10</v>
      </c>
      <c r="D22" s="195" t="s">
        <v>488</v>
      </c>
      <c r="E22" s="182"/>
      <c r="F22" s="182"/>
      <c r="G22" s="222">
        <f>IF(OR(VLOOKUP('Hide - Control'!A$3,'All practice data'!A:CA,C22+4,FALSE)=" ",VLOOKUP('Hide - Control'!A$3,'All practice data'!A:CA,C22+52,FALSE)=0)," n/a",VLOOKUP('Hide - Control'!A$3,'All practice data'!A:CA,C22+4,FALSE))</f>
        <v>218</v>
      </c>
      <c r="H22" s="223">
        <f>IF(OR(VLOOKUP('Hide - Control'!A$3,'All practice data'!A:CA,C22+30,FALSE)=" ",VLOOKUP('Hide - Control'!A$3,'All practice data'!A:CA,C22+52,FALSE)=0)," n/a",VLOOKUP('Hide - Control'!A$3,'All practice data'!A:CA,C22+30,FALSE))</f>
        <v>0.549118</v>
      </c>
      <c r="I22" s="196">
        <f>IF(OR(LEFT(H22,1)=" ",VLOOKUP('Hide - Control'!A$3,'All practice data'!A:CA,C22+52,FALSE)=0)," n/a",+((2*G22+1.96^2-1.96*SQRT(1.96^2+4*G22*(1-G22/(VLOOKUP('Hide - Control'!A$3,'All practice data'!A:CA,C22+52,FALSE)))))/(2*(((VLOOKUP('Hide - Control'!A$3,'All practice data'!A:CA,C22+52,FALSE)))+1.96^2))))</f>
        <v>0.4999335982466578</v>
      </c>
      <c r="J22" s="196">
        <f>IF(OR(LEFT(H22,1)=" ",VLOOKUP('Hide - Control'!A$3,'All practice data'!A:CA,C22+52,FALSE)=0)," n/a",+((2*G22+1.96^2+1.96*SQRT(1.96^2+4*G22*(1-G22/(VLOOKUP('Hide - Control'!A$3,'All practice data'!A:CA,C22+52,FALSE)))))/(2*((VLOOKUP('Hide - Control'!A$3,'All practice data'!A:CA,C22+52,FALSE))+1.96^2))))</f>
        <v>0.5973616924616918</v>
      </c>
      <c r="K22" s="223">
        <f>IF('Hide - Calculation'!N16="","",'Hide - Calculation'!N16)</f>
        <v>0.6057194551942504</v>
      </c>
      <c r="L22" s="197">
        <f>'Hide - Calculation'!O16</f>
        <v>0.5752927626212945</v>
      </c>
      <c r="M22" s="198">
        <f>IF(ISBLANK('Hide - Calculation'!K16),"",'Hide - Calculation'!U16)</f>
        <v>0.506596028804779</v>
      </c>
      <c r="N22" s="199"/>
      <c r="O22" s="91"/>
      <c r="P22" s="91"/>
      <c r="Q22" s="91"/>
      <c r="R22" s="91"/>
      <c r="S22" s="91"/>
      <c r="T22" s="91"/>
      <c r="U22" s="91"/>
      <c r="V22" s="91"/>
      <c r="W22" s="91"/>
      <c r="X22" s="91"/>
      <c r="Y22" s="91"/>
      <c r="Z22" s="188"/>
      <c r="AA22" s="198">
        <f>IF(ISBLANK('Hide - Calculation'!K16),"",'Hide - Calculation'!T16)</f>
        <v>0.6893939971923828</v>
      </c>
      <c r="AB22" s="235" t="s">
        <v>48</v>
      </c>
      <c r="AC22" s="189" t="s">
        <v>507</v>
      </c>
    </row>
    <row r="23" spans="2:29" s="63" customFormat="1" ht="33.75" customHeight="1">
      <c r="B23" s="308" t="s">
        <v>328</v>
      </c>
      <c r="C23" s="163">
        <v>11</v>
      </c>
      <c r="D23" s="179" t="s">
        <v>340</v>
      </c>
      <c r="E23" s="165"/>
      <c r="F23" s="165"/>
      <c r="G23" s="118">
        <f>IF(VLOOKUP('Hide - Control'!A$3,'All practice data'!A:CA,C23+4,FALSE)=" "," ",VLOOKUP('Hide - Control'!A$3,'All practice data'!A:CA,C23+4,FALSE))</f>
        <v>119</v>
      </c>
      <c r="H23" s="216">
        <f>IF(VLOOKUP('Hide - Control'!A$3,'All practice data'!A:CA,C23+30,FALSE)=" "," ",VLOOKUP('Hide - Control'!A$3,'All practice data'!A:CA,C23+30,FALSE))</f>
        <v>1531.5315315315315</v>
      </c>
      <c r="I23" s="215">
        <f>IF(LEFT(G23,1)=" "," n/a",IF(G23&lt;5,100000*VLOOKUP(G23,'Hide - Calculation'!AQ:AR,2,FALSE)/$E$8,100000*(G23*(1-1/(9*G23)-1.96/(3*SQRT(G23)))^3)/$E$8))</f>
        <v>1268.7205186138804</v>
      </c>
      <c r="J23" s="215">
        <f>IF(LEFT(G23,1)=" "," n/a",IF(G23&lt;5,100000*VLOOKUP(G23,'Hide - Calculation'!AQ:AS,3,FALSE)/$E$8,100000*((G23+1)*(1-1/(9*(G23+1))+1.96/(3*SQRT(G23+1)))^3)/$E$8))</f>
        <v>1832.7253837355001</v>
      </c>
      <c r="K23" s="216">
        <f>IF('Hide - Calculation'!N17="","",'Hide - Calculation'!N17)</f>
        <v>2360.357371377112</v>
      </c>
      <c r="L23" s="217">
        <f>'Hide - Calculation'!O17</f>
        <v>1812.1669120472948</v>
      </c>
      <c r="M23" s="170">
        <f>IF(ISBLANK('Hide - Calculation'!K17),"",'Hide - Calculation'!U17)</f>
        <v>731.9304809570312</v>
      </c>
      <c r="N23" s="171"/>
      <c r="O23" s="172"/>
      <c r="P23" s="172"/>
      <c r="Q23" s="172"/>
      <c r="R23" s="173"/>
      <c r="S23" s="173"/>
      <c r="T23" s="173"/>
      <c r="U23" s="173"/>
      <c r="V23" s="173"/>
      <c r="W23" s="173"/>
      <c r="X23" s="173"/>
      <c r="Y23" s="173"/>
      <c r="Z23" s="174"/>
      <c r="AA23" s="170">
        <f>IF(ISBLANK('Hide - Calculation'!K17),"",'Hide - Calculation'!T17)</f>
        <v>3730.21044921875</v>
      </c>
      <c r="AB23" s="233" t="s">
        <v>26</v>
      </c>
      <c r="AC23" s="175" t="s">
        <v>507</v>
      </c>
    </row>
    <row r="24" spans="2:29" s="63" customFormat="1" ht="33.75" customHeight="1">
      <c r="B24" s="306"/>
      <c r="C24" s="137">
        <v>12</v>
      </c>
      <c r="D24" s="147" t="s">
        <v>494</v>
      </c>
      <c r="E24" s="85"/>
      <c r="F24" s="85"/>
      <c r="G24" s="118">
        <f>IF(VLOOKUP('Hide - Control'!A$3,'All practice data'!A:CA,C24+4,FALSE)=" "," ",VLOOKUP('Hide - Control'!A$3,'All practice data'!A:CA,C24+4,FALSE))</f>
        <v>119</v>
      </c>
      <c r="H24" s="119">
        <f>IF(VLOOKUP('Hide - Control'!A$3,'All practice data'!A:CA,C24+30,FALSE)=" "," ",VLOOKUP('Hide - Control'!A$3,'All practice data'!A:CA,C24+30,FALSE))</f>
        <v>0.8930012512000001</v>
      </c>
      <c r="I24" s="212">
        <f>IF(LEFT(VLOOKUP('Hide - Control'!A$3,'All practice data'!A:CA,C24+44,FALSE),1)=" "," n/a",VLOOKUP('Hide - Control'!A$3,'All practice data'!A:CA,C24+44,FALSE))</f>
        <v>0.7397774506</v>
      </c>
      <c r="J24" s="212">
        <f>IF(LEFT(VLOOKUP('Hide - Control'!A$3,'All practice data'!A:CA,C24+45,FALSE),1)=" "," n/a",VLOOKUP('Hide - Control'!A$3,'All practice data'!A:CA,C24+45,FALSE))</f>
        <v>1.0686090849999998</v>
      </c>
      <c r="K24" s="152" t="s">
        <v>559</v>
      </c>
      <c r="L24" s="213">
        <v>1</v>
      </c>
      <c r="M24" s="152">
        <f>IF(ISBLANK('Hide - Calculation'!K18),"",'Hide - Calculation'!U18)</f>
        <v>0.3496326506137848</v>
      </c>
      <c r="N24" s="86"/>
      <c r="O24" s="87"/>
      <c r="P24" s="87"/>
      <c r="Q24" s="87"/>
      <c r="R24" s="84"/>
      <c r="S24" s="84"/>
      <c r="T24" s="84"/>
      <c r="U24" s="84"/>
      <c r="V24" s="84"/>
      <c r="W24" s="84"/>
      <c r="X24" s="84"/>
      <c r="Y24" s="84"/>
      <c r="Z24" s="88"/>
      <c r="AA24" s="152">
        <f>IF(ISBLANK('Hide - Calculation'!K18),"",'Hide - Calculation'!T18)</f>
        <v>1.7510114908218384</v>
      </c>
      <c r="AB24" s="234" t="s">
        <v>26</v>
      </c>
      <c r="AC24" s="131" t="s">
        <v>507</v>
      </c>
    </row>
    <row r="25" spans="2:29" s="63" customFormat="1" ht="33.75" customHeight="1">
      <c r="B25" s="306"/>
      <c r="C25" s="137">
        <v>13</v>
      </c>
      <c r="D25" s="147" t="s">
        <v>335</v>
      </c>
      <c r="E25" s="85"/>
      <c r="F25" s="85"/>
      <c r="G25" s="118">
        <f>IF(VLOOKUP('Hide - Control'!A$3,'All practice data'!A:CA,C25+4,FALSE)=" "," ",VLOOKUP('Hide - Control'!A$3,'All practice data'!A:CA,C25+4,FALSE))</f>
        <v>19</v>
      </c>
      <c r="H25" s="119">
        <f>IF(VLOOKUP('Hide - Control'!A$3,'All practice data'!A:CA,C25+30,FALSE)=" "," ",VLOOKUP('Hide - Control'!A$3,'All practice data'!A:CA,C25+30,FALSE))</f>
        <v>0.15966386554621848</v>
      </c>
      <c r="I25" s="120">
        <f>IF(LEFT(G25,1)=" "," n/a",IF(G25=0," n/a",+((2*G25+1.96^2-1.96*SQRT(1.96^2+4*G25*(1-G25/G23)))/(2*(G23+1.96^2)))))</f>
        <v>0.10466269961883352</v>
      </c>
      <c r="J25" s="120">
        <f>IF(LEFT(G25,1)=" "," n/a",IF(G25=0," n/a",+((2*G25+1.96^2+1.96*SQRT(1.96^2+4*G25*(1-G25/G23)))/(2*(G23+1.96^2)))))</f>
        <v>0.2359515548356835</v>
      </c>
      <c r="K25" s="125">
        <f>IF('Hide - Calculation'!N19="","",'Hide - Calculation'!N19)</f>
        <v>0.09007458405048767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0.19540229439735413</v>
      </c>
      <c r="AB25" s="234" t="s">
        <v>26</v>
      </c>
      <c r="AC25" s="131" t="s">
        <v>507</v>
      </c>
    </row>
    <row r="26" spans="2:29" s="63" customFormat="1" ht="33.75" customHeight="1">
      <c r="B26" s="306"/>
      <c r="C26" s="137">
        <v>14</v>
      </c>
      <c r="D26" s="147" t="s">
        <v>477</v>
      </c>
      <c r="E26" s="85"/>
      <c r="F26" s="85"/>
      <c r="G26" s="121">
        <f>IF(VLOOKUP('Hide - Control'!A$3,'All practice data'!A:CA,C26+4,FALSE)=" "," ",VLOOKUP('Hide - Control'!A$3,'All practice data'!A:CA,C26+4,FALSE))</f>
        <v>35</v>
      </c>
      <c r="H26" s="119">
        <f>IF(VLOOKUP('Hide - Control'!A$3,'All practice data'!A:CA,C26+30,FALSE)=" "," ",VLOOKUP('Hide - Control'!A$3,'All practice data'!A:CA,C26+30,FALSE))</f>
        <v>0.5428571428571428</v>
      </c>
      <c r="I26" s="120">
        <f>IF(OR(LEFT(G26,1)=" ",LEFT(G25,1)=" ")," n/a",IF(G26=0," n/a",+((2*G25+1.96^2-1.96*SQRT(1.96^2+4*G25*(1-G25/G26)))/(2*(G26+1.96^2)))))</f>
        <v>0.3818945134013752</v>
      </c>
      <c r="J26" s="120">
        <f>IF(OR(LEFT(G26,1)=" ",LEFT(G25,1)=" ")," n/a",IF(G26=0," n/a",+((2*G25+1.96^2+1.96*SQRT(1.96^2+4*G25*(1-G25/G26)))/(2*(G26+1.96^2)))))</f>
        <v>0.6953422636623915</v>
      </c>
      <c r="K26" s="125">
        <f>IF('Hide - Calculation'!N20="","",'Hide - Calculation'!N20)</f>
        <v>0.427501701837985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507</v>
      </c>
    </row>
    <row r="27" spans="2:29" s="63" customFormat="1" ht="33.75" customHeight="1">
      <c r="B27" s="306"/>
      <c r="C27" s="137">
        <v>15</v>
      </c>
      <c r="D27" s="147" t="s">
        <v>464</v>
      </c>
      <c r="E27" s="85"/>
      <c r="F27" s="85"/>
      <c r="G27" s="121">
        <f>IF(VLOOKUP('Hide - Control'!A$3,'All practice data'!A:CA,C27+4,FALSE)=" "," ",VLOOKUP('Hide - Control'!A$3,'All practice data'!A:CA,C27+4,FALSE))</f>
        <v>52</v>
      </c>
      <c r="H27" s="122">
        <f>IF(VLOOKUP('Hide - Control'!A$3,'All practice data'!A:CA,C27+30,FALSE)=" "," ",VLOOKUP('Hide - Control'!A$3,'All practice data'!A:CA,C27+30,FALSE))</f>
        <v>669.2406692406693</v>
      </c>
      <c r="I27" s="123">
        <f>IF(LEFT(G27,1)=" "," n/a",IF(G27&lt;5,100000*VLOOKUP(G27,'Hide - Calculation'!AQ:AR,2,FALSE)/$E$8,100000*(G27*(1-1/(9*G27)-1.96/(3*SQRT(G27)))^3)/$E$8))</f>
        <v>499.7822158487573</v>
      </c>
      <c r="J27" s="123">
        <f>IF(LEFT(G27,1)=" "," n/a",IF(G27&lt;5,100000*VLOOKUP(G27,'Hide - Calculation'!AQ:AS,3,FALSE)/$E$8,100000*((G27+1)*(1-1/(9*(G27+1))+1.96/(3*SQRT(G27+1)))^3)/$E$8))</f>
        <v>877.6418234378032</v>
      </c>
      <c r="K27" s="122">
        <f>IF('Hide - Calculation'!N21="","",'Hide - Calculation'!N21)</f>
        <v>701.1331204994261</v>
      </c>
      <c r="L27" s="156">
        <f>'Hide - Calculation'!O21</f>
        <v>377.7293140102421</v>
      </c>
      <c r="M27" s="148">
        <f>IF(ISBLANK('Hide - Calculation'!K21),"",'Hide - Calculation'!U21)</f>
        <v>297.34674072265625</v>
      </c>
      <c r="N27" s="86"/>
      <c r="O27" s="87"/>
      <c r="P27" s="87"/>
      <c r="Q27" s="87"/>
      <c r="R27" s="84"/>
      <c r="S27" s="84"/>
      <c r="T27" s="84"/>
      <c r="U27" s="84"/>
      <c r="V27" s="84"/>
      <c r="W27" s="84"/>
      <c r="X27" s="84"/>
      <c r="Y27" s="84"/>
      <c r="Z27" s="88"/>
      <c r="AA27" s="148">
        <f>IF(ISBLANK('Hide - Calculation'!K21),"",'Hide - Calculation'!T21)</f>
        <v>1147.0281982421875</v>
      </c>
      <c r="AB27" s="234" t="s">
        <v>26</v>
      </c>
      <c r="AC27" s="131" t="s">
        <v>507</v>
      </c>
    </row>
    <row r="28" spans="2:29" s="63" customFormat="1" ht="33.75" customHeight="1">
      <c r="B28" s="306"/>
      <c r="C28" s="137">
        <v>16</v>
      </c>
      <c r="D28" s="147" t="s">
        <v>465</v>
      </c>
      <c r="E28" s="85"/>
      <c r="F28" s="85"/>
      <c r="G28" s="121">
        <f>IF(VLOOKUP('Hide - Control'!A$3,'All practice data'!A:CA,C28+4,FALSE)=" "," ",VLOOKUP('Hide - Control'!A$3,'All practice data'!A:CA,C28+4,FALSE))</f>
        <v>15</v>
      </c>
      <c r="H28" s="122">
        <f>IF(VLOOKUP('Hide - Control'!A$3,'All practice data'!A:CA,C28+30,FALSE)=" "," ",VLOOKUP('Hide - Control'!A$3,'All practice data'!A:CA,C28+30,FALSE))</f>
        <v>193.05019305019306</v>
      </c>
      <c r="I28" s="123">
        <f>IF(LEFT(G28,1)=" "," n/a",IF(G28&lt;5,100000*VLOOKUP(G28,'Hide - Calculation'!AQ:AR,2,FALSE)/$E$8,100000*(G28*(1-1/(9*G28)-1.96/(3*SQRT(G28)))^3)/$E$8))</f>
        <v>107.96871720362202</v>
      </c>
      <c r="J28" s="123">
        <f>IF(LEFT(G28,1)=" "," n/a",IF(G28&lt;5,100000*VLOOKUP(G28,'Hide - Calculation'!AQ:AS,3,FALSE)/$E$8,100000*((G28+1)*(1-1/(9*(G28+1))+1.96/(3*SQRT(G28+1)))^3)/$E$8))</f>
        <v>318.4275931442907</v>
      </c>
      <c r="K28" s="122">
        <f>IF('Hide - Calculation'!N22="","",'Hide - Calculation'!N22)</f>
        <v>273.8854150091916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510.5017395019531</v>
      </c>
      <c r="AB28" s="234" t="s">
        <v>26</v>
      </c>
      <c r="AC28" s="131" t="s">
        <v>507</v>
      </c>
    </row>
    <row r="29" spans="2:29" s="63" customFormat="1" ht="33.75" customHeight="1">
      <c r="B29" s="306"/>
      <c r="C29" s="137">
        <v>17</v>
      </c>
      <c r="D29" s="147" t="s">
        <v>466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74.81913067618213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286.7570495605469</v>
      </c>
      <c r="AB29" s="234" t="s">
        <v>26</v>
      </c>
      <c r="AC29" s="131" t="s">
        <v>507</v>
      </c>
    </row>
    <row r="30" spans="2:29" s="63" customFormat="1" ht="33.75" customHeight="1" thickBot="1">
      <c r="B30" s="309"/>
      <c r="C30" s="180">
        <v>18</v>
      </c>
      <c r="D30" s="181" t="s">
        <v>467</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167.31016731016732</v>
      </c>
      <c r="I30" s="185">
        <f>IF(LEFT(G30,1)=" "," n/a",IF(G30&lt;5,100000*VLOOKUP(G30,'Hide - Calculation'!AQ:AR,2,FALSE)/$E$8,100000*(G30*(1-1/(9*G30)-1.96/(3*SQRT(G30)))^3)/$E$8))</f>
        <v>88.99814277045725</v>
      </c>
      <c r="J30" s="185">
        <f>IF(LEFT(G30,1)=" "," n/a",IF(G30&lt;5,100000*VLOOKUP(G30,'Hide - Calculation'!AQ:AS,3,FALSE)/$E$8,100000*((G30+1)*(1-1/(9*(G30+1))+1.96/(3*SQRT(G30+1)))^3)/$E$8))</f>
        <v>286.1249733751915</v>
      </c>
      <c r="K30" s="184">
        <f>IF('Hide - Calculation'!N24="","",'Hide - Calculation'!N24)</f>
        <v>417.7683586172341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1330.2294921875</v>
      </c>
      <c r="AB30" s="235" t="s">
        <v>26</v>
      </c>
      <c r="AC30" s="189" t="s">
        <v>507</v>
      </c>
    </row>
    <row r="31" spans="2:29" s="63" customFormat="1" ht="33.75" customHeight="1">
      <c r="B31" s="304" t="s">
        <v>337</v>
      </c>
      <c r="C31" s="163">
        <v>19</v>
      </c>
      <c r="D31" s="164" t="s">
        <v>341</v>
      </c>
      <c r="E31" s="165"/>
      <c r="F31" s="165"/>
      <c r="G31" s="166">
        <f>IF(VLOOKUP('Hide - Control'!A$3,'All practice data'!A:CA,C31+4,FALSE)=" "," ",VLOOKUP('Hide - Control'!A$3,'All practice data'!A:CA,C31+4,FALSE))</f>
        <v>35</v>
      </c>
      <c r="H31" s="167">
        <f>IF(VLOOKUP('Hide - Control'!A$3,'All practice data'!A:CA,C31+30,FALSE)=" "," ",VLOOKUP('Hide - Control'!A$3,'All practice data'!A:CA,C31+30,FALSE))</f>
        <v>450.45045045045043</v>
      </c>
      <c r="I31" s="168">
        <f>IF(LEFT(G31,1)=" "," n/a",IF(G31&lt;5,100000*VLOOKUP(G31,'Hide - Calculation'!AQ:AR,2,FALSE)/$E$8,100000*(G31*(1-1/(9*G31)-1.96/(3*SQRT(G31)))^3)/$E$8))</f>
        <v>313.70711795599794</v>
      </c>
      <c r="J31" s="168">
        <f>IF(LEFT(G31,1)=" "," n/a",IF(G31&lt;5,100000*VLOOKUP(G31,'Hide - Calculation'!AQ:AS,3,FALSE)/$E$8,100000*((G31+1)*(1-1/(9*(G31+1))+1.96/(3*SQRT(G31+1)))^3)/$E$8))</f>
        <v>626.4900068862815</v>
      </c>
      <c r="K31" s="167">
        <f>IF('Hide - Calculation'!N25="","",'Hide - Calculation'!N25)</f>
        <v>617.5117391554579</v>
      </c>
      <c r="L31" s="169">
        <f>'Hide - Calculation'!O25</f>
        <v>562.6134400960308</v>
      </c>
      <c r="M31" s="170">
        <f>IF(ISBLANK('Hide - Calculation'!K25),"",'Hide - Calculation'!U25)</f>
        <v>365.9652404785156</v>
      </c>
      <c r="N31" s="171"/>
      <c r="O31" s="172"/>
      <c r="P31" s="172"/>
      <c r="Q31" s="172"/>
      <c r="R31" s="173"/>
      <c r="S31" s="173"/>
      <c r="T31" s="173"/>
      <c r="U31" s="173"/>
      <c r="V31" s="173"/>
      <c r="W31" s="173"/>
      <c r="X31" s="173"/>
      <c r="Y31" s="173"/>
      <c r="Z31" s="174"/>
      <c r="AA31" s="170">
        <f>IF(ISBLANK('Hide - Calculation'!K25),"",'Hide - Calculation'!T25)</f>
        <v>897.9049072265625</v>
      </c>
      <c r="AB31" s="233" t="s">
        <v>47</v>
      </c>
      <c r="AC31" s="175" t="s">
        <v>507</v>
      </c>
    </row>
    <row r="32" spans="2:29" s="63" customFormat="1" ht="33.75" customHeight="1">
      <c r="B32" s="305"/>
      <c r="C32" s="137">
        <v>20</v>
      </c>
      <c r="D32" s="132" t="s">
        <v>342</v>
      </c>
      <c r="E32" s="85"/>
      <c r="F32" s="85"/>
      <c r="G32" s="121">
        <f>IF(VLOOKUP('Hide - Control'!A$3,'All practice data'!A:CA,C32+4,FALSE)=" "," ",VLOOKUP('Hide - Control'!A$3,'All practice data'!A:CA,C32+4,FALSE))</f>
        <v>30</v>
      </c>
      <c r="H32" s="122">
        <f>IF(VLOOKUP('Hide - Control'!A$3,'All practice data'!A:CA,C32+30,FALSE)=" "," ",VLOOKUP('Hide - Control'!A$3,'All practice data'!A:CA,C32+30,FALSE))</f>
        <v>386.1003861003861</v>
      </c>
      <c r="I32" s="123">
        <f>IF(LEFT(G32,1)=" "," n/a",IF(G32&lt;5,100000*VLOOKUP(G32,'Hide - Calculation'!AQ:AR,2,FALSE)/$E$8,100000*(G32*(1-1/(9*G32)-1.96/(3*SQRT(G32)))^3)/$E$8))</f>
        <v>260.4477138454932</v>
      </c>
      <c r="J32" s="123">
        <f>IF(LEFT(G32,1)=" "," n/a",IF(G32&lt;5,100000*VLOOKUP(G32,'Hide - Calculation'!AQ:AS,3,FALSE)/$E$8,100000*((G32+1)*(1-1/(9*(G32+1))+1.96/(3*SQRT(G32+1)))^3)/$E$8))</f>
        <v>551.2048994186198</v>
      </c>
      <c r="K32" s="122">
        <f>IF('Hide - Calculation'!N26="","",'Hide - Calculation'!N26)</f>
        <v>503.7595766794525</v>
      </c>
      <c r="L32" s="156">
        <f>'Hide - Calculation'!O26</f>
        <v>405.57105879375996</v>
      </c>
      <c r="M32" s="148">
        <f>IF(ISBLANK('Hide - Calculation'!K26),"",'Hide - Calculation'!U26)</f>
        <v>199.534423828125</v>
      </c>
      <c r="N32" s="86"/>
      <c r="O32" s="87"/>
      <c r="P32" s="87"/>
      <c r="Q32" s="87"/>
      <c r="R32" s="84"/>
      <c r="S32" s="84"/>
      <c r="T32" s="84"/>
      <c r="U32" s="84"/>
      <c r="V32" s="84"/>
      <c r="W32" s="84"/>
      <c r="X32" s="84"/>
      <c r="Y32" s="84"/>
      <c r="Z32" s="88"/>
      <c r="AA32" s="148">
        <f>IF(ISBLANK('Hide - Calculation'!K26),"",'Hide - Calculation'!T26)</f>
        <v>1114.1221923828125</v>
      </c>
      <c r="AB32" s="234" t="s">
        <v>47</v>
      </c>
      <c r="AC32" s="131" t="s">
        <v>507</v>
      </c>
    </row>
    <row r="33" spans="2:29" s="63" customFormat="1" ht="33.75" customHeight="1">
      <c r="B33" s="305"/>
      <c r="C33" s="137">
        <v>21</v>
      </c>
      <c r="D33" s="132" t="s">
        <v>344</v>
      </c>
      <c r="E33" s="85"/>
      <c r="F33" s="85"/>
      <c r="G33" s="121">
        <f>IF(VLOOKUP('Hide - Control'!A$3,'All practice data'!A:CA,C33+4,FALSE)=" "," ",VLOOKUP('Hide - Control'!A$3,'All practice data'!A:CA,C33+4,FALSE))</f>
        <v>77</v>
      </c>
      <c r="H33" s="122">
        <f>IF(VLOOKUP('Hide - Control'!A$3,'All practice data'!A:CA,C33+30,FALSE)=" "," ",VLOOKUP('Hide - Control'!A$3,'All practice data'!A:CA,C33+30,FALSE))</f>
        <v>990.990990990991</v>
      </c>
      <c r="I33" s="123">
        <f>IF(LEFT(G33,1)=" "," n/a",IF(G33&lt;5,100000*VLOOKUP(G33,'Hide - Calculation'!AQ:AR,2,FALSE)/$E$8,100000*(G33*(1-1/(9*G33)-1.96/(3*SQRT(G33)))^3)/$E$8))</f>
        <v>782.0427635512906</v>
      </c>
      <c r="J33" s="123">
        <f>IF(LEFT(G33,1)=" "," n/a",IF(G33&lt;5,100000*VLOOKUP(G33,'Hide - Calculation'!AQ:AS,3,FALSE)/$E$8,100000*((G33+1)*(1-1/(9*(G33+1))+1.96/(3*SQRT(G33+1)))^3)/$E$8))</f>
        <v>1238.5893945703392</v>
      </c>
      <c r="K33" s="122">
        <f>IF('Hide - Calculation'!N27="","",'Hide - Calculation'!N27)</f>
        <v>1240.1016998500231</v>
      </c>
      <c r="L33" s="156">
        <f>'Hide - Calculation'!O27</f>
        <v>1059.3522061277838</v>
      </c>
      <c r="M33" s="148">
        <f>IF(ISBLANK('Hide - Calculation'!K27),"",'Hide - Calculation'!U27)</f>
        <v>579.872802734375</v>
      </c>
      <c r="N33" s="86"/>
      <c r="O33" s="87"/>
      <c r="P33" s="87"/>
      <c r="Q33" s="87"/>
      <c r="R33" s="84"/>
      <c r="S33" s="84"/>
      <c r="T33" s="84"/>
      <c r="U33" s="84"/>
      <c r="V33" s="84"/>
      <c r="W33" s="84"/>
      <c r="X33" s="84"/>
      <c r="Y33" s="84"/>
      <c r="Z33" s="88"/>
      <c r="AA33" s="148">
        <f>IF(ISBLANK('Hide - Calculation'!K27),"",'Hide - Calculation'!T27)</f>
        <v>1953.7698974609375</v>
      </c>
      <c r="AB33" s="234" t="s">
        <v>47</v>
      </c>
      <c r="AC33" s="131" t="s">
        <v>507</v>
      </c>
    </row>
    <row r="34" spans="2:29" s="63" customFormat="1" ht="33.75" customHeight="1">
      <c r="B34" s="305"/>
      <c r="C34" s="137">
        <v>22</v>
      </c>
      <c r="D34" s="132" t="s">
        <v>343</v>
      </c>
      <c r="E34" s="85"/>
      <c r="F34" s="85"/>
      <c r="G34" s="118">
        <f>IF(VLOOKUP('Hide - Control'!A$3,'All practice data'!A:CA,C34+4,FALSE)=" "," ",VLOOKUP('Hide - Control'!A$3,'All practice data'!A:CA,C34+4,FALSE))</f>
        <v>49</v>
      </c>
      <c r="H34" s="122">
        <f>IF(VLOOKUP('Hide - Control'!A$3,'All practice data'!A:CA,C34+30,FALSE)=" "," ",VLOOKUP('Hide - Control'!A$3,'All practice data'!A:CA,C34+30,FALSE))</f>
        <v>630.6306306306307</v>
      </c>
      <c r="I34" s="123">
        <f>IF(LEFT(G34,1)=" "," n/a",IF(G34&lt;5,100000*VLOOKUP(G34,'Hide - Calculation'!AQ:AR,2,FALSE)/$E$8,100000*(G34*(1-1/(9*G34)-1.96/(3*SQRT(G34)))^3)/$E$8))</f>
        <v>466.5040468924585</v>
      </c>
      <c r="J34" s="123">
        <f>IF(LEFT(G34,1)=" "," n/a",IF(G34&lt;5,100000*VLOOKUP(G34,'Hide - Calculation'!AQ:AS,3,FALSE)/$E$8,100000*((G34+1)*(1-1/(9*(G34+1))+1.96/(3*SQRT(G34+1)))^3)/$E$8))</f>
        <v>833.7490022109894</v>
      </c>
      <c r="K34" s="122">
        <f>IF('Hide - Calculation'!N28="","",'Hide - Calculation'!N28)</f>
        <v>662.2000886996029</v>
      </c>
      <c r="L34" s="156">
        <f>'Hide - Calculation'!O28</f>
        <v>582.9390489900089</v>
      </c>
      <c r="M34" s="148">
        <f>IF(ISBLANK('Hide - Calculation'!K28),"",'Hide - Calculation'!U28)</f>
        <v>336.2809753417969</v>
      </c>
      <c r="N34" s="86"/>
      <c r="O34" s="87"/>
      <c r="P34" s="87"/>
      <c r="Q34" s="87"/>
      <c r="R34" s="84"/>
      <c r="S34" s="84"/>
      <c r="T34" s="84"/>
      <c r="U34" s="84"/>
      <c r="V34" s="84"/>
      <c r="W34" s="84"/>
      <c r="X34" s="84"/>
      <c r="Y34" s="84"/>
      <c r="Z34" s="88"/>
      <c r="AA34" s="148">
        <f>IF(ISBLANK('Hide - Calculation'!K28),"",'Hide - Calculation'!T28)</f>
        <v>1155.751220703125</v>
      </c>
      <c r="AB34" s="234" t="s">
        <v>47</v>
      </c>
      <c r="AC34" s="131" t="s">
        <v>507</v>
      </c>
    </row>
    <row r="35" spans="2:29" s="63" customFormat="1" ht="33.75" customHeight="1">
      <c r="B35" s="305"/>
      <c r="C35" s="137">
        <v>23</v>
      </c>
      <c r="D35" s="138" t="s">
        <v>468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329</v>
      </c>
      <c r="AC35" s="131">
        <v>2008</v>
      </c>
    </row>
    <row r="36" spans="2:29" ht="33.75" customHeight="1">
      <c r="B36" s="306"/>
      <c r="C36" s="137">
        <v>24</v>
      </c>
      <c r="D36" s="224" t="s">
        <v>469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329</v>
      </c>
      <c r="AC36" s="131">
        <v>2008</v>
      </c>
    </row>
    <row r="37" spans="2:29" ht="33.75" customHeight="1" thickBot="1">
      <c r="B37" s="307"/>
      <c r="C37" s="176">
        <v>25</v>
      </c>
      <c r="D37" s="177" t="s">
        <v>345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329</v>
      </c>
      <c r="AC37" s="149">
        <v>2008</v>
      </c>
    </row>
    <row r="38" spans="2:29" ht="16.5" customHeight="1">
      <c r="B38" s="69"/>
      <c r="C38" s="69"/>
      <c r="D38" s="65" t="s">
        <v>327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558</v>
      </c>
      <c r="C39" s="244"/>
      <c r="D39" s="244"/>
      <c r="E39" s="303" t="s">
        <v>562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493</v>
      </c>
      <c r="BE2" s="341"/>
      <c r="BF2" s="341"/>
      <c r="BG2" s="341"/>
      <c r="BH2" s="341"/>
      <c r="BI2" s="341"/>
      <c r="BJ2" s="342"/>
    </row>
    <row r="3" spans="1:82" s="72" customFormat="1" ht="76.5" customHeight="1">
      <c r="A3" s="266" t="s">
        <v>276</v>
      </c>
      <c r="B3" s="275" t="s">
        <v>277</v>
      </c>
      <c r="C3" s="276" t="s">
        <v>49</v>
      </c>
      <c r="D3" s="274" t="s">
        <v>478</v>
      </c>
      <c r="E3" s="267" t="s">
        <v>350</v>
      </c>
      <c r="F3" s="267" t="s">
        <v>461</v>
      </c>
      <c r="G3" s="267" t="s">
        <v>352</v>
      </c>
      <c r="H3" s="267" t="s">
        <v>353</v>
      </c>
      <c r="I3" s="267" t="s">
        <v>354</v>
      </c>
      <c r="J3" s="267" t="s">
        <v>502</v>
      </c>
      <c r="K3" s="267" t="s">
        <v>503</v>
      </c>
      <c r="L3" s="267" t="s">
        <v>504</v>
      </c>
      <c r="M3" s="267" t="s">
        <v>355</v>
      </c>
      <c r="N3" s="267" t="s">
        <v>356</v>
      </c>
      <c r="O3" s="267" t="s">
        <v>357</v>
      </c>
      <c r="P3" s="267" t="s">
        <v>492</v>
      </c>
      <c r="Q3" s="267" t="s">
        <v>358</v>
      </c>
      <c r="R3" s="267" t="s">
        <v>359</v>
      </c>
      <c r="S3" s="267" t="s">
        <v>360</v>
      </c>
      <c r="T3" s="267" t="s">
        <v>361</v>
      </c>
      <c r="U3" s="267" t="s">
        <v>362</v>
      </c>
      <c r="V3" s="267" t="s">
        <v>363</v>
      </c>
      <c r="W3" s="267" t="s">
        <v>364</v>
      </c>
      <c r="X3" s="267" t="s">
        <v>365</v>
      </c>
      <c r="Y3" s="267" t="s">
        <v>366</v>
      </c>
      <c r="Z3" s="267" t="s">
        <v>367</v>
      </c>
      <c r="AA3" s="267" t="s">
        <v>368</v>
      </c>
      <c r="AB3" s="267" t="s">
        <v>369</v>
      </c>
      <c r="AC3" s="267" t="s">
        <v>370</v>
      </c>
      <c r="AD3" s="268" t="s">
        <v>371</v>
      </c>
      <c r="AE3" s="268" t="s">
        <v>350</v>
      </c>
      <c r="AF3" s="269" t="s">
        <v>351</v>
      </c>
      <c r="AG3" s="268" t="s">
        <v>352</v>
      </c>
      <c r="AH3" s="268" t="s">
        <v>353</v>
      </c>
      <c r="AI3" s="268" t="s">
        <v>354</v>
      </c>
      <c r="AJ3" s="268" t="s">
        <v>502</v>
      </c>
      <c r="AK3" s="268" t="s">
        <v>503</v>
      </c>
      <c r="AL3" s="268" t="s">
        <v>504</v>
      </c>
      <c r="AM3" s="268" t="s">
        <v>355</v>
      </c>
      <c r="AN3" s="268" t="s">
        <v>356</v>
      </c>
      <c r="AO3" s="268" t="s">
        <v>357</v>
      </c>
      <c r="AP3" s="268" t="s">
        <v>492</v>
      </c>
      <c r="AQ3" s="268" t="s">
        <v>358</v>
      </c>
      <c r="AR3" s="268" t="s">
        <v>359</v>
      </c>
      <c r="AS3" s="268" t="s">
        <v>360</v>
      </c>
      <c r="AT3" s="268" t="s">
        <v>361</v>
      </c>
      <c r="AU3" s="268" t="s">
        <v>362</v>
      </c>
      <c r="AV3" s="268" t="s">
        <v>363</v>
      </c>
      <c r="AW3" s="268" t="s">
        <v>364</v>
      </c>
      <c r="AX3" s="268" t="s">
        <v>365</v>
      </c>
      <c r="AY3" s="270" t="s">
        <v>366</v>
      </c>
      <c r="AZ3" s="271" t="s">
        <v>367</v>
      </c>
      <c r="BA3" s="271" t="s">
        <v>368</v>
      </c>
      <c r="BB3" s="271" t="s">
        <v>369</v>
      </c>
      <c r="BC3" s="272" t="s">
        <v>370</v>
      </c>
      <c r="BD3" s="273" t="s">
        <v>490</v>
      </c>
      <c r="BE3" s="273" t="s">
        <v>491</v>
      </c>
      <c r="BF3" s="273" t="s">
        <v>498</v>
      </c>
      <c r="BG3" s="273" t="s">
        <v>499</v>
      </c>
      <c r="BH3" s="273" t="s">
        <v>497</v>
      </c>
      <c r="BI3" s="273" t="s">
        <v>500</v>
      </c>
      <c r="BJ3" s="273" t="s">
        <v>501</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305</v>
      </c>
      <c r="C4" s="79" t="s">
        <v>152</v>
      </c>
      <c r="D4" s="99">
        <v>7770</v>
      </c>
      <c r="E4" s="99">
        <v>1093</v>
      </c>
      <c r="F4" s="99" t="s">
        <v>348</v>
      </c>
      <c r="G4" s="99">
        <v>20</v>
      </c>
      <c r="H4" s="99">
        <v>17</v>
      </c>
      <c r="I4" s="99">
        <v>107</v>
      </c>
      <c r="J4" s="99">
        <v>650</v>
      </c>
      <c r="K4" s="99">
        <v>9</v>
      </c>
      <c r="L4" s="99">
        <v>1472</v>
      </c>
      <c r="M4" s="99">
        <v>284</v>
      </c>
      <c r="N4" s="99">
        <v>218</v>
      </c>
      <c r="O4" s="99">
        <v>119</v>
      </c>
      <c r="P4" s="159">
        <v>119</v>
      </c>
      <c r="Q4" s="99">
        <v>19</v>
      </c>
      <c r="R4" s="99">
        <v>35</v>
      </c>
      <c r="S4" s="99">
        <v>52</v>
      </c>
      <c r="T4" s="99">
        <v>15</v>
      </c>
      <c r="U4" s="99" t="s">
        <v>561</v>
      </c>
      <c r="V4" s="99">
        <v>13</v>
      </c>
      <c r="W4" s="99">
        <v>35</v>
      </c>
      <c r="X4" s="99">
        <v>30</v>
      </c>
      <c r="Y4" s="99">
        <v>77</v>
      </c>
      <c r="Z4" s="99">
        <v>49</v>
      </c>
      <c r="AA4" s="99" t="s">
        <v>561</v>
      </c>
      <c r="AB4" s="99" t="s">
        <v>561</v>
      </c>
      <c r="AC4" s="99" t="s">
        <v>561</v>
      </c>
      <c r="AD4" s="98" t="s">
        <v>327</v>
      </c>
      <c r="AE4" s="100">
        <v>0.14066924066924066</v>
      </c>
      <c r="AF4" s="100">
        <v>0.15</v>
      </c>
      <c r="AG4" s="98">
        <v>257.4002574002574</v>
      </c>
      <c r="AH4" s="98">
        <v>218.7902187902188</v>
      </c>
      <c r="AI4" s="100">
        <v>0.013999999999999999</v>
      </c>
      <c r="AJ4" s="100">
        <v>0.695931</v>
      </c>
      <c r="AK4" s="100">
        <v>0.642857</v>
      </c>
      <c r="AL4" s="100">
        <v>0.804811</v>
      </c>
      <c r="AM4" s="100">
        <v>0.380697</v>
      </c>
      <c r="AN4" s="100">
        <v>0.549118</v>
      </c>
      <c r="AO4" s="98">
        <v>1531.5315315315315</v>
      </c>
      <c r="AP4" s="158">
        <v>0.8930012512000001</v>
      </c>
      <c r="AQ4" s="100">
        <v>0.15966386554621848</v>
      </c>
      <c r="AR4" s="100">
        <v>0.5428571428571428</v>
      </c>
      <c r="AS4" s="98">
        <v>669.2406692406693</v>
      </c>
      <c r="AT4" s="98">
        <v>193.05019305019306</v>
      </c>
      <c r="AU4" s="98" t="s">
        <v>561</v>
      </c>
      <c r="AV4" s="98">
        <v>167.31016731016732</v>
      </c>
      <c r="AW4" s="98">
        <v>450.45045045045043</v>
      </c>
      <c r="AX4" s="98">
        <v>386.1003861003861</v>
      </c>
      <c r="AY4" s="98">
        <v>990.990990990991</v>
      </c>
      <c r="AZ4" s="98">
        <v>630.6306306306307</v>
      </c>
      <c r="BA4" s="100" t="s">
        <v>561</v>
      </c>
      <c r="BB4" s="100" t="s">
        <v>561</v>
      </c>
      <c r="BC4" s="100" t="s">
        <v>561</v>
      </c>
      <c r="BD4" s="158">
        <v>0.7397774506</v>
      </c>
      <c r="BE4" s="158">
        <v>1.0686090849999998</v>
      </c>
      <c r="BF4" s="162">
        <v>934</v>
      </c>
      <c r="BG4" s="162">
        <v>14</v>
      </c>
      <c r="BH4" s="162">
        <v>1829</v>
      </c>
      <c r="BI4" s="162">
        <v>746</v>
      </c>
      <c r="BJ4" s="162">
        <v>397</v>
      </c>
      <c r="BK4" s="97"/>
      <c r="BL4" s="97"/>
      <c r="BM4" s="97"/>
      <c r="BN4" s="97"/>
    </row>
    <row r="5" spans="1:66" ht="12.75">
      <c r="A5" s="79" t="s">
        <v>525</v>
      </c>
      <c r="B5" s="79" t="s">
        <v>297</v>
      </c>
      <c r="C5" s="79" t="s">
        <v>152</v>
      </c>
      <c r="D5" s="99">
        <v>8371</v>
      </c>
      <c r="E5" s="99">
        <v>2225</v>
      </c>
      <c r="F5" s="99" t="s">
        <v>349</v>
      </c>
      <c r="G5" s="99">
        <v>48</v>
      </c>
      <c r="H5" s="99">
        <v>33</v>
      </c>
      <c r="I5" s="99">
        <v>203</v>
      </c>
      <c r="J5" s="99">
        <v>1056</v>
      </c>
      <c r="K5" s="99">
        <v>1025</v>
      </c>
      <c r="L5" s="99">
        <v>1528</v>
      </c>
      <c r="M5" s="99">
        <v>553</v>
      </c>
      <c r="N5" s="99">
        <v>396</v>
      </c>
      <c r="O5" s="99">
        <v>275</v>
      </c>
      <c r="P5" s="159">
        <v>275</v>
      </c>
      <c r="Q5" s="99">
        <v>27</v>
      </c>
      <c r="R5" s="99">
        <v>74</v>
      </c>
      <c r="S5" s="99">
        <v>71</v>
      </c>
      <c r="T5" s="99">
        <v>24</v>
      </c>
      <c r="U5" s="99">
        <v>19</v>
      </c>
      <c r="V5" s="99">
        <v>50</v>
      </c>
      <c r="W5" s="99">
        <v>66</v>
      </c>
      <c r="X5" s="99">
        <v>33</v>
      </c>
      <c r="Y5" s="99">
        <v>119</v>
      </c>
      <c r="Z5" s="99">
        <v>76</v>
      </c>
      <c r="AA5" s="99" t="s">
        <v>561</v>
      </c>
      <c r="AB5" s="99" t="s">
        <v>561</v>
      </c>
      <c r="AC5" s="99" t="s">
        <v>561</v>
      </c>
      <c r="AD5" s="98" t="s">
        <v>327</v>
      </c>
      <c r="AE5" s="100">
        <v>0.2657985903715207</v>
      </c>
      <c r="AF5" s="100">
        <v>0.08</v>
      </c>
      <c r="AG5" s="98">
        <v>573.4081949587863</v>
      </c>
      <c r="AH5" s="98">
        <v>394.2181340341656</v>
      </c>
      <c r="AI5" s="100">
        <v>0.024</v>
      </c>
      <c r="AJ5" s="100">
        <v>0.824356</v>
      </c>
      <c r="AK5" s="100">
        <v>0.831981</v>
      </c>
      <c r="AL5" s="100">
        <v>0.779592</v>
      </c>
      <c r="AM5" s="100">
        <v>0.430016</v>
      </c>
      <c r="AN5" s="100">
        <v>0.603659</v>
      </c>
      <c r="AO5" s="98">
        <v>3285.1511169513797</v>
      </c>
      <c r="AP5" s="158">
        <v>1.367750092</v>
      </c>
      <c r="AQ5" s="100">
        <v>0.09818181818181818</v>
      </c>
      <c r="AR5" s="100">
        <v>0.36486486486486486</v>
      </c>
      <c r="AS5" s="98">
        <v>848.1662883765381</v>
      </c>
      <c r="AT5" s="98">
        <v>286.70409747939317</v>
      </c>
      <c r="AU5" s="98">
        <v>226.97407717118625</v>
      </c>
      <c r="AV5" s="98">
        <v>597.3002030820691</v>
      </c>
      <c r="AW5" s="98">
        <v>788.4362680683312</v>
      </c>
      <c r="AX5" s="98">
        <v>394.2181340341656</v>
      </c>
      <c r="AY5" s="98">
        <v>1421.5744833353244</v>
      </c>
      <c r="AZ5" s="98">
        <v>907.896308684745</v>
      </c>
      <c r="BA5" s="100" t="s">
        <v>561</v>
      </c>
      <c r="BB5" s="100" t="s">
        <v>561</v>
      </c>
      <c r="BC5" s="100" t="s">
        <v>561</v>
      </c>
      <c r="BD5" s="158">
        <v>1.2108564</v>
      </c>
      <c r="BE5" s="158">
        <v>1.5393302919999998</v>
      </c>
      <c r="BF5" s="162">
        <v>1281</v>
      </c>
      <c r="BG5" s="162">
        <v>1232</v>
      </c>
      <c r="BH5" s="162">
        <v>1960</v>
      </c>
      <c r="BI5" s="162">
        <v>1286</v>
      </c>
      <c r="BJ5" s="162">
        <v>656</v>
      </c>
      <c r="BK5" s="97"/>
      <c r="BL5" s="97"/>
      <c r="BM5" s="97"/>
      <c r="BN5" s="97"/>
    </row>
    <row r="6" spans="1:66" ht="12.75">
      <c r="A6" s="79" t="s">
        <v>551</v>
      </c>
      <c r="B6" s="79" t="s">
        <v>323</v>
      </c>
      <c r="C6" s="79" t="s">
        <v>152</v>
      </c>
      <c r="D6" s="99">
        <v>2206</v>
      </c>
      <c r="E6" s="99">
        <v>596</v>
      </c>
      <c r="F6" s="99" t="s">
        <v>349</v>
      </c>
      <c r="G6" s="99">
        <v>20</v>
      </c>
      <c r="H6" s="99">
        <v>8</v>
      </c>
      <c r="I6" s="99">
        <v>36</v>
      </c>
      <c r="J6" s="99">
        <v>369</v>
      </c>
      <c r="K6" s="99">
        <v>362</v>
      </c>
      <c r="L6" s="99">
        <v>425</v>
      </c>
      <c r="M6" s="99">
        <v>210</v>
      </c>
      <c r="N6" s="99">
        <v>149</v>
      </c>
      <c r="O6" s="99">
        <v>53</v>
      </c>
      <c r="P6" s="159">
        <v>53</v>
      </c>
      <c r="Q6" s="99" t="s">
        <v>561</v>
      </c>
      <c r="R6" s="99">
        <v>11</v>
      </c>
      <c r="S6" s="99">
        <v>16</v>
      </c>
      <c r="T6" s="99">
        <v>11</v>
      </c>
      <c r="U6" s="99" t="s">
        <v>561</v>
      </c>
      <c r="V6" s="99">
        <v>11</v>
      </c>
      <c r="W6" s="99">
        <v>14</v>
      </c>
      <c r="X6" s="99">
        <v>12</v>
      </c>
      <c r="Y6" s="99">
        <v>22</v>
      </c>
      <c r="Z6" s="99">
        <v>11</v>
      </c>
      <c r="AA6" s="99" t="s">
        <v>561</v>
      </c>
      <c r="AB6" s="99" t="s">
        <v>561</v>
      </c>
      <c r="AC6" s="99" t="s">
        <v>561</v>
      </c>
      <c r="AD6" s="98" t="s">
        <v>327</v>
      </c>
      <c r="AE6" s="100">
        <v>0.2701722574796011</v>
      </c>
      <c r="AF6" s="100">
        <v>0.08</v>
      </c>
      <c r="AG6" s="98">
        <v>906.6183136899365</v>
      </c>
      <c r="AH6" s="98">
        <v>362.64732547597464</v>
      </c>
      <c r="AI6" s="100">
        <v>0.016</v>
      </c>
      <c r="AJ6" s="100">
        <v>0.876485</v>
      </c>
      <c r="AK6" s="100">
        <v>0.872289</v>
      </c>
      <c r="AL6" s="100">
        <v>0.815739</v>
      </c>
      <c r="AM6" s="100">
        <v>0.451613</v>
      </c>
      <c r="AN6" s="100">
        <v>0.634043</v>
      </c>
      <c r="AO6" s="98">
        <v>2402.538531278332</v>
      </c>
      <c r="AP6" s="158">
        <v>0.976875</v>
      </c>
      <c r="AQ6" s="100" t="s">
        <v>561</v>
      </c>
      <c r="AR6" s="100" t="s">
        <v>561</v>
      </c>
      <c r="AS6" s="98">
        <v>725.2946509519493</v>
      </c>
      <c r="AT6" s="98">
        <v>498.6400725294651</v>
      </c>
      <c r="AU6" s="98" t="s">
        <v>561</v>
      </c>
      <c r="AV6" s="98">
        <v>498.6400725294651</v>
      </c>
      <c r="AW6" s="98">
        <v>634.6328195829556</v>
      </c>
      <c r="AX6" s="98">
        <v>543.970988213962</v>
      </c>
      <c r="AY6" s="98">
        <v>997.2801450589302</v>
      </c>
      <c r="AZ6" s="98">
        <v>498.6400725294651</v>
      </c>
      <c r="BA6" s="100" t="s">
        <v>561</v>
      </c>
      <c r="BB6" s="100" t="s">
        <v>561</v>
      </c>
      <c r="BC6" s="100" t="s">
        <v>561</v>
      </c>
      <c r="BD6" s="158">
        <v>0.7317463684000001</v>
      </c>
      <c r="BE6" s="158">
        <v>1.277776566</v>
      </c>
      <c r="BF6" s="162">
        <v>421</v>
      </c>
      <c r="BG6" s="162">
        <v>415</v>
      </c>
      <c r="BH6" s="162">
        <v>521</v>
      </c>
      <c r="BI6" s="162">
        <v>465</v>
      </c>
      <c r="BJ6" s="162">
        <v>235</v>
      </c>
      <c r="BK6" s="97"/>
      <c r="BL6" s="97"/>
      <c r="BM6" s="97"/>
      <c r="BN6" s="97"/>
    </row>
    <row r="7" spans="1:66" ht="12.75">
      <c r="A7" s="79" t="s">
        <v>527</v>
      </c>
      <c r="B7" s="79" t="s">
        <v>299</v>
      </c>
      <c r="C7" s="79" t="s">
        <v>152</v>
      </c>
      <c r="D7" s="99">
        <v>6175</v>
      </c>
      <c r="E7" s="99">
        <v>1135</v>
      </c>
      <c r="F7" s="99" t="s">
        <v>349</v>
      </c>
      <c r="G7" s="99">
        <v>30</v>
      </c>
      <c r="H7" s="99">
        <v>16</v>
      </c>
      <c r="I7" s="99">
        <v>131</v>
      </c>
      <c r="J7" s="99">
        <v>659</v>
      </c>
      <c r="K7" s="99">
        <v>11</v>
      </c>
      <c r="L7" s="99">
        <v>1165</v>
      </c>
      <c r="M7" s="99">
        <v>389</v>
      </c>
      <c r="N7" s="99">
        <v>273</v>
      </c>
      <c r="O7" s="99">
        <v>165</v>
      </c>
      <c r="P7" s="159">
        <v>165</v>
      </c>
      <c r="Q7" s="99">
        <v>11</v>
      </c>
      <c r="R7" s="99">
        <v>32</v>
      </c>
      <c r="S7" s="99">
        <v>47</v>
      </c>
      <c r="T7" s="99">
        <v>18</v>
      </c>
      <c r="U7" s="99" t="s">
        <v>561</v>
      </c>
      <c r="V7" s="99">
        <v>33</v>
      </c>
      <c r="W7" s="99">
        <v>42</v>
      </c>
      <c r="X7" s="99">
        <v>25</v>
      </c>
      <c r="Y7" s="99">
        <v>77</v>
      </c>
      <c r="Z7" s="99">
        <v>40</v>
      </c>
      <c r="AA7" s="99" t="s">
        <v>561</v>
      </c>
      <c r="AB7" s="99" t="s">
        <v>561</v>
      </c>
      <c r="AC7" s="99" t="s">
        <v>561</v>
      </c>
      <c r="AD7" s="98" t="s">
        <v>327</v>
      </c>
      <c r="AE7" s="100">
        <v>0.18380566801619433</v>
      </c>
      <c r="AF7" s="100">
        <v>0.07</v>
      </c>
      <c r="AG7" s="98">
        <v>485.82995951417</v>
      </c>
      <c r="AH7" s="98">
        <v>259.1093117408907</v>
      </c>
      <c r="AI7" s="100">
        <v>0.021</v>
      </c>
      <c r="AJ7" s="100">
        <v>0.77804</v>
      </c>
      <c r="AK7" s="100">
        <v>0.611111</v>
      </c>
      <c r="AL7" s="100">
        <v>0.813547</v>
      </c>
      <c r="AM7" s="100">
        <v>0.47439</v>
      </c>
      <c r="AN7" s="100">
        <v>0.689394</v>
      </c>
      <c r="AO7" s="98">
        <v>2672.064777327935</v>
      </c>
      <c r="AP7" s="158">
        <v>1.3551002500000002</v>
      </c>
      <c r="AQ7" s="100">
        <v>0.06666666666666667</v>
      </c>
      <c r="AR7" s="100">
        <v>0.34375</v>
      </c>
      <c r="AS7" s="98">
        <v>761.1336032388664</v>
      </c>
      <c r="AT7" s="98">
        <v>291.497975708502</v>
      </c>
      <c r="AU7" s="98" t="s">
        <v>561</v>
      </c>
      <c r="AV7" s="98">
        <v>534.4129554655871</v>
      </c>
      <c r="AW7" s="98">
        <v>680.1619433198381</v>
      </c>
      <c r="AX7" s="98">
        <v>404.8582995951417</v>
      </c>
      <c r="AY7" s="98">
        <v>1246.9635627530365</v>
      </c>
      <c r="AZ7" s="98">
        <v>647.7732793522267</v>
      </c>
      <c r="BA7" s="100" t="s">
        <v>561</v>
      </c>
      <c r="BB7" s="100" t="s">
        <v>561</v>
      </c>
      <c r="BC7" s="100" t="s">
        <v>561</v>
      </c>
      <c r="BD7" s="158">
        <v>1.156220093</v>
      </c>
      <c r="BE7" s="158">
        <v>1.5783697509999999</v>
      </c>
      <c r="BF7" s="162">
        <v>847</v>
      </c>
      <c r="BG7" s="162">
        <v>18</v>
      </c>
      <c r="BH7" s="162">
        <v>1432</v>
      </c>
      <c r="BI7" s="162">
        <v>820</v>
      </c>
      <c r="BJ7" s="162">
        <v>396</v>
      </c>
      <c r="BK7" s="97"/>
      <c r="BL7" s="97"/>
      <c r="BM7" s="97"/>
      <c r="BN7" s="97"/>
    </row>
    <row r="8" spans="1:66" ht="12.75">
      <c r="A8" s="79" t="s">
        <v>522</v>
      </c>
      <c r="B8" s="79" t="s">
        <v>294</v>
      </c>
      <c r="C8" s="79" t="s">
        <v>152</v>
      </c>
      <c r="D8" s="99">
        <v>5680</v>
      </c>
      <c r="E8" s="99">
        <v>1300</v>
      </c>
      <c r="F8" s="99" t="s">
        <v>349</v>
      </c>
      <c r="G8" s="99">
        <v>41</v>
      </c>
      <c r="H8" s="99">
        <v>17</v>
      </c>
      <c r="I8" s="99">
        <v>107</v>
      </c>
      <c r="J8" s="99">
        <v>669</v>
      </c>
      <c r="K8" s="99">
        <v>676</v>
      </c>
      <c r="L8" s="99">
        <v>1127</v>
      </c>
      <c r="M8" s="99">
        <v>354</v>
      </c>
      <c r="N8" s="99">
        <v>262</v>
      </c>
      <c r="O8" s="99">
        <v>138</v>
      </c>
      <c r="P8" s="159">
        <v>138</v>
      </c>
      <c r="Q8" s="99">
        <v>9</v>
      </c>
      <c r="R8" s="99">
        <v>29</v>
      </c>
      <c r="S8" s="99">
        <v>58</v>
      </c>
      <c r="T8" s="99">
        <v>13</v>
      </c>
      <c r="U8" s="99" t="s">
        <v>561</v>
      </c>
      <c r="V8" s="99">
        <v>18</v>
      </c>
      <c r="W8" s="99">
        <v>32</v>
      </c>
      <c r="X8" s="99">
        <v>26</v>
      </c>
      <c r="Y8" s="99">
        <v>95</v>
      </c>
      <c r="Z8" s="99">
        <v>31</v>
      </c>
      <c r="AA8" s="99" t="s">
        <v>561</v>
      </c>
      <c r="AB8" s="99" t="s">
        <v>561</v>
      </c>
      <c r="AC8" s="99" t="s">
        <v>561</v>
      </c>
      <c r="AD8" s="98" t="s">
        <v>327</v>
      </c>
      <c r="AE8" s="100">
        <v>0.22887323943661972</v>
      </c>
      <c r="AF8" s="100">
        <v>0.07</v>
      </c>
      <c r="AG8" s="98">
        <v>721.830985915493</v>
      </c>
      <c r="AH8" s="98">
        <v>299.2957746478873</v>
      </c>
      <c r="AI8" s="100">
        <v>0.019</v>
      </c>
      <c r="AJ8" s="100">
        <v>0.806996</v>
      </c>
      <c r="AK8" s="100">
        <v>0.848181</v>
      </c>
      <c r="AL8" s="100">
        <v>0.836053</v>
      </c>
      <c r="AM8" s="100">
        <v>0.432234</v>
      </c>
      <c r="AN8" s="100">
        <v>0.640587</v>
      </c>
      <c r="AO8" s="98">
        <v>2429.5774647887324</v>
      </c>
      <c r="AP8" s="158">
        <v>1.11168396</v>
      </c>
      <c r="AQ8" s="100">
        <v>0.06521739130434782</v>
      </c>
      <c r="AR8" s="100">
        <v>0.3103448275862069</v>
      </c>
      <c r="AS8" s="98">
        <v>1021.1267605633802</v>
      </c>
      <c r="AT8" s="98">
        <v>228.8732394366197</v>
      </c>
      <c r="AU8" s="98" t="s">
        <v>561</v>
      </c>
      <c r="AV8" s="98">
        <v>316.90140845070425</v>
      </c>
      <c r="AW8" s="98">
        <v>563.3802816901408</v>
      </c>
      <c r="AX8" s="98">
        <v>457.7464788732394</v>
      </c>
      <c r="AY8" s="98">
        <v>1672.5352112676057</v>
      </c>
      <c r="AZ8" s="98">
        <v>545.7746478873239</v>
      </c>
      <c r="BA8" s="100" t="s">
        <v>561</v>
      </c>
      <c r="BB8" s="100" t="s">
        <v>561</v>
      </c>
      <c r="BC8" s="100" t="s">
        <v>561</v>
      </c>
      <c r="BD8" s="158">
        <v>0.9339507294</v>
      </c>
      <c r="BE8" s="158">
        <v>1.3133959960000001</v>
      </c>
      <c r="BF8" s="162">
        <v>829</v>
      </c>
      <c r="BG8" s="162">
        <v>797</v>
      </c>
      <c r="BH8" s="162">
        <v>1348</v>
      </c>
      <c r="BI8" s="162">
        <v>819</v>
      </c>
      <c r="BJ8" s="162">
        <v>409</v>
      </c>
      <c r="BK8" s="97"/>
      <c r="BL8" s="97"/>
      <c r="BM8" s="97"/>
      <c r="BN8" s="97"/>
    </row>
    <row r="9" spans="1:66" ht="12.75">
      <c r="A9" s="79" t="s">
        <v>545</v>
      </c>
      <c r="B9" s="79" t="s">
        <v>317</v>
      </c>
      <c r="C9" s="79" t="s">
        <v>152</v>
      </c>
      <c r="D9" s="99">
        <v>5255</v>
      </c>
      <c r="E9" s="99">
        <v>1038</v>
      </c>
      <c r="F9" s="99" t="s">
        <v>348</v>
      </c>
      <c r="G9" s="99">
        <v>28</v>
      </c>
      <c r="H9" s="99">
        <v>20</v>
      </c>
      <c r="I9" s="99">
        <v>97</v>
      </c>
      <c r="J9" s="99">
        <v>522</v>
      </c>
      <c r="K9" s="99">
        <v>532</v>
      </c>
      <c r="L9" s="99">
        <v>954</v>
      </c>
      <c r="M9" s="99">
        <v>258</v>
      </c>
      <c r="N9" s="99">
        <v>172</v>
      </c>
      <c r="O9" s="99">
        <v>156</v>
      </c>
      <c r="P9" s="159">
        <v>156</v>
      </c>
      <c r="Q9" s="99">
        <v>12</v>
      </c>
      <c r="R9" s="99">
        <v>22</v>
      </c>
      <c r="S9" s="99">
        <v>49</v>
      </c>
      <c r="T9" s="99">
        <v>7</v>
      </c>
      <c r="U9" s="99">
        <v>6</v>
      </c>
      <c r="V9" s="99">
        <v>39</v>
      </c>
      <c r="W9" s="99">
        <v>35</v>
      </c>
      <c r="X9" s="99">
        <v>40</v>
      </c>
      <c r="Y9" s="99">
        <v>66</v>
      </c>
      <c r="Z9" s="99">
        <v>27</v>
      </c>
      <c r="AA9" s="99" t="s">
        <v>561</v>
      </c>
      <c r="AB9" s="99" t="s">
        <v>561</v>
      </c>
      <c r="AC9" s="99" t="s">
        <v>561</v>
      </c>
      <c r="AD9" s="98" t="s">
        <v>327</v>
      </c>
      <c r="AE9" s="100">
        <v>0.19752616555661276</v>
      </c>
      <c r="AF9" s="100">
        <v>0.13</v>
      </c>
      <c r="AG9" s="98">
        <v>532.8258801141769</v>
      </c>
      <c r="AH9" s="98">
        <v>380.5899143672693</v>
      </c>
      <c r="AI9" s="100">
        <v>0.018000000000000002</v>
      </c>
      <c r="AJ9" s="100">
        <v>0.777943</v>
      </c>
      <c r="AK9" s="100">
        <v>0.814701</v>
      </c>
      <c r="AL9" s="100">
        <v>0.782609</v>
      </c>
      <c r="AM9" s="100">
        <v>0.427152</v>
      </c>
      <c r="AN9" s="100">
        <v>0.605634</v>
      </c>
      <c r="AO9" s="98">
        <v>2968.6013320647003</v>
      </c>
      <c r="AP9" s="158">
        <v>1.464763031</v>
      </c>
      <c r="AQ9" s="100">
        <v>0.07692307692307693</v>
      </c>
      <c r="AR9" s="100">
        <v>0.5454545454545454</v>
      </c>
      <c r="AS9" s="98">
        <v>932.4452901998097</v>
      </c>
      <c r="AT9" s="98">
        <v>133.20647002854423</v>
      </c>
      <c r="AU9" s="98">
        <v>114.17697431018078</v>
      </c>
      <c r="AV9" s="98">
        <v>742.1503330161751</v>
      </c>
      <c r="AW9" s="98">
        <v>666.0323501427213</v>
      </c>
      <c r="AX9" s="98">
        <v>761.1798287345385</v>
      </c>
      <c r="AY9" s="98">
        <v>1255.9467174119886</v>
      </c>
      <c r="AZ9" s="98">
        <v>513.7963843958136</v>
      </c>
      <c r="BA9" s="100" t="s">
        <v>561</v>
      </c>
      <c r="BB9" s="100" t="s">
        <v>561</v>
      </c>
      <c r="BC9" s="100" t="s">
        <v>561</v>
      </c>
      <c r="BD9" s="158">
        <v>1.243926773</v>
      </c>
      <c r="BE9" s="158">
        <v>1.713503265</v>
      </c>
      <c r="BF9" s="162">
        <v>671</v>
      </c>
      <c r="BG9" s="162">
        <v>653</v>
      </c>
      <c r="BH9" s="162">
        <v>1219</v>
      </c>
      <c r="BI9" s="162">
        <v>604</v>
      </c>
      <c r="BJ9" s="162">
        <v>284</v>
      </c>
      <c r="BK9" s="97"/>
      <c r="BL9" s="97"/>
      <c r="BM9" s="97"/>
      <c r="BN9" s="97"/>
    </row>
    <row r="10" spans="1:66" ht="12.75">
      <c r="A10" s="79" t="s">
        <v>534</v>
      </c>
      <c r="B10" s="79" t="s">
        <v>306</v>
      </c>
      <c r="C10" s="79" t="s">
        <v>152</v>
      </c>
      <c r="D10" s="99">
        <v>5381</v>
      </c>
      <c r="E10" s="99">
        <v>1283</v>
      </c>
      <c r="F10" s="99" t="s">
        <v>347</v>
      </c>
      <c r="G10" s="99">
        <v>26</v>
      </c>
      <c r="H10" s="99">
        <v>15</v>
      </c>
      <c r="I10" s="99">
        <v>117</v>
      </c>
      <c r="J10" s="99">
        <v>616</v>
      </c>
      <c r="K10" s="99">
        <v>592</v>
      </c>
      <c r="L10" s="99">
        <v>831</v>
      </c>
      <c r="M10" s="99">
        <v>329</v>
      </c>
      <c r="N10" s="99">
        <v>235</v>
      </c>
      <c r="O10" s="99">
        <v>127</v>
      </c>
      <c r="P10" s="159">
        <v>127</v>
      </c>
      <c r="Q10" s="99">
        <v>7</v>
      </c>
      <c r="R10" s="99">
        <v>27</v>
      </c>
      <c r="S10" s="99">
        <v>42</v>
      </c>
      <c r="T10" s="99">
        <v>21</v>
      </c>
      <c r="U10" s="99" t="s">
        <v>561</v>
      </c>
      <c r="V10" s="99">
        <v>22</v>
      </c>
      <c r="W10" s="99">
        <v>31</v>
      </c>
      <c r="X10" s="99">
        <v>31</v>
      </c>
      <c r="Y10" s="99">
        <v>67</v>
      </c>
      <c r="Z10" s="99">
        <v>39</v>
      </c>
      <c r="AA10" s="99" t="s">
        <v>561</v>
      </c>
      <c r="AB10" s="99" t="s">
        <v>561</v>
      </c>
      <c r="AC10" s="99" t="s">
        <v>561</v>
      </c>
      <c r="AD10" s="98" t="s">
        <v>327</v>
      </c>
      <c r="AE10" s="100">
        <v>0.23843151830514775</v>
      </c>
      <c r="AF10" s="100">
        <v>0.1</v>
      </c>
      <c r="AG10" s="98">
        <v>483.18156476491356</v>
      </c>
      <c r="AH10" s="98">
        <v>278.7585950566809</v>
      </c>
      <c r="AI10" s="100">
        <v>0.022000000000000002</v>
      </c>
      <c r="AJ10" s="100">
        <v>0.812665</v>
      </c>
      <c r="AK10" s="100">
        <v>0.816552</v>
      </c>
      <c r="AL10" s="100">
        <v>0.792183</v>
      </c>
      <c r="AM10" s="100">
        <v>0.428944</v>
      </c>
      <c r="AN10" s="100">
        <v>0.611979</v>
      </c>
      <c r="AO10" s="98">
        <v>2360.1561048132317</v>
      </c>
      <c r="AP10" s="158">
        <v>1.0285805510000001</v>
      </c>
      <c r="AQ10" s="100">
        <v>0.05511811023622047</v>
      </c>
      <c r="AR10" s="100">
        <v>0.25925925925925924</v>
      </c>
      <c r="AS10" s="98">
        <v>780.5240661587065</v>
      </c>
      <c r="AT10" s="98">
        <v>390.2620330793533</v>
      </c>
      <c r="AU10" s="98" t="s">
        <v>561</v>
      </c>
      <c r="AV10" s="98">
        <v>408.84593941646534</v>
      </c>
      <c r="AW10" s="98">
        <v>576.1010964504738</v>
      </c>
      <c r="AX10" s="98">
        <v>576.1010964504738</v>
      </c>
      <c r="AY10" s="98">
        <v>1245.121724586508</v>
      </c>
      <c r="AZ10" s="98">
        <v>724.7723471473704</v>
      </c>
      <c r="BA10" s="100" t="s">
        <v>561</v>
      </c>
      <c r="BB10" s="100" t="s">
        <v>561</v>
      </c>
      <c r="BC10" s="100" t="s">
        <v>561</v>
      </c>
      <c r="BD10" s="158">
        <v>0.8574812317</v>
      </c>
      <c r="BE10" s="158">
        <v>1.223815689</v>
      </c>
      <c r="BF10" s="162">
        <v>758</v>
      </c>
      <c r="BG10" s="162">
        <v>725</v>
      </c>
      <c r="BH10" s="162">
        <v>1049</v>
      </c>
      <c r="BI10" s="162">
        <v>767</v>
      </c>
      <c r="BJ10" s="162">
        <v>384</v>
      </c>
      <c r="BK10" s="97"/>
      <c r="BL10" s="97"/>
      <c r="BM10" s="97"/>
      <c r="BN10" s="97"/>
    </row>
    <row r="11" spans="1:66" ht="12.75">
      <c r="A11" s="79" t="s">
        <v>542</v>
      </c>
      <c r="B11" s="79" t="s">
        <v>314</v>
      </c>
      <c r="C11" s="79" t="s">
        <v>152</v>
      </c>
      <c r="D11" s="99">
        <v>4372</v>
      </c>
      <c r="E11" s="99">
        <v>942</v>
      </c>
      <c r="F11" s="99" t="s">
        <v>348</v>
      </c>
      <c r="G11" s="99" t="s">
        <v>561</v>
      </c>
      <c r="H11" s="99">
        <v>14</v>
      </c>
      <c r="I11" s="99">
        <v>81</v>
      </c>
      <c r="J11" s="99">
        <v>408</v>
      </c>
      <c r="K11" s="99">
        <v>6</v>
      </c>
      <c r="L11" s="99">
        <v>680</v>
      </c>
      <c r="M11" s="99">
        <v>235</v>
      </c>
      <c r="N11" s="99">
        <v>169</v>
      </c>
      <c r="O11" s="99">
        <v>32</v>
      </c>
      <c r="P11" s="159">
        <v>32</v>
      </c>
      <c r="Q11" s="99">
        <v>6</v>
      </c>
      <c r="R11" s="99">
        <v>18</v>
      </c>
      <c r="S11" s="99">
        <v>13</v>
      </c>
      <c r="T11" s="99" t="s">
        <v>561</v>
      </c>
      <c r="U11" s="99" t="s">
        <v>561</v>
      </c>
      <c r="V11" s="99" t="s">
        <v>561</v>
      </c>
      <c r="W11" s="99">
        <v>16</v>
      </c>
      <c r="X11" s="99">
        <v>12</v>
      </c>
      <c r="Y11" s="99">
        <v>39</v>
      </c>
      <c r="Z11" s="99">
        <v>32</v>
      </c>
      <c r="AA11" s="99" t="s">
        <v>561</v>
      </c>
      <c r="AB11" s="99" t="s">
        <v>561</v>
      </c>
      <c r="AC11" s="99" t="s">
        <v>561</v>
      </c>
      <c r="AD11" s="98" t="s">
        <v>327</v>
      </c>
      <c r="AE11" s="100">
        <v>0.21546203110704484</v>
      </c>
      <c r="AF11" s="100">
        <v>0.13</v>
      </c>
      <c r="AG11" s="98" t="s">
        <v>561</v>
      </c>
      <c r="AH11" s="98">
        <v>320.2195791399817</v>
      </c>
      <c r="AI11" s="100">
        <v>0.019</v>
      </c>
      <c r="AJ11" s="100">
        <v>0.754159</v>
      </c>
      <c r="AK11" s="100">
        <v>0.666667</v>
      </c>
      <c r="AL11" s="100">
        <v>0.735931</v>
      </c>
      <c r="AM11" s="100">
        <v>0.408696</v>
      </c>
      <c r="AN11" s="100">
        <v>0.599291</v>
      </c>
      <c r="AO11" s="98">
        <v>731.9304666056724</v>
      </c>
      <c r="AP11" s="158">
        <v>0.3496326447</v>
      </c>
      <c r="AQ11" s="100">
        <v>0.1875</v>
      </c>
      <c r="AR11" s="100">
        <v>0.3333333333333333</v>
      </c>
      <c r="AS11" s="98">
        <v>297.34675205855444</v>
      </c>
      <c r="AT11" s="98" t="s">
        <v>561</v>
      </c>
      <c r="AU11" s="98" t="s">
        <v>561</v>
      </c>
      <c r="AV11" s="98" t="s">
        <v>561</v>
      </c>
      <c r="AW11" s="98">
        <v>365.9652333028362</v>
      </c>
      <c r="AX11" s="98">
        <v>274.4739249771272</v>
      </c>
      <c r="AY11" s="98">
        <v>892.0402561756633</v>
      </c>
      <c r="AZ11" s="98">
        <v>731.9304666056724</v>
      </c>
      <c r="BA11" s="100" t="s">
        <v>561</v>
      </c>
      <c r="BB11" s="100" t="s">
        <v>561</v>
      </c>
      <c r="BC11" s="100" t="s">
        <v>561</v>
      </c>
      <c r="BD11" s="158">
        <v>0.2391484642</v>
      </c>
      <c r="BE11" s="158">
        <v>0.4935769653</v>
      </c>
      <c r="BF11" s="162">
        <v>541</v>
      </c>
      <c r="BG11" s="162">
        <v>9</v>
      </c>
      <c r="BH11" s="162">
        <v>924</v>
      </c>
      <c r="BI11" s="162">
        <v>575</v>
      </c>
      <c r="BJ11" s="162">
        <v>282</v>
      </c>
      <c r="BK11" s="97"/>
      <c r="BL11" s="97"/>
      <c r="BM11" s="97"/>
      <c r="BN11" s="97"/>
    </row>
    <row r="12" spans="1:66" ht="12.75">
      <c r="A12" s="79" t="s">
        <v>511</v>
      </c>
      <c r="B12" s="79" t="s">
        <v>283</v>
      </c>
      <c r="C12" s="79" t="s">
        <v>152</v>
      </c>
      <c r="D12" s="99">
        <v>15768</v>
      </c>
      <c r="E12" s="99">
        <v>3533</v>
      </c>
      <c r="F12" s="99" t="s">
        <v>347</v>
      </c>
      <c r="G12" s="99">
        <v>96</v>
      </c>
      <c r="H12" s="99">
        <v>60</v>
      </c>
      <c r="I12" s="99">
        <v>281</v>
      </c>
      <c r="J12" s="99">
        <v>1996</v>
      </c>
      <c r="K12" s="99">
        <v>1919</v>
      </c>
      <c r="L12" s="99">
        <v>2898</v>
      </c>
      <c r="M12" s="99">
        <v>1081</v>
      </c>
      <c r="N12" s="99">
        <v>747</v>
      </c>
      <c r="O12" s="99">
        <v>447</v>
      </c>
      <c r="P12" s="159">
        <v>447</v>
      </c>
      <c r="Q12" s="99">
        <v>56</v>
      </c>
      <c r="R12" s="99">
        <v>121</v>
      </c>
      <c r="S12" s="99">
        <v>122</v>
      </c>
      <c r="T12" s="99">
        <v>68</v>
      </c>
      <c r="U12" s="99">
        <v>15</v>
      </c>
      <c r="V12" s="99">
        <v>85</v>
      </c>
      <c r="W12" s="99">
        <v>95</v>
      </c>
      <c r="X12" s="99">
        <v>69</v>
      </c>
      <c r="Y12" s="99">
        <v>211</v>
      </c>
      <c r="Z12" s="99">
        <v>157</v>
      </c>
      <c r="AA12" s="99" t="s">
        <v>561</v>
      </c>
      <c r="AB12" s="99" t="s">
        <v>561</v>
      </c>
      <c r="AC12" s="99" t="s">
        <v>561</v>
      </c>
      <c r="AD12" s="98" t="s">
        <v>327</v>
      </c>
      <c r="AE12" s="100">
        <v>0.22406139015728058</v>
      </c>
      <c r="AF12" s="100">
        <v>0.1</v>
      </c>
      <c r="AG12" s="98">
        <v>608.8280060882801</v>
      </c>
      <c r="AH12" s="98">
        <v>380.517503805175</v>
      </c>
      <c r="AI12" s="100">
        <v>0.018000000000000002</v>
      </c>
      <c r="AJ12" s="100">
        <v>0.826159</v>
      </c>
      <c r="AK12" s="100">
        <v>0.820085</v>
      </c>
      <c r="AL12" s="100">
        <v>0.769108</v>
      </c>
      <c r="AM12" s="100">
        <v>0.44376</v>
      </c>
      <c r="AN12" s="100">
        <v>0.637372</v>
      </c>
      <c r="AO12" s="98">
        <v>2834.855403348554</v>
      </c>
      <c r="AP12" s="158">
        <v>1.285045166</v>
      </c>
      <c r="AQ12" s="100">
        <v>0.12527964205816555</v>
      </c>
      <c r="AR12" s="100">
        <v>0.4628099173553719</v>
      </c>
      <c r="AS12" s="98">
        <v>773.7189244038559</v>
      </c>
      <c r="AT12" s="98">
        <v>431.2531709791984</v>
      </c>
      <c r="AU12" s="98">
        <v>95.12937595129375</v>
      </c>
      <c r="AV12" s="98">
        <v>539.066463723998</v>
      </c>
      <c r="AW12" s="98">
        <v>602.4860476915271</v>
      </c>
      <c r="AX12" s="98">
        <v>437.5951293759513</v>
      </c>
      <c r="AY12" s="98">
        <v>1338.1532217148656</v>
      </c>
      <c r="AZ12" s="98">
        <v>995.687468290208</v>
      </c>
      <c r="BA12" s="100" t="s">
        <v>561</v>
      </c>
      <c r="BB12" s="100" t="s">
        <v>561</v>
      </c>
      <c r="BC12" s="100" t="s">
        <v>561</v>
      </c>
      <c r="BD12" s="158">
        <v>1.168661041</v>
      </c>
      <c r="BE12" s="158">
        <v>1.409881897</v>
      </c>
      <c r="BF12" s="162">
        <v>2416</v>
      </c>
      <c r="BG12" s="162">
        <v>2340</v>
      </c>
      <c r="BH12" s="162">
        <v>3768</v>
      </c>
      <c r="BI12" s="162">
        <v>2436</v>
      </c>
      <c r="BJ12" s="162">
        <v>1172</v>
      </c>
      <c r="BK12" s="97"/>
      <c r="BL12" s="97"/>
      <c r="BM12" s="97"/>
      <c r="BN12" s="97"/>
    </row>
    <row r="13" spans="1:66" ht="12.75">
      <c r="A13" s="79" t="s">
        <v>547</v>
      </c>
      <c r="B13" s="79" t="s">
        <v>319</v>
      </c>
      <c r="C13" s="79" t="s">
        <v>152</v>
      </c>
      <c r="D13" s="99">
        <v>4611</v>
      </c>
      <c r="E13" s="99">
        <v>909</v>
      </c>
      <c r="F13" s="99" t="s">
        <v>347</v>
      </c>
      <c r="G13" s="99">
        <v>13</v>
      </c>
      <c r="H13" s="99">
        <v>10</v>
      </c>
      <c r="I13" s="99">
        <v>87</v>
      </c>
      <c r="J13" s="99">
        <v>592</v>
      </c>
      <c r="K13" s="99">
        <v>583</v>
      </c>
      <c r="L13" s="99">
        <v>891</v>
      </c>
      <c r="M13" s="99">
        <v>307</v>
      </c>
      <c r="N13" s="99">
        <v>225</v>
      </c>
      <c r="O13" s="99">
        <v>172</v>
      </c>
      <c r="P13" s="159">
        <v>172</v>
      </c>
      <c r="Q13" s="99">
        <v>9</v>
      </c>
      <c r="R13" s="99">
        <v>21</v>
      </c>
      <c r="S13" s="99">
        <v>37</v>
      </c>
      <c r="T13" s="99">
        <v>21</v>
      </c>
      <c r="U13" s="99" t="s">
        <v>561</v>
      </c>
      <c r="V13" s="99">
        <v>33</v>
      </c>
      <c r="W13" s="99">
        <v>35</v>
      </c>
      <c r="X13" s="99">
        <v>24</v>
      </c>
      <c r="Y13" s="99">
        <v>72</v>
      </c>
      <c r="Z13" s="99">
        <v>27</v>
      </c>
      <c r="AA13" s="99" t="s">
        <v>561</v>
      </c>
      <c r="AB13" s="99" t="s">
        <v>561</v>
      </c>
      <c r="AC13" s="99" t="s">
        <v>561</v>
      </c>
      <c r="AD13" s="98" t="s">
        <v>327</v>
      </c>
      <c r="AE13" s="100">
        <v>0.19713728041639558</v>
      </c>
      <c r="AF13" s="100">
        <v>0.12</v>
      </c>
      <c r="AG13" s="98">
        <v>281.93450444589024</v>
      </c>
      <c r="AH13" s="98">
        <v>216.8726957276079</v>
      </c>
      <c r="AI13" s="100">
        <v>0.019</v>
      </c>
      <c r="AJ13" s="100">
        <v>0.790387</v>
      </c>
      <c r="AK13" s="100">
        <v>0.797538</v>
      </c>
      <c r="AL13" s="100">
        <v>0.775457</v>
      </c>
      <c r="AM13" s="100">
        <v>0.41319</v>
      </c>
      <c r="AN13" s="100">
        <v>0.603217</v>
      </c>
      <c r="AO13" s="98">
        <v>3730.2103665148557</v>
      </c>
      <c r="AP13" s="158">
        <v>1.751011505</v>
      </c>
      <c r="AQ13" s="100">
        <v>0.05232558139534884</v>
      </c>
      <c r="AR13" s="100">
        <v>0.42857142857142855</v>
      </c>
      <c r="AS13" s="98">
        <v>802.4289741921492</v>
      </c>
      <c r="AT13" s="98">
        <v>455.43266102797656</v>
      </c>
      <c r="AU13" s="98" t="s">
        <v>561</v>
      </c>
      <c r="AV13" s="98">
        <v>715.6798959011061</v>
      </c>
      <c r="AW13" s="98">
        <v>759.0544350466276</v>
      </c>
      <c r="AX13" s="98">
        <v>520.4944697462589</v>
      </c>
      <c r="AY13" s="98">
        <v>1561.4834092387769</v>
      </c>
      <c r="AZ13" s="98">
        <v>585.5562784645413</v>
      </c>
      <c r="BA13" s="100" t="s">
        <v>561</v>
      </c>
      <c r="BB13" s="100" t="s">
        <v>561</v>
      </c>
      <c r="BC13" s="100" t="s">
        <v>561</v>
      </c>
      <c r="BD13" s="158">
        <v>1.499101715</v>
      </c>
      <c r="BE13" s="158">
        <v>2.033138123</v>
      </c>
      <c r="BF13" s="162">
        <v>749</v>
      </c>
      <c r="BG13" s="162">
        <v>731</v>
      </c>
      <c r="BH13" s="162">
        <v>1149</v>
      </c>
      <c r="BI13" s="162">
        <v>743</v>
      </c>
      <c r="BJ13" s="162">
        <v>373</v>
      </c>
      <c r="BK13" s="97"/>
      <c r="BL13" s="97"/>
      <c r="BM13" s="97"/>
      <c r="BN13" s="97"/>
    </row>
    <row r="14" spans="1:66" ht="12.75">
      <c r="A14" s="79" t="s">
        <v>528</v>
      </c>
      <c r="B14" s="79" t="s">
        <v>300</v>
      </c>
      <c r="C14" s="79" t="s">
        <v>152</v>
      </c>
      <c r="D14" s="99">
        <v>3007</v>
      </c>
      <c r="E14" s="99">
        <v>714</v>
      </c>
      <c r="F14" s="99" t="s">
        <v>349</v>
      </c>
      <c r="G14" s="99">
        <v>17</v>
      </c>
      <c r="H14" s="99" t="s">
        <v>561</v>
      </c>
      <c r="I14" s="99">
        <v>63</v>
      </c>
      <c r="J14" s="99">
        <v>402</v>
      </c>
      <c r="K14" s="99">
        <v>395</v>
      </c>
      <c r="L14" s="99">
        <v>601</v>
      </c>
      <c r="M14" s="99">
        <v>221</v>
      </c>
      <c r="N14" s="99">
        <v>161</v>
      </c>
      <c r="O14" s="99">
        <v>64</v>
      </c>
      <c r="P14" s="159">
        <v>64</v>
      </c>
      <c r="Q14" s="99">
        <v>7</v>
      </c>
      <c r="R14" s="99">
        <v>14</v>
      </c>
      <c r="S14" s="99">
        <v>23</v>
      </c>
      <c r="T14" s="99">
        <v>6</v>
      </c>
      <c r="U14" s="99" t="s">
        <v>561</v>
      </c>
      <c r="V14" s="99">
        <v>10</v>
      </c>
      <c r="W14" s="99">
        <v>15</v>
      </c>
      <c r="X14" s="99">
        <v>6</v>
      </c>
      <c r="Y14" s="99">
        <v>34</v>
      </c>
      <c r="Z14" s="99">
        <v>23</v>
      </c>
      <c r="AA14" s="99" t="s">
        <v>561</v>
      </c>
      <c r="AB14" s="99" t="s">
        <v>561</v>
      </c>
      <c r="AC14" s="99" t="s">
        <v>561</v>
      </c>
      <c r="AD14" s="98" t="s">
        <v>327</v>
      </c>
      <c r="AE14" s="100">
        <v>0.23744595942800134</v>
      </c>
      <c r="AF14" s="100">
        <v>0.08</v>
      </c>
      <c r="AG14" s="98">
        <v>565.3475224476222</v>
      </c>
      <c r="AH14" s="98" t="s">
        <v>561</v>
      </c>
      <c r="AI14" s="100">
        <v>0.021</v>
      </c>
      <c r="AJ14" s="100">
        <v>0.822086</v>
      </c>
      <c r="AK14" s="100">
        <v>0.829832</v>
      </c>
      <c r="AL14" s="100">
        <v>0.821038</v>
      </c>
      <c r="AM14" s="100">
        <v>0.434185</v>
      </c>
      <c r="AN14" s="100">
        <v>0.649194</v>
      </c>
      <c r="AO14" s="98">
        <v>2128.3671433322247</v>
      </c>
      <c r="AP14" s="158">
        <v>0.9389270019999999</v>
      </c>
      <c r="AQ14" s="100">
        <v>0.109375</v>
      </c>
      <c r="AR14" s="100">
        <v>0.5</v>
      </c>
      <c r="AS14" s="98">
        <v>764.8819421350183</v>
      </c>
      <c r="AT14" s="98">
        <v>199.53441968739608</v>
      </c>
      <c r="AU14" s="98" t="s">
        <v>561</v>
      </c>
      <c r="AV14" s="98">
        <v>332.5573661456601</v>
      </c>
      <c r="AW14" s="98">
        <v>498.8360492184902</v>
      </c>
      <c r="AX14" s="98">
        <v>199.53441968739608</v>
      </c>
      <c r="AY14" s="98">
        <v>1130.6950448952443</v>
      </c>
      <c r="AZ14" s="98">
        <v>764.8819421350183</v>
      </c>
      <c r="BA14" s="100" t="s">
        <v>561</v>
      </c>
      <c r="BB14" s="100" t="s">
        <v>561</v>
      </c>
      <c r="BC14" s="100" t="s">
        <v>561</v>
      </c>
      <c r="BD14" s="158">
        <v>0.7230882262999999</v>
      </c>
      <c r="BE14" s="158">
        <v>1.1989888</v>
      </c>
      <c r="BF14" s="162">
        <v>489</v>
      </c>
      <c r="BG14" s="162">
        <v>476</v>
      </c>
      <c r="BH14" s="162">
        <v>732</v>
      </c>
      <c r="BI14" s="162">
        <v>509</v>
      </c>
      <c r="BJ14" s="162">
        <v>248</v>
      </c>
      <c r="BK14" s="97"/>
      <c r="BL14" s="97"/>
      <c r="BM14" s="97"/>
      <c r="BN14" s="97"/>
    </row>
    <row r="15" spans="1:66" ht="12.75">
      <c r="A15" s="79" t="s">
        <v>519</v>
      </c>
      <c r="B15" s="79" t="s">
        <v>291</v>
      </c>
      <c r="C15" s="79" t="s">
        <v>152</v>
      </c>
      <c r="D15" s="99">
        <v>5346</v>
      </c>
      <c r="E15" s="99">
        <v>1134</v>
      </c>
      <c r="F15" s="99" t="s">
        <v>347</v>
      </c>
      <c r="G15" s="99">
        <v>27</v>
      </c>
      <c r="H15" s="99">
        <v>18</v>
      </c>
      <c r="I15" s="99">
        <v>108</v>
      </c>
      <c r="J15" s="99">
        <v>522</v>
      </c>
      <c r="K15" s="99" t="s">
        <v>561</v>
      </c>
      <c r="L15" s="99">
        <v>882</v>
      </c>
      <c r="M15" s="99">
        <v>270</v>
      </c>
      <c r="N15" s="99">
        <v>193</v>
      </c>
      <c r="O15" s="99">
        <v>50</v>
      </c>
      <c r="P15" s="159">
        <v>50</v>
      </c>
      <c r="Q15" s="99" t="s">
        <v>561</v>
      </c>
      <c r="R15" s="99">
        <v>17</v>
      </c>
      <c r="S15" s="99">
        <v>28</v>
      </c>
      <c r="T15" s="99" t="s">
        <v>561</v>
      </c>
      <c r="U15" s="99" t="s">
        <v>561</v>
      </c>
      <c r="V15" s="99" t="s">
        <v>561</v>
      </c>
      <c r="W15" s="99">
        <v>28</v>
      </c>
      <c r="X15" s="99">
        <v>16</v>
      </c>
      <c r="Y15" s="99">
        <v>31</v>
      </c>
      <c r="Z15" s="99">
        <v>22</v>
      </c>
      <c r="AA15" s="99" t="s">
        <v>561</v>
      </c>
      <c r="AB15" s="99" t="s">
        <v>561</v>
      </c>
      <c r="AC15" s="99" t="s">
        <v>561</v>
      </c>
      <c r="AD15" s="98" t="s">
        <v>327</v>
      </c>
      <c r="AE15" s="100">
        <v>0.21212121212121213</v>
      </c>
      <c r="AF15" s="100">
        <v>0.12</v>
      </c>
      <c r="AG15" s="98">
        <v>505.050505050505</v>
      </c>
      <c r="AH15" s="98">
        <v>336.7003367003367</v>
      </c>
      <c r="AI15" s="100">
        <v>0.02</v>
      </c>
      <c r="AJ15" s="100">
        <v>0.75</v>
      </c>
      <c r="AK15" s="100" t="s">
        <v>561</v>
      </c>
      <c r="AL15" s="100">
        <v>0.768963</v>
      </c>
      <c r="AM15" s="100">
        <v>0.430622</v>
      </c>
      <c r="AN15" s="100">
        <v>0.622581</v>
      </c>
      <c r="AO15" s="98">
        <v>935.2787130564908</v>
      </c>
      <c r="AP15" s="158">
        <v>0.44769207</v>
      </c>
      <c r="AQ15" s="100" t="s">
        <v>561</v>
      </c>
      <c r="AR15" s="100" t="s">
        <v>561</v>
      </c>
      <c r="AS15" s="98">
        <v>523.7560793116348</v>
      </c>
      <c r="AT15" s="98" t="s">
        <v>561</v>
      </c>
      <c r="AU15" s="98" t="s">
        <v>561</v>
      </c>
      <c r="AV15" s="98" t="s">
        <v>561</v>
      </c>
      <c r="AW15" s="98">
        <v>523.7560793116348</v>
      </c>
      <c r="AX15" s="98">
        <v>299.28918817807704</v>
      </c>
      <c r="AY15" s="98">
        <v>579.8728020950243</v>
      </c>
      <c r="AZ15" s="98">
        <v>411.52263374485597</v>
      </c>
      <c r="BA15" s="100" t="s">
        <v>561</v>
      </c>
      <c r="BB15" s="100" t="s">
        <v>561</v>
      </c>
      <c r="BC15" s="100" t="s">
        <v>561</v>
      </c>
      <c r="BD15" s="158">
        <v>0.33228569030000005</v>
      </c>
      <c r="BE15" s="158">
        <v>0.5902261733999999</v>
      </c>
      <c r="BF15" s="162">
        <v>696</v>
      </c>
      <c r="BG15" s="162" t="s">
        <v>561</v>
      </c>
      <c r="BH15" s="162">
        <v>1147</v>
      </c>
      <c r="BI15" s="162">
        <v>627</v>
      </c>
      <c r="BJ15" s="162">
        <v>310</v>
      </c>
      <c r="BK15" s="97"/>
      <c r="BL15" s="97"/>
      <c r="BM15" s="97"/>
      <c r="BN15" s="97"/>
    </row>
    <row r="16" spans="1:66" ht="12.75">
      <c r="A16" s="79" t="s">
        <v>514</v>
      </c>
      <c r="B16" s="79" t="s">
        <v>286</v>
      </c>
      <c r="C16" s="79" t="s">
        <v>152</v>
      </c>
      <c r="D16" s="99">
        <v>7299</v>
      </c>
      <c r="E16" s="99">
        <v>2312</v>
      </c>
      <c r="F16" s="99" t="s">
        <v>349</v>
      </c>
      <c r="G16" s="99">
        <v>64</v>
      </c>
      <c r="H16" s="99">
        <v>30</v>
      </c>
      <c r="I16" s="99">
        <v>217</v>
      </c>
      <c r="J16" s="99">
        <v>980</v>
      </c>
      <c r="K16" s="99">
        <v>12</v>
      </c>
      <c r="L16" s="99">
        <v>1242</v>
      </c>
      <c r="M16" s="99">
        <v>603</v>
      </c>
      <c r="N16" s="99">
        <v>447</v>
      </c>
      <c r="O16" s="99">
        <v>260</v>
      </c>
      <c r="P16" s="159">
        <v>260</v>
      </c>
      <c r="Q16" s="99">
        <v>22</v>
      </c>
      <c r="R16" s="99">
        <v>54</v>
      </c>
      <c r="S16" s="99">
        <v>52</v>
      </c>
      <c r="T16" s="99">
        <v>34</v>
      </c>
      <c r="U16" s="99" t="s">
        <v>561</v>
      </c>
      <c r="V16" s="99">
        <v>71</v>
      </c>
      <c r="W16" s="99">
        <v>57</v>
      </c>
      <c r="X16" s="99">
        <v>44</v>
      </c>
      <c r="Y16" s="99">
        <v>87</v>
      </c>
      <c r="Z16" s="99">
        <v>77</v>
      </c>
      <c r="AA16" s="99" t="s">
        <v>561</v>
      </c>
      <c r="AB16" s="99" t="s">
        <v>561</v>
      </c>
      <c r="AC16" s="99" t="s">
        <v>561</v>
      </c>
      <c r="AD16" s="98" t="s">
        <v>327</v>
      </c>
      <c r="AE16" s="100">
        <v>0.3167557199616386</v>
      </c>
      <c r="AF16" s="100">
        <v>0.07</v>
      </c>
      <c r="AG16" s="98">
        <v>876.8324428003837</v>
      </c>
      <c r="AH16" s="98">
        <v>411.0152075626798</v>
      </c>
      <c r="AI16" s="100">
        <v>0.03</v>
      </c>
      <c r="AJ16" s="100">
        <v>0.780255</v>
      </c>
      <c r="AK16" s="100">
        <v>0.521739</v>
      </c>
      <c r="AL16" s="100">
        <v>0.77625</v>
      </c>
      <c r="AM16" s="100">
        <v>0.465997</v>
      </c>
      <c r="AN16" s="100">
        <v>0.668161</v>
      </c>
      <c r="AO16" s="98">
        <v>3562.1317988765586</v>
      </c>
      <c r="AP16" s="158">
        <v>1.349983978</v>
      </c>
      <c r="AQ16" s="100">
        <v>0.08461538461538462</v>
      </c>
      <c r="AR16" s="100">
        <v>0.4074074074074074</v>
      </c>
      <c r="AS16" s="98">
        <v>712.4263597753117</v>
      </c>
      <c r="AT16" s="98">
        <v>465.8172352377038</v>
      </c>
      <c r="AU16" s="98" t="s">
        <v>561</v>
      </c>
      <c r="AV16" s="98">
        <v>972.7359912316756</v>
      </c>
      <c r="AW16" s="98">
        <v>780.9288943690916</v>
      </c>
      <c r="AX16" s="98">
        <v>602.8223044252637</v>
      </c>
      <c r="AY16" s="98">
        <v>1191.9441019317715</v>
      </c>
      <c r="AZ16" s="98">
        <v>1054.9390327442115</v>
      </c>
      <c r="BA16" s="100" t="s">
        <v>561</v>
      </c>
      <c r="BB16" s="100" t="s">
        <v>561</v>
      </c>
      <c r="BC16" s="100" t="s">
        <v>561</v>
      </c>
      <c r="BD16" s="158">
        <v>1.190862732</v>
      </c>
      <c r="BE16" s="158">
        <v>1.524445648</v>
      </c>
      <c r="BF16" s="162">
        <v>1256</v>
      </c>
      <c r="BG16" s="162">
        <v>23</v>
      </c>
      <c r="BH16" s="162">
        <v>1600</v>
      </c>
      <c r="BI16" s="162">
        <v>1294</v>
      </c>
      <c r="BJ16" s="162">
        <v>669</v>
      </c>
      <c r="BK16" s="97"/>
      <c r="BL16" s="97"/>
      <c r="BM16" s="97"/>
      <c r="BN16" s="97"/>
    </row>
    <row r="17" spans="1:66" ht="12.75">
      <c r="A17" s="79" t="s">
        <v>535</v>
      </c>
      <c r="B17" s="79" t="s">
        <v>307</v>
      </c>
      <c r="C17" s="79" t="s">
        <v>152</v>
      </c>
      <c r="D17" s="99">
        <v>7433</v>
      </c>
      <c r="E17" s="99">
        <v>1443</v>
      </c>
      <c r="F17" s="99" t="s">
        <v>347</v>
      </c>
      <c r="G17" s="99">
        <v>41</v>
      </c>
      <c r="H17" s="99">
        <v>20</v>
      </c>
      <c r="I17" s="99">
        <v>144</v>
      </c>
      <c r="J17" s="99">
        <v>136</v>
      </c>
      <c r="K17" s="99">
        <v>81</v>
      </c>
      <c r="L17" s="99">
        <v>1481</v>
      </c>
      <c r="M17" s="99">
        <v>435</v>
      </c>
      <c r="N17" s="99">
        <v>299</v>
      </c>
      <c r="O17" s="99">
        <v>136</v>
      </c>
      <c r="P17" s="159">
        <v>136</v>
      </c>
      <c r="Q17" s="99">
        <v>12</v>
      </c>
      <c r="R17" s="99">
        <v>29</v>
      </c>
      <c r="S17" s="99">
        <v>38</v>
      </c>
      <c r="T17" s="99">
        <v>6</v>
      </c>
      <c r="U17" s="99" t="s">
        <v>561</v>
      </c>
      <c r="V17" s="99">
        <v>31</v>
      </c>
      <c r="W17" s="99">
        <v>45</v>
      </c>
      <c r="X17" s="99">
        <v>48</v>
      </c>
      <c r="Y17" s="99">
        <v>80</v>
      </c>
      <c r="Z17" s="99">
        <v>53</v>
      </c>
      <c r="AA17" s="99" t="s">
        <v>561</v>
      </c>
      <c r="AB17" s="99" t="s">
        <v>561</v>
      </c>
      <c r="AC17" s="99" t="s">
        <v>561</v>
      </c>
      <c r="AD17" s="98" t="s">
        <v>327</v>
      </c>
      <c r="AE17" s="100">
        <v>0.19413426611058793</v>
      </c>
      <c r="AF17" s="100">
        <v>0.11</v>
      </c>
      <c r="AG17" s="98">
        <v>551.5942418942553</v>
      </c>
      <c r="AH17" s="98">
        <v>269.07036189963674</v>
      </c>
      <c r="AI17" s="100">
        <v>0.019</v>
      </c>
      <c r="AJ17" s="100">
        <v>0.126747</v>
      </c>
      <c r="AK17" s="100">
        <v>0.870968</v>
      </c>
      <c r="AL17" s="100">
        <v>0.779474</v>
      </c>
      <c r="AM17" s="100">
        <v>0.432836</v>
      </c>
      <c r="AN17" s="100">
        <v>0.620332</v>
      </c>
      <c r="AO17" s="98">
        <v>1829.67846091753</v>
      </c>
      <c r="AP17" s="158">
        <v>0.8890543365000001</v>
      </c>
      <c r="AQ17" s="100">
        <v>0.08823529411764706</v>
      </c>
      <c r="AR17" s="100">
        <v>0.41379310344827586</v>
      </c>
      <c r="AS17" s="98">
        <v>511.2336876093098</v>
      </c>
      <c r="AT17" s="98">
        <v>80.72110856989103</v>
      </c>
      <c r="AU17" s="98" t="s">
        <v>561</v>
      </c>
      <c r="AV17" s="98">
        <v>417.05906094443696</v>
      </c>
      <c r="AW17" s="98">
        <v>605.4083142741827</v>
      </c>
      <c r="AX17" s="98">
        <v>645.7688685591282</v>
      </c>
      <c r="AY17" s="98">
        <v>1076.281447598547</v>
      </c>
      <c r="AZ17" s="98">
        <v>713.0364590340374</v>
      </c>
      <c r="BA17" s="100" t="s">
        <v>561</v>
      </c>
      <c r="BB17" s="100" t="s">
        <v>561</v>
      </c>
      <c r="BC17" s="100" t="s">
        <v>561</v>
      </c>
      <c r="BD17" s="158">
        <v>0.7459196472</v>
      </c>
      <c r="BE17" s="158">
        <v>1.0516517639999998</v>
      </c>
      <c r="BF17" s="162">
        <v>1073</v>
      </c>
      <c r="BG17" s="162">
        <v>93</v>
      </c>
      <c r="BH17" s="162">
        <v>1900</v>
      </c>
      <c r="BI17" s="162">
        <v>1005</v>
      </c>
      <c r="BJ17" s="162">
        <v>482</v>
      </c>
      <c r="BK17" s="97"/>
      <c r="BL17" s="97"/>
      <c r="BM17" s="97"/>
      <c r="BN17" s="97"/>
    </row>
    <row r="18" spans="1:66" ht="12.75">
      <c r="A18" s="79" t="s">
        <v>539</v>
      </c>
      <c r="B18" s="79" t="s">
        <v>311</v>
      </c>
      <c r="C18" s="79" t="s">
        <v>152</v>
      </c>
      <c r="D18" s="99">
        <v>6762</v>
      </c>
      <c r="E18" s="99">
        <v>1561</v>
      </c>
      <c r="F18" s="99" t="s">
        <v>347</v>
      </c>
      <c r="G18" s="99">
        <v>36</v>
      </c>
      <c r="H18" s="99">
        <v>14</v>
      </c>
      <c r="I18" s="99">
        <v>113</v>
      </c>
      <c r="J18" s="99">
        <v>798</v>
      </c>
      <c r="K18" s="99">
        <v>10</v>
      </c>
      <c r="L18" s="99">
        <v>1272</v>
      </c>
      <c r="M18" s="99">
        <v>438</v>
      </c>
      <c r="N18" s="99">
        <v>320</v>
      </c>
      <c r="O18" s="99">
        <v>177</v>
      </c>
      <c r="P18" s="159">
        <v>177</v>
      </c>
      <c r="Q18" s="99">
        <v>13</v>
      </c>
      <c r="R18" s="99">
        <v>25</v>
      </c>
      <c r="S18" s="99">
        <v>48</v>
      </c>
      <c r="T18" s="99">
        <v>24</v>
      </c>
      <c r="U18" s="99" t="s">
        <v>561</v>
      </c>
      <c r="V18" s="99">
        <v>39</v>
      </c>
      <c r="W18" s="99">
        <v>34</v>
      </c>
      <c r="X18" s="99">
        <v>31</v>
      </c>
      <c r="Y18" s="99">
        <v>94</v>
      </c>
      <c r="Z18" s="99">
        <v>40</v>
      </c>
      <c r="AA18" s="99" t="s">
        <v>561</v>
      </c>
      <c r="AB18" s="99" t="s">
        <v>561</v>
      </c>
      <c r="AC18" s="99" t="s">
        <v>561</v>
      </c>
      <c r="AD18" s="98" t="s">
        <v>327</v>
      </c>
      <c r="AE18" s="100">
        <v>0.2308488612836439</v>
      </c>
      <c r="AF18" s="100">
        <v>0.1</v>
      </c>
      <c r="AG18" s="98">
        <v>532.3868677905945</v>
      </c>
      <c r="AH18" s="98">
        <v>207.0393374741201</v>
      </c>
      <c r="AI18" s="100">
        <v>0.017</v>
      </c>
      <c r="AJ18" s="100">
        <v>0.748593</v>
      </c>
      <c r="AK18" s="100">
        <v>0.625</v>
      </c>
      <c r="AL18" s="100">
        <v>0.775137</v>
      </c>
      <c r="AM18" s="100">
        <v>0.411268</v>
      </c>
      <c r="AN18" s="100">
        <v>0.613027</v>
      </c>
      <c r="AO18" s="98">
        <v>2617.5687666370895</v>
      </c>
      <c r="AP18" s="158">
        <v>1.173134689</v>
      </c>
      <c r="AQ18" s="100">
        <v>0.07344632768361582</v>
      </c>
      <c r="AR18" s="100">
        <v>0.52</v>
      </c>
      <c r="AS18" s="98">
        <v>709.849157054126</v>
      </c>
      <c r="AT18" s="98">
        <v>354.924578527063</v>
      </c>
      <c r="AU18" s="98" t="s">
        <v>561</v>
      </c>
      <c r="AV18" s="98">
        <v>576.7524401064774</v>
      </c>
      <c r="AW18" s="98">
        <v>502.8098195800059</v>
      </c>
      <c r="AX18" s="98">
        <v>458.444247264123</v>
      </c>
      <c r="AY18" s="98">
        <v>1390.1212658976633</v>
      </c>
      <c r="AZ18" s="98">
        <v>591.5409642117717</v>
      </c>
      <c r="BA18" s="100" t="s">
        <v>561</v>
      </c>
      <c r="BB18" s="100" t="s">
        <v>561</v>
      </c>
      <c r="BC18" s="100" t="s">
        <v>561</v>
      </c>
      <c r="BD18" s="158">
        <v>1.006669159</v>
      </c>
      <c r="BE18" s="158">
        <v>1.3592659</v>
      </c>
      <c r="BF18" s="162">
        <v>1066</v>
      </c>
      <c r="BG18" s="162">
        <v>16</v>
      </c>
      <c r="BH18" s="162">
        <v>1641</v>
      </c>
      <c r="BI18" s="162">
        <v>1065</v>
      </c>
      <c r="BJ18" s="162">
        <v>522</v>
      </c>
      <c r="BK18" s="97"/>
      <c r="BL18" s="97"/>
      <c r="BM18" s="97"/>
      <c r="BN18" s="97"/>
    </row>
    <row r="19" spans="1:66" ht="12.75">
      <c r="A19" s="79" t="s">
        <v>521</v>
      </c>
      <c r="B19" s="79" t="s">
        <v>293</v>
      </c>
      <c r="C19" s="79" t="s">
        <v>152</v>
      </c>
      <c r="D19" s="99">
        <v>4544</v>
      </c>
      <c r="E19" s="99">
        <v>1082</v>
      </c>
      <c r="F19" s="99" t="s">
        <v>347</v>
      </c>
      <c r="G19" s="99">
        <v>31</v>
      </c>
      <c r="H19" s="99">
        <v>17</v>
      </c>
      <c r="I19" s="99">
        <v>91</v>
      </c>
      <c r="J19" s="99">
        <v>479</v>
      </c>
      <c r="K19" s="99">
        <v>521</v>
      </c>
      <c r="L19" s="99">
        <v>861</v>
      </c>
      <c r="M19" s="99">
        <v>291</v>
      </c>
      <c r="N19" s="99">
        <v>215</v>
      </c>
      <c r="O19" s="99">
        <v>128</v>
      </c>
      <c r="P19" s="159">
        <v>128</v>
      </c>
      <c r="Q19" s="99">
        <v>16</v>
      </c>
      <c r="R19" s="99">
        <v>29</v>
      </c>
      <c r="S19" s="99">
        <v>40</v>
      </c>
      <c r="T19" s="99" t="s">
        <v>561</v>
      </c>
      <c r="U19" s="99" t="s">
        <v>561</v>
      </c>
      <c r="V19" s="99">
        <v>24</v>
      </c>
      <c r="W19" s="99">
        <v>25</v>
      </c>
      <c r="X19" s="99">
        <v>40</v>
      </c>
      <c r="Y19" s="99">
        <v>71</v>
      </c>
      <c r="Z19" s="99">
        <v>26</v>
      </c>
      <c r="AA19" s="99" t="s">
        <v>561</v>
      </c>
      <c r="AB19" s="99" t="s">
        <v>561</v>
      </c>
      <c r="AC19" s="99" t="s">
        <v>561</v>
      </c>
      <c r="AD19" s="98" t="s">
        <v>327</v>
      </c>
      <c r="AE19" s="100">
        <v>0.2381161971830986</v>
      </c>
      <c r="AF19" s="100">
        <v>0.09</v>
      </c>
      <c r="AG19" s="98">
        <v>682.2183098591549</v>
      </c>
      <c r="AH19" s="98">
        <v>374.11971830985914</v>
      </c>
      <c r="AI19" s="100">
        <v>0.02</v>
      </c>
      <c r="AJ19" s="100">
        <v>0.622887</v>
      </c>
      <c r="AK19" s="100">
        <v>0.898276</v>
      </c>
      <c r="AL19" s="100">
        <v>0.803172</v>
      </c>
      <c r="AM19" s="100">
        <v>0.393775</v>
      </c>
      <c r="AN19" s="100">
        <v>0.612536</v>
      </c>
      <c r="AO19" s="98">
        <v>2816.9014084507044</v>
      </c>
      <c r="AP19" s="158">
        <v>1.225289154</v>
      </c>
      <c r="AQ19" s="100">
        <v>0.125</v>
      </c>
      <c r="AR19" s="100">
        <v>0.5517241379310345</v>
      </c>
      <c r="AS19" s="98">
        <v>880.2816901408451</v>
      </c>
      <c r="AT19" s="98" t="s">
        <v>561</v>
      </c>
      <c r="AU19" s="98" t="s">
        <v>561</v>
      </c>
      <c r="AV19" s="98">
        <v>528.169014084507</v>
      </c>
      <c r="AW19" s="98">
        <v>550.1760563380282</v>
      </c>
      <c r="AX19" s="98">
        <v>880.2816901408451</v>
      </c>
      <c r="AY19" s="98">
        <v>1562.5</v>
      </c>
      <c r="AZ19" s="98">
        <v>572.1830985915493</v>
      </c>
      <c r="BA19" s="100" t="s">
        <v>561</v>
      </c>
      <c r="BB19" s="100" t="s">
        <v>561</v>
      </c>
      <c r="BC19" s="100" t="s">
        <v>561</v>
      </c>
      <c r="BD19" s="158">
        <v>1.022229385</v>
      </c>
      <c r="BE19" s="158">
        <v>1.4568728640000002</v>
      </c>
      <c r="BF19" s="162">
        <v>769</v>
      </c>
      <c r="BG19" s="162">
        <v>580</v>
      </c>
      <c r="BH19" s="162">
        <v>1072</v>
      </c>
      <c r="BI19" s="162">
        <v>739</v>
      </c>
      <c r="BJ19" s="162">
        <v>351</v>
      </c>
      <c r="BK19" s="97"/>
      <c r="BL19" s="97"/>
      <c r="BM19" s="97"/>
      <c r="BN19" s="97"/>
    </row>
    <row r="20" spans="1:66" ht="12.75">
      <c r="A20" s="79" t="s">
        <v>543</v>
      </c>
      <c r="B20" s="79" t="s">
        <v>315</v>
      </c>
      <c r="C20" s="79" t="s">
        <v>152</v>
      </c>
      <c r="D20" s="99">
        <v>3634</v>
      </c>
      <c r="E20" s="99">
        <v>887</v>
      </c>
      <c r="F20" s="99" t="s">
        <v>348</v>
      </c>
      <c r="G20" s="99">
        <v>18</v>
      </c>
      <c r="H20" s="99">
        <v>11</v>
      </c>
      <c r="I20" s="99">
        <v>96</v>
      </c>
      <c r="J20" s="99">
        <v>424</v>
      </c>
      <c r="K20" s="99" t="s">
        <v>561</v>
      </c>
      <c r="L20" s="99">
        <v>623</v>
      </c>
      <c r="M20" s="99">
        <v>225</v>
      </c>
      <c r="N20" s="99">
        <v>162</v>
      </c>
      <c r="O20" s="99">
        <v>61</v>
      </c>
      <c r="P20" s="159">
        <v>61</v>
      </c>
      <c r="Q20" s="99">
        <v>8</v>
      </c>
      <c r="R20" s="99">
        <v>19</v>
      </c>
      <c r="S20" s="99">
        <v>27</v>
      </c>
      <c r="T20" s="99" t="s">
        <v>561</v>
      </c>
      <c r="U20" s="99" t="s">
        <v>561</v>
      </c>
      <c r="V20" s="99" t="s">
        <v>561</v>
      </c>
      <c r="W20" s="99">
        <v>20</v>
      </c>
      <c r="X20" s="99">
        <v>16</v>
      </c>
      <c r="Y20" s="99">
        <v>71</v>
      </c>
      <c r="Z20" s="99">
        <v>42</v>
      </c>
      <c r="AA20" s="99" t="s">
        <v>561</v>
      </c>
      <c r="AB20" s="99" t="s">
        <v>561</v>
      </c>
      <c r="AC20" s="99" t="s">
        <v>561</v>
      </c>
      <c r="AD20" s="98" t="s">
        <v>327</v>
      </c>
      <c r="AE20" s="100">
        <v>0.24408365437534396</v>
      </c>
      <c r="AF20" s="100">
        <v>0.13</v>
      </c>
      <c r="AG20" s="98">
        <v>495.3219592735278</v>
      </c>
      <c r="AH20" s="98">
        <v>302.6967528893781</v>
      </c>
      <c r="AI20" s="100">
        <v>0.026000000000000002</v>
      </c>
      <c r="AJ20" s="100">
        <v>0.777982</v>
      </c>
      <c r="AK20" s="100" t="s">
        <v>561</v>
      </c>
      <c r="AL20" s="100">
        <v>0.774876</v>
      </c>
      <c r="AM20" s="100">
        <v>0.39823</v>
      </c>
      <c r="AN20" s="100">
        <v>0.580645</v>
      </c>
      <c r="AO20" s="98">
        <v>1678.591084204733</v>
      </c>
      <c r="AP20" s="158">
        <v>0.7474485779</v>
      </c>
      <c r="AQ20" s="100">
        <v>0.13114754098360656</v>
      </c>
      <c r="AR20" s="100">
        <v>0.42105263157894735</v>
      </c>
      <c r="AS20" s="98">
        <v>742.9829389102916</v>
      </c>
      <c r="AT20" s="98" t="s">
        <v>561</v>
      </c>
      <c r="AU20" s="98" t="s">
        <v>561</v>
      </c>
      <c r="AV20" s="98" t="s">
        <v>561</v>
      </c>
      <c r="AW20" s="98">
        <v>550.357732526142</v>
      </c>
      <c r="AX20" s="98">
        <v>440.2861860209136</v>
      </c>
      <c r="AY20" s="98">
        <v>1953.7699504678042</v>
      </c>
      <c r="AZ20" s="98">
        <v>1155.7512383048982</v>
      </c>
      <c r="BA20" s="100" t="s">
        <v>561</v>
      </c>
      <c r="BB20" s="100" t="s">
        <v>561</v>
      </c>
      <c r="BC20" s="100" t="s">
        <v>561</v>
      </c>
      <c r="BD20" s="158">
        <v>0.5717389297</v>
      </c>
      <c r="BE20" s="158">
        <v>0.9601289368</v>
      </c>
      <c r="BF20" s="162">
        <v>545</v>
      </c>
      <c r="BG20" s="162" t="s">
        <v>561</v>
      </c>
      <c r="BH20" s="162">
        <v>804</v>
      </c>
      <c r="BI20" s="162">
        <v>565</v>
      </c>
      <c r="BJ20" s="162">
        <v>279</v>
      </c>
      <c r="BK20" s="97"/>
      <c r="BL20" s="97"/>
      <c r="BM20" s="97"/>
      <c r="BN20" s="97"/>
    </row>
    <row r="21" spans="1:66" ht="12.75">
      <c r="A21" s="79" t="s">
        <v>541</v>
      </c>
      <c r="B21" s="79" t="s">
        <v>313</v>
      </c>
      <c r="C21" s="79" t="s">
        <v>152</v>
      </c>
      <c r="D21" s="99">
        <v>5101</v>
      </c>
      <c r="E21" s="99">
        <v>1048</v>
      </c>
      <c r="F21" s="99" t="s">
        <v>348</v>
      </c>
      <c r="G21" s="99">
        <v>18</v>
      </c>
      <c r="H21" s="99">
        <v>19</v>
      </c>
      <c r="I21" s="99">
        <v>77</v>
      </c>
      <c r="J21" s="99">
        <v>538</v>
      </c>
      <c r="K21" s="99">
        <v>7</v>
      </c>
      <c r="L21" s="99">
        <v>956</v>
      </c>
      <c r="M21" s="99">
        <v>285</v>
      </c>
      <c r="N21" s="99">
        <v>200</v>
      </c>
      <c r="O21" s="99">
        <v>86</v>
      </c>
      <c r="P21" s="159">
        <v>86</v>
      </c>
      <c r="Q21" s="99" t="s">
        <v>561</v>
      </c>
      <c r="R21" s="99">
        <v>10</v>
      </c>
      <c r="S21" s="99">
        <v>25</v>
      </c>
      <c r="T21" s="99">
        <v>14</v>
      </c>
      <c r="U21" s="99">
        <v>7</v>
      </c>
      <c r="V21" s="99">
        <v>9</v>
      </c>
      <c r="W21" s="99">
        <v>38</v>
      </c>
      <c r="X21" s="99">
        <v>21</v>
      </c>
      <c r="Y21" s="99">
        <v>58</v>
      </c>
      <c r="Z21" s="99">
        <v>35</v>
      </c>
      <c r="AA21" s="99" t="s">
        <v>561</v>
      </c>
      <c r="AB21" s="99" t="s">
        <v>561</v>
      </c>
      <c r="AC21" s="99" t="s">
        <v>561</v>
      </c>
      <c r="AD21" s="98" t="s">
        <v>327</v>
      </c>
      <c r="AE21" s="100">
        <v>0.20544991178200353</v>
      </c>
      <c r="AF21" s="100">
        <v>0.13</v>
      </c>
      <c r="AG21" s="98">
        <v>352.8719858851206</v>
      </c>
      <c r="AH21" s="98">
        <v>372.4759851009606</v>
      </c>
      <c r="AI21" s="100">
        <v>0.015</v>
      </c>
      <c r="AJ21" s="100">
        <v>0.79822</v>
      </c>
      <c r="AK21" s="100">
        <v>0.636364</v>
      </c>
      <c r="AL21" s="100">
        <v>0.812234</v>
      </c>
      <c r="AM21" s="100">
        <v>0.424107</v>
      </c>
      <c r="AN21" s="100">
        <v>0.613497</v>
      </c>
      <c r="AO21" s="98">
        <v>1685.9439325622427</v>
      </c>
      <c r="AP21" s="158">
        <v>0.810585022</v>
      </c>
      <c r="AQ21" s="100" t="s">
        <v>561</v>
      </c>
      <c r="AR21" s="100" t="s">
        <v>561</v>
      </c>
      <c r="AS21" s="98">
        <v>490.0999803960008</v>
      </c>
      <c r="AT21" s="98">
        <v>274.45598902176044</v>
      </c>
      <c r="AU21" s="98">
        <v>137.22799451088022</v>
      </c>
      <c r="AV21" s="98">
        <v>176.4359929425603</v>
      </c>
      <c r="AW21" s="98">
        <v>744.9519702019212</v>
      </c>
      <c r="AX21" s="98">
        <v>411.68398353264064</v>
      </c>
      <c r="AY21" s="98">
        <v>1137.031954518722</v>
      </c>
      <c r="AZ21" s="98">
        <v>686.1399725544011</v>
      </c>
      <c r="BA21" s="100" t="s">
        <v>561</v>
      </c>
      <c r="BB21" s="100" t="s">
        <v>561</v>
      </c>
      <c r="BC21" s="100" t="s">
        <v>561</v>
      </c>
      <c r="BD21" s="158">
        <v>0.6483634186</v>
      </c>
      <c r="BE21" s="158">
        <v>1.001065979</v>
      </c>
      <c r="BF21" s="162">
        <v>674</v>
      </c>
      <c r="BG21" s="162">
        <v>11</v>
      </c>
      <c r="BH21" s="162">
        <v>1177</v>
      </c>
      <c r="BI21" s="162">
        <v>672</v>
      </c>
      <c r="BJ21" s="162">
        <v>326</v>
      </c>
      <c r="BK21" s="97"/>
      <c r="BL21" s="97"/>
      <c r="BM21" s="97"/>
      <c r="BN21" s="97"/>
    </row>
    <row r="22" spans="1:66" ht="12.75">
      <c r="A22" s="79" t="s">
        <v>529</v>
      </c>
      <c r="B22" s="79" t="s">
        <v>301</v>
      </c>
      <c r="C22" s="79" t="s">
        <v>152</v>
      </c>
      <c r="D22" s="99">
        <v>7311</v>
      </c>
      <c r="E22" s="99">
        <v>1589</v>
      </c>
      <c r="F22" s="99" t="s">
        <v>347</v>
      </c>
      <c r="G22" s="99">
        <v>24</v>
      </c>
      <c r="H22" s="99">
        <v>17</v>
      </c>
      <c r="I22" s="99">
        <v>151</v>
      </c>
      <c r="J22" s="99">
        <v>785</v>
      </c>
      <c r="K22" s="99">
        <v>6</v>
      </c>
      <c r="L22" s="99">
        <v>1313</v>
      </c>
      <c r="M22" s="99">
        <v>359</v>
      </c>
      <c r="N22" s="99">
        <v>260</v>
      </c>
      <c r="O22" s="99">
        <v>87</v>
      </c>
      <c r="P22" s="159">
        <v>87</v>
      </c>
      <c r="Q22" s="99">
        <v>17</v>
      </c>
      <c r="R22" s="99">
        <v>27</v>
      </c>
      <c r="S22" s="99">
        <v>38</v>
      </c>
      <c r="T22" s="99">
        <v>10</v>
      </c>
      <c r="U22" s="99" t="s">
        <v>561</v>
      </c>
      <c r="V22" s="99">
        <v>6</v>
      </c>
      <c r="W22" s="99">
        <v>45</v>
      </c>
      <c r="X22" s="99">
        <v>32</v>
      </c>
      <c r="Y22" s="99">
        <v>75</v>
      </c>
      <c r="Z22" s="99">
        <v>38</v>
      </c>
      <c r="AA22" s="99" t="s">
        <v>561</v>
      </c>
      <c r="AB22" s="99" t="s">
        <v>561</v>
      </c>
      <c r="AC22" s="99" t="s">
        <v>561</v>
      </c>
      <c r="AD22" s="98" t="s">
        <v>327</v>
      </c>
      <c r="AE22" s="100">
        <v>0.21734372862809465</v>
      </c>
      <c r="AF22" s="100">
        <v>0.11</v>
      </c>
      <c r="AG22" s="98">
        <v>328.27246614690193</v>
      </c>
      <c r="AH22" s="98">
        <v>232.52633018738888</v>
      </c>
      <c r="AI22" s="100">
        <v>0.021</v>
      </c>
      <c r="AJ22" s="100">
        <v>0.767351</v>
      </c>
      <c r="AK22" s="100">
        <v>0.428571</v>
      </c>
      <c r="AL22" s="100">
        <v>0.813003</v>
      </c>
      <c r="AM22" s="100">
        <v>0.372407</v>
      </c>
      <c r="AN22" s="100">
        <v>0.570175</v>
      </c>
      <c r="AO22" s="98">
        <v>1189.9876897825195</v>
      </c>
      <c r="AP22" s="158">
        <v>0.5572913361</v>
      </c>
      <c r="AQ22" s="100">
        <v>0.19540229885057472</v>
      </c>
      <c r="AR22" s="100">
        <v>0.6296296296296297</v>
      </c>
      <c r="AS22" s="98">
        <v>519.7647380659281</v>
      </c>
      <c r="AT22" s="98">
        <v>136.7801942278758</v>
      </c>
      <c r="AU22" s="98" t="s">
        <v>561</v>
      </c>
      <c r="AV22" s="98">
        <v>82.06811653672548</v>
      </c>
      <c r="AW22" s="98">
        <v>615.5108740254411</v>
      </c>
      <c r="AX22" s="98">
        <v>437.69662152920256</v>
      </c>
      <c r="AY22" s="98">
        <v>1025.8514567090685</v>
      </c>
      <c r="AZ22" s="98">
        <v>519.7647380659281</v>
      </c>
      <c r="BA22" s="100" t="s">
        <v>561</v>
      </c>
      <c r="BB22" s="100" t="s">
        <v>561</v>
      </c>
      <c r="BC22" s="100" t="s">
        <v>561</v>
      </c>
      <c r="BD22" s="158">
        <v>0.44636749270000003</v>
      </c>
      <c r="BE22" s="158">
        <v>0.6874167633</v>
      </c>
      <c r="BF22" s="162">
        <v>1023</v>
      </c>
      <c r="BG22" s="162">
        <v>14</v>
      </c>
      <c r="BH22" s="162">
        <v>1615</v>
      </c>
      <c r="BI22" s="162">
        <v>964</v>
      </c>
      <c r="BJ22" s="162">
        <v>456</v>
      </c>
      <c r="BK22" s="97"/>
      <c r="BL22" s="97"/>
      <c r="BM22" s="97"/>
      <c r="BN22" s="97"/>
    </row>
    <row r="23" spans="1:66" ht="12.75">
      <c r="A23" s="79" t="s">
        <v>532</v>
      </c>
      <c r="B23" s="79" t="s">
        <v>304</v>
      </c>
      <c r="C23" s="79" t="s">
        <v>152</v>
      </c>
      <c r="D23" s="99">
        <v>3012</v>
      </c>
      <c r="E23" s="99">
        <v>717</v>
      </c>
      <c r="F23" s="99" t="s">
        <v>348</v>
      </c>
      <c r="G23" s="99">
        <v>19</v>
      </c>
      <c r="H23" s="99">
        <v>12</v>
      </c>
      <c r="I23" s="99">
        <v>65</v>
      </c>
      <c r="J23" s="99">
        <v>389</v>
      </c>
      <c r="K23" s="99">
        <v>379</v>
      </c>
      <c r="L23" s="99">
        <v>502</v>
      </c>
      <c r="M23" s="99">
        <v>194</v>
      </c>
      <c r="N23" s="99">
        <v>135</v>
      </c>
      <c r="O23" s="99">
        <v>31</v>
      </c>
      <c r="P23" s="159">
        <v>31</v>
      </c>
      <c r="Q23" s="99" t="s">
        <v>561</v>
      </c>
      <c r="R23" s="99">
        <v>13</v>
      </c>
      <c r="S23" s="99">
        <v>9</v>
      </c>
      <c r="T23" s="99" t="s">
        <v>561</v>
      </c>
      <c r="U23" s="99" t="s">
        <v>561</v>
      </c>
      <c r="V23" s="99">
        <v>13</v>
      </c>
      <c r="W23" s="99">
        <v>17</v>
      </c>
      <c r="X23" s="99">
        <v>10</v>
      </c>
      <c r="Y23" s="99">
        <v>18</v>
      </c>
      <c r="Z23" s="99">
        <v>18</v>
      </c>
      <c r="AA23" s="99" t="s">
        <v>561</v>
      </c>
      <c r="AB23" s="99" t="s">
        <v>561</v>
      </c>
      <c r="AC23" s="99" t="s">
        <v>561</v>
      </c>
      <c r="AD23" s="98" t="s">
        <v>327</v>
      </c>
      <c r="AE23" s="100">
        <v>0.23804780876494025</v>
      </c>
      <c r="AF23" s="100">
        <v>0.16</v>
      </c>
      <c r="AG23" s="98">
        <v>630.8100929614874</v>
      </c>
      <c r="AH23" s="98">
        <v>398.40637450199205</v>
      </c>
      <c r="AI23" s="100">
        <v>0.022000000000000002</v>
      </c>
      <c r="AJ23" s="100">
        <v>0.792261</v>
      </c>
      <c r="AK23" s="100">
        <v>0.806383</v>
      </c>
      <c r="AL23" s="100">
        <v>0.750374</v>
      </c>
      <c r="AM23" s="100">
        <v>0.382643</v>
      </c>
      <c r="AN23" s="100">
        <v>0.572034</v>
      </c>
      <c r="AO23" s="98">
        <v>1029.2164674634794</v>
      </c>
      <c r="AP23" s="158">
        <v>0.46753784179999996</v>
      </c>
      <c r="AQ23" s="100" t="s">
        <v>561</v>
      </c>
      <c r="AR23" s="100" t="s">
        <v>561</v>
      </c>
      <c r="AS23" s="98">
        <v>298.804780876494</v>
      </c>
      <c r="AT23" s="98" t="s">
        <v>561</v>
      </c>
      <c r="AU23" s="98" t="s">
        <v>561</v>
      </c>
      <c r="AV23" s="98">
        <v>431.6069057104914</v>
      </c>
      <c r="AW23" s="98">
        <v>564.4090305444887</v>
      </c>
      <c r="AX23" s="98">
        <v>332.00531208499336</v>
      </c>
      <c r="AY23" s="98">
        <v>597.609561752988</v>
      </c>
      <c r="AZ23" s="98">
        <v>597.609561752988</v>
      </c>
      <c r="BA23" s="100" t="s">
        <v>561</v>
      </c>
      <c r="BB23" s="100" t="s">
        <v>561</v>
      </c>
      <c r="BC23" s="100" t="s">
        <v>561</v>
      </c>
      <c r="BD23" s="158">
        <v>0.31766927720000004</v>
      </c>
      <c r="BE23" s="158">
        <v>0.6636326599</v>
      </c>
      <c r="BF23" s="162">
        <v>491</v>
      </c>
      <c r="BG23" s="162">
        <v>470</v>
      </c>
      <c r="BH23" s="162">
        <v>669</v>
      </c>
      <c r="BI23" s="162">
        <v>507</v>
      </c>
      <c r="BJ23" s="162">
        <v>236</v>
      </c>
      <c r="BK23" s="97"/>
      <c r="BL23" s="97"/>
      <c r="BM23" s="97"/>
      <c r="BN23" s="97"/>
    </row>
    <row r="24" spans="1:66" ht="12.75">
      <c r="A24" s="79" t="s">
        <v>549</v>
      </c>
      <c r="B24" s="79" t="s">
        <v>321</v>
      </c>
      <c r="C24" s="79" t="s">
        <v>152</v>
      </c>
      <c r="D24" s="99">
        <v>3836</v>
      </c>
      <c r="E24" s="99">
        <v>849</v>
      </c>
      <c r="F24" s="99" t="s">
        <v>347</v>
      </c>
      <c r="G24" s="99">
        <v>17</v>
      </c>
      <c r="H24" s="99">
        <v>14</v>
      </c>
      <c r="I24" s="99">
        <v>95</v>
      </c>
      <c r="J24" s="99">
        <v>480</v>
      </c>
      <c r="K24" s="99">
        <v>471</v>
      </c>
      <c r="L24" s="99">
        <v>737</v>
      </c>
      <c r="M24" s="99">
        <v>223</v>
      </c>
      <c r="N24" s="99">
        <v>165</v>
      </c>
      <c r="O24" s="99">
        <v>125</v>
      </c>
      <c r="P24" s="159">
        <v>125</v>
      </c>
      <c r="Q24" s="99">
        <v>9</v>
      </c>
      <c r="R24" s="99">
        <v>25</v>
      </c>
      <c r="S24" s="99">
        <v>44</v>
      </c>
      <c r="T24" s="99">
        <v>13</v>
      </c>
      <c r="U24" s="99">
        <v>11</v>
      </c>
      <c r="V24" s="99">
        <v>22</v>
      </c>
      <c r="W24" s="99">
        <v>25</v>
      </c>
      <c r="X24" s="99">
        <v>38</v>
      </c>
      <c r="Y24" s="99">
        <v>66</v>
      </c>
      <c r="Z24" s="99">
        <v>32</v>
      </c>
      <c r="AA24" s="99" t="s">
        <v>561</v>
      </c>
      <c r="AB24" s="99" t="s">
        <v>561</v>
      </c>
      <c r="AC24" s="99" t="s">
        <v>561</v>
      </c>
      <c r="AD24" s="98" t="s">
        <v>327</v>
      </c>
      <c r="AE24" s="100">
        <v>0.2213242961418144</v>
      </c>
      <c r="AF24" s="100">
        <v>0.09</v>
      </c>
      <c r="AG24" s="98">
        <v>443.16996871741395</v>
      </c>
      <c r="AH24" s="98">
        <v>364.963503649635</v>
      </c>
      <c r="AI24" s="100">
        <v>0.025</v>
      </c>
      <c r="AJ24" s="100">
        <v>0.80402</v>
      </c>
      <c r="AK24" s="100">
        <v>0.814879</v>
      </c>
      <c r="AL24" s="100">
        <v>0.829021</v>
      </c>
      <c r="AM24" s="100">
        <v>0.385813</v>
      </c>
      <c r="AN24" s="100">
        <v>0.576923</v>
      </c>
      <c r="AO24" s="98">
        <v>3258.602711157456</v>
      </c>
      <c r="AP24" s="158">
        <v>1.454473724</v>
      </c>
      <c r="AQ24" s="100">
        <v>0.072</v>
      </c>
      <c r="AR24" s="100">
        <v>0.36</v>
      </c>
      <c r="AS24" s="98">
        <v>1147.0281543274243</v>
      </c>
      <c r="AT24" s="98">
        <v>338.8946819603754</v>
      </c>
      <c r="AU24" s="98">
        <v>286.7570385818561</v>
      </c>
      <c r="AV24" s="98">
        <v>573.5140771637122</v>
      </c>
      <c r="AW24" s="98">
        <v>651.7205422314911</v>
      </c>
      <c r="AX24" s="98">
        <v>990.6152241918666</v>
      </c>
      <c r="AY24" s="98">
        <v>1720.5422314911366</v>
      </c>
      <c r="AZ24" s="98">
        <v>834.2022940563087</v>
      </c>
      <c r="BA24" s="101" t="s">
        <v>561</v>
      </c>
      <c r="BB24" s="101" t="s">
        <v>561</v>
      </c>
      <c r="BC24" s="101" t="s">
        <v>561</v>
      </c>
      <c r="BD24" s="158">
        <v>1.210691147</v>
      </c>
      <c r="BE24" s="158">
        <v>1.7329397579999999</v>
      </c>
      <c r="BF24" s="162">
        <v>597</v>
      </c>
      <c r="BG24" s="162">
        <v>578</v>
      </c>
      <c r="BH24" s="162">
        <v>889</v>
      </c>
      <c r="BI24" s="162">
        <v>578</v>
      </c>
      <c r="BJ24" s="162">
        <v>286</v>
      </c>
      <c r="BK24" s="97"/>
      <c r="BL24" s="97"/>
      <c r="BM24" s="97"/>
      <c r="BN24" s="97"/>
    </row>
    <row r="25" spans="1:66" ht="12.75">
      <c r="A25" s="79" t="s">
        <v>524</v>
      </c>
      <c r="B25" s="79" t="s">
        <v>296</v>
      </c>
      <c r="C25" s="79" t="s">
        <v>152</v>
      </c>
      <c r="D25" s="99">
        <v>3007</v>
      </c>
      <c r="E25" s="99">
        <v>665</v>
      </c>
      <c r="F25" s="99" t="s">
        <v>349</v>
      </c>
      <c r="G25" s="99">
        <v>13</v>
      </c>
      <c r="H25" s="99">
        <v>9</v>
      </c>
      <c r="I25" s="99">
        <v>61</v>
      </c>
      <c r="J25" s="99">
        <v>376</v>
      </c>
      <c r="K25" s="99" t="s">
        <v>561</v>
      </c>
      <c r="L25" s="99">
        <v>566</v>
      </c>
      <c r="M25" s="99">
        <v>184</v>
      </c>
      <c r="N25" s="99">
        <v>142</v>
      </c>
      <c r="O25" s="99">
        <v>110</v>
      </c>
      <c r="P25" s="159">
        <v>110</v>
      </c>
      <c r="Q25" s="99" t="s">
        <v>561</v>
      </c>
      <c r="R25" s="99">
        <v>13</v>
      </c>
      <c r="S25" s="99">
        <v>13</v>
      </c>
      <c r="T25" s="99">
        <v>10</v>
      </c>
      <c r="U25" s="99" t="s">
        <v>561</v>
      </c>
      <c r="V25" s="99">
        <v>40</v>
      </c>
      <c r="W25" s="99">
        <v>27</v>
      </c>
      <c r="X25" s="99">
        <v>13</v>
      </c>
      <c r="Y25" s="99">
        <v>56</v>
      </c>
      <c r="Z25" s="99">
        <v>17</v>
      </c>
      <c r="AA25" s="99" t="s">
        <v>561</v>
      </c>
      <c r="AB25" s="99" t="s">
        <v>561</v>
      </c>
      <c r="AC25" s="99" t="s">
        <v>561</v>
      </c>
      <c r="AD25" s="98" t="s">
        <v>327</v>
      </c>
      <c r="AE25" s="100">
        <v>0.22115064848686397</v>
      </c>
      <c r="AF25" s="100">
        <v>0.06</v>
      </c>
      <c r="AG25" s="98">
        <v>432.32457598935815</v>
      </c>
      <c r="AH25" s="98">
        <v>299.30162953109414</v>
      </c>
      <c r="AI25" s="100">
        <v>0.02</v>
      </c>
      <c r="AJ25" s="100">
        <v>0.793249</v>
      </c>
      <c r="AK25" s="100" t="s">
        <v>561</v>
      </c>
      <c r="AL25" s="100">
        <v>0.832353</v>
      </c>
      <c r="AM25" s="100">
        <v>0.401747</v>
      </c>
      <c r="AN25" s="100">
        <v>0.633929</v>
      </c>
      <c r="AO25" s="98">
        <v>3658.1310276022614</v>
      </c>
      <c r="AP25" s="158">
        <v>1.640782013</v>
      </c>
      <c r="AQ25" s="100" t="s">
        <v>561</v>
      </c>
      <c r="AR25" s="100" t="s">
        <v>561</v>
      </c>
      <c r="AS25" s="98">
        <v>432.32457598935815</v>
      </c>
      <c r="AT25" s="98">
        <v>332.5573661456601</v>
      </c>
      <c r="AU25" s="98" t="s">
        <v>561</v>
      </c>
      <c r="AV25" s="98">
        <v>1330.2294645826405</v>
      </c>
      <c r="AW25" s="98">
        <v>897.9048885932823</v>
      </c>
      <c r="AX25" s="98">
        <v>432.32457598935815</v>
      </c>
      <c r="AY25" s="98">
        <v>1862.3212504156968</v>
      </c>
      <c r="AZ25" s="98">
        <v>565.3475224476222</v>
      </c>
      <c r="BA25" s="100" t="s">
        <v>561</v>
      </c>
      <c r="BB25" s="100" t="s">
        <v>561</v>
      </c>
      <c r="BC25" s="100" t="s">
        <v>561</v>
      </c>
      <c r="BD25" s="158">
        <v>1.348523254</v>
      </c>
      <c r="BE25" s="158">
        <v>1.9775859070000001</v>
      </c>
      <c r="BF25" s="162">
        <v>474</v>
      </c>
      <c r="BG25" s="162" t="s">
        <v>561</v>
      </c>
      <c r="BH25" s="162">
        <v>680</v>
      </c>
      <c r="BI25" s="162">
        <v>458</v>
      </c>
      <c r="BJ25" s="162">
        <v>224</v>
      </c>
      <c r="BK25" s="97"/>
      <c r="BL25" s="97"/>
      <c r="BM25" s="97"/>
      <c r="BN25" s="97"/>
    </row>
    <row r="26" spans="1:66" ht="12.75">
      <c r="A26" s="79" t="s">
        <v>540</v>
      </c>
      <c r="B26" s="79" t="s">
        <v>312</v>
      </c>
      <c r="C26" s="79" t="s">
        <v>152</v>
      </c>
      <c r="D26" s="99">
        <v>7642</v>
      </c>
      <c r="E26" s="99">
        <v>1892</v>
      </c>
      <c r="F26" s="99" t="s">
        <v>347</v>
      </c>
      <c r="G26" s="99">
        <v>36</v>
      </c>
      <c r="H26" s="99">
        <v>20</v>
      </c>
      <c r="I26" s="99">
        <v>187</v>
      </c>
      <c r="J26" s="99">
        <v>836</v>
      </c>
      <c r="K26" s="99">
        <v>42</v>
      </c>
      <c r="L26" s="99">
        <v>1408</v>
      </c>
      <c r="M26" s="99">
        <v>427</v>
      </c>
      <c r="N26" s="99">
        <v>309</v>
      </c>
      <c r="O26" s="99">
        <v>193</v>
      </c>
      <c r="P26" s="159">
        <v>193</v>
      </c>
      <c r="Q26" s="99">
        <v>16</v>
      </c>
      <c r="R26" s="99">
        <v>38</v>
      </c>
      <c r="S26" s="99">
        <v>45</v>
      </c>
      <c r="T26" s="99">
        <v>33</v>
      </c>
      <c r="U26" s="99" t="s">
        <v>561</v>
      </c>
      <c r="V26" s="99">
        <v>28</v>
      </c>
      <c r="W26" s="99">
        <v>50</v>
      </c>
      <c r="X26" s="99">
        <v>42</v>
      </c>
      <c r="Y26" s="99">
        <v>102</v>
      </c>
      <c r="Z26" s="99">
        <v>69</v>
      </c>
      <c r="AA26" s="99" t="s">
        <v>561</v>
      </c>
      <c r="AB26" s="99" t="s">
        <v>561</v>
      </c>
      <c r="AC26" s="99" t="s">
        <v>561</v>
      </c>
      <c r="AD26" s="98" t="s">
        <v>327</v>
      </c>
      <c r="AE26" s="100">
        <v>0.24757916775713165</v>
      </c>
      <c r="AF26" s="100">
        <v>0.12</v>
      </c>
      <c r="AG26" s="98">
        <v>471.0808688824915</v>
      </c>
      <c r="AH26" s="98">
        <v>261.7115938236064</v>
      </c>
      <c r="AI26" s="100">
        <v>0.024</v>
      </c>
      <c r="AJ26" s="100">
        <v>0.732691</v>
      </c>
      <c r="AK26" s="100">
        <v>0.677419</v>
      </c>
      <c r="AL26" s="100">
        <v>0.781788</v>
      </c>
      <c r="AM26" s="100">
        <v>0.398693</v>
      </c>
      <c r="AN26" s="100">
        <v>0.578652</v>
      </c>
      <c r="AO26" s="98">
        <v>2525.5168803978017</v>
      </c>
      <c r="AP26" s="158">
        <v>1.1074997709999999</v>
      </c>
      <c r="AQ26" s="100">
        <v>0.08290155440414508</v>
      </c>
      <c r="AR26" s="100">
        <v>0.42105263157894735</v>
      </c>
      <c r="AS26" s="98">
        <v>588.8510861031143</v>
      </c>
      <c r="AT26" s="98">
        <v>431.82412980895054</v>
      </c>
      <c r="AU26" s="98" t="s">
        <v>561</v>
      </c>
      <c r="AV26" s="98">
        <v>366.39623135304896</v>
      </c>
      <c r="AW26" s="98">
        <v>654.278984559016</v>
      </c>
      <c r="AX26" s="98">
        <v>549.5943470295734</v>
      </c>
      <c r="AY26" s="98">
        <v>1334.7291285003926</v>
      </c>
      <c r="AZ26" s="98">
        <v>902.9049986914421</v>
      </c>
      <c r="BA26" s="100" t="s">
        <v>561</v>
      </c>
      <c r="BB26" s="100" t="s">
        <v>561</v>
      </c>
      <c r="BC26" s="100" t="s">
        <v>561</v>
      </c>
      <c r="BD26" s="158">
        <v>0.9567562866</v>
      </c>
      <c r="BE26" s="158">
        <v>1.275252151</v>
      </c>
      <c r="BF26" s="162">
        <v>1141</v>
      </c>
      <c r="BG26" s="162">
        <v>62</v>
      </c>
      <c r="BH26" s="162">
        <v>1801</v>
      </c>
      <c r="BI26" s="162">
        <v>1071</v>
      </c>
      <c r="BJ26" s="162">
        <v>534</v>
      </c>
      <c r="BK26" s="97"/>
      <c r="BL26" s="97"/>
      <c r="BM26" s="97"/>
      <c r="BN26" s="97"/>
    </row>
    <row r="27" spans="1:66" ht="12.75">
      <c r="A27" s="79" t="s">
        <v>544</v>
      </c>
      <c r="B27" s="79" t="s">
        <v>316</v>
      </c>
      <c r="C27" s="79" t="s">
        <v>152</v>
      </c>
      <c r="D27" s="99">
        <v>6673</v>
      </c>
      <c r="E27" s="99">
        <v>1236</v>
      </c>
      <c r="F27" s="99" t="s">
        <v>347</v>
      </c>
      <c r="G27" s="99">
        <v>26</v>
      </c>
      <c r="H27" s="99">
        <v>10</v>
      </c>
      <c r="I27" s="99">
        <v>123</v>
      </c>
      <c r="J27" s="99">
        <v>797</v>
      </c>
      <c r="K27" s="99" t="s">
        <v>561</v>
      </c>
      <c r="L27" s="99">
        <v>1401</v>
      </c>
      <c r="M27" s="99">
        <v>357</v>
      </c>
      <c r="N27" s="99">
        <v>241</v>
      </c>
      <c r="O27" s="99">
        <v>158</v>
      </c>
      <c r="P27" s="159">
        <v>158</v>
      </c>
      <c r="Q27" s="99">
        <v>14</v>
      </c>
      <c r="R27" s="99">
        <v>32</v>
      </c>
      <c r="S27" s="99">
        <v>54</v>
      </c>
      <c r="T27" s="99">
        <v>15</v>
      </c>
      <c r="U27" s="99" t="s">
        <v>561</v>
      </c>
      <c r="V27" s="99">
        <v>22</v>
      </c>
      <c r="W27" s="99">
        <v>33</v>
      </c>
      <c r="X27" s="99">
        <v>22</v>
      </c>
      <c r="Y27" s="99">
        <v>59</v>
      </c>
      <c r="Z27" s="99">
        <v>35</v>
      </c>
      <c r="AA27" s="99" t="s">
        <v>561</v>
      </c>
      <c r="AB27" s="99" t="s">
        <v>561</v>
      </c>
      <c r="AC27" s="99" t="s">
        <v>561</v>
      </c>
      <c r="AD27" s="98" t="s">
        <v>327</v>
      </c>
      <c r="AE27" s="100">
        <v>0.18522403716469354</v>
      </c>
      <c r="AF27" s="100">
        <v>0.11</v>
      </c>
      <c r="AG27" s="98">
        <v>389.6298516409411</v>
      </c>
      <c r="AH27" s="98">
        <v>149.8576352465158</v>
      </c>
      <c r="AI27" s="100">
        <v>0.018000000000000002</v>
      </c>
      <c r="AJ27" s="100">
        <v>0.817436</v>
      </c>
      <c r="AK27" s="100" t="s">
        <v>561</v>
      </c>
      <c r="AL27" s="100">
        <v>0.831454</v>
      </c>
      <c r="AM27" s="100">
        <v>0.430639</v>
      </c>
      <c r="AN27" s="100">
        <v>0.627604</v>
      </c>
      <c r="AO27" s="98">
        <v>2367.75063689495</v>
      </c>
      <c r="AP27" s="158">
        <v>1.1670381159999998</v>
      </c>
      <c r="AQ27" s="100">
        <v>0.08860759493670886</v>
      </c>
      <c r="AR27" s="100">
        <v>0.4375</v>
      </c>
      <c r="AS27" s="98">
        <v>809.2312303311854</v>
      </c>
      <c r="AT27" s="98">
        <v>224.7864528697737</v>
      </c>
      <c r="AU27" s="98" t="s">
        <v>561</v>
      </c>
      <c r="AV27" s="98">
        <v>329.6867975423348</v>
      </c>
      <c r="AW27" s="98">
        <v>494.5301963135022</v>
      </c>
      <c r="AX27" s="98">
        <v>329.6867975423348</v>
      </c>
      <c r="AY27" s="98">
        <v>884.1600479544433</v>
      </c>
      <c r="AZ27" s="98">
        <v>524.5017233628054</v>
      </c>
      <c r="BA27" s="100" t="s">
        <v>561</v>
      </c>
      <c r="BB27" s="100" t="s">
        <v>561</v>
      </c>
      <c r="BC27" s="100" t="s">
        <v>561</v>
      </c>
      <c r="BD27" s="158">
        <v>0.9921598052999999</v>
      </c>
      <c r="BE27" s="158">
        <v>1.363863678</v>
      </c>
      <c r="BF27" s="162">
        <v>975</v>
      </c>
      <c r="BG27" s="162" t="s">
        <v>561</v>
      </c>
      <c r="BH27" s="162">
        <v>1685</v>
      </c>
      <c r="BI27" s="162">
        <v>829</v>
      </c>
      <c r="BJ27" s="162">
        <v>384</v>
      </c>
      <c r="BK27" s="97"/>
      <c r="BL27" s="97"/>
      <c r="BM27" s="97"/>
      <c r="BN27" s="97"/>
    </row>
    <row r="28" spans="1:66" ht="12.75">
      <c r="A28" s="79" t="s">
        <v>515</v>
      </c>
      <c r="B28" s="79" t="s">
        <v>287</v>
      </c>
      <c r="C28" s="79" t="s">
        <v>152</v>
      </c>
      <c r="D28" s="99">
        <v>16916</v>
      </c>
      <c r="E28" s="99">
        <v>3341</v>
      </c>
      <c r="F28" s="99" t="s">
        <v>347</v>
      </c>
      <c r="G28" s="99">
        <v>90</v>
      </c>
      <c r="H28" s="99">
        <v>51</v>
      </c>
      <c r="I28" s="99">
        <v>366</v>
      </c>
      <c r="J28" s="99">
        <v>1877</v>
      </c>
      <c r="K28" s="99">
        <v>1038</v>
      </c>
      <c r="L28" s="99">
        <v>3166</v>
      </c>
      <c r="M28" s="99">
        <v>940</v>
      </c>
      <c r="N28" s="99">
        <v>686</v>
      </c>
      <c r="O28" s="99">
        <v>358</v>
      </c>
      <c r="P28" s="159">
        <v>358</v>
      </c>
      <c r="Q28" s="99">
        <v>32</v>
      </c>
      <c r="R28" s="99">
        <v>92</v>
      </c>
      <c r="S28" s="99">
        <v>109</v>
      </c>
      <c r="T28" s="99">
        <v>55</v>
      </c>
      <c r="U28" s="99">
        <v>21</v>
      </c>
      <c r="V28" s="99">
        <v>35</v>
      </c>
      <c r="W28" s="99">
        <v>100</v>
      </c>
      <c r="X28" s="99">
        <v>87</v>
      </c>
      <c r="Y28" s="99">
        <v>195</v>
      </c>
      <c r="Z28" s="99">
        <v>113</v>
      </c>
      <c r="AA28" s="99" t="s">
        <v>561</v>
      </c>
      <c r="AB28" s="99" t="s">
        <v>561</v>
      </c>
      <c r="AC28" s="99" t="s">
        <v>561</v>
      </c>
      <c r="AD28" s="98" t="s">
        <v>327</v>
      </c>
      <c r="AE28" s="100">
        <v>0.19750532040671553</v>
      </c>
      <c r="AF28" s="100">
        <v>0.12</v>
      </c>
      <c r="AG28" s="98">
        <v>532.0406715535588</v>
      </c>
      <c r="AH28" s="98">
        <v>301.48971388034994</v>
      </c>
      <c r="AI28" s="100">
        <v>0.022000000000000002</v>
      </c>
      <c r="AJ28" s="100">
        <v>0.805579</v>
      </c>
      <c r="AK28" s="100">
        <v>0.831731</v>
      </c>
      <c r="AL28" s="100">
        <v>0.780187</v>
      </c>
      <c r="AM28" s="100">
        <v>0.412462</v>
      </c>
      <c r="AN28" s="100">
        <v>0.608696</v>
      </c>
      <c r="AO28" s="98">
        <v>2116.3395601797115</v>
      </c>
      <c r="AP28" s="158">
        <v>1.0478223420000001</v>
      </c>
      <c r="AQ28" s="100">
        <v>0.0893854748603352</v>
      </c>
      <c r="AR28" s="100">
        <v>0.34782608695652173</v>
      </c>
      <c r="AS28" s="98">
        <v>644.3603688815323</v>
      </c>
      <c r="AT28" s="98">
        <v>325.135965949397</v>
      </c>
      <c r="AU28" s="98">
        <v>124.14282336249704</v>
      </c>
      <c r="AV28" s="98">
        <v>206.90470560416173</v>
      </c>
      <c r="AW28" s="98">
        <v>591.1563017261764</v>
      </c>
      <c r="AX28" s="98">
        <v>514.3059825017734</v>
      </c>
      <c r="AY28" s="98">
        <v>1152.754788366044</v>
      </c>
      <c r="AZ28" s="98">
        <v>668.0066209505793</v>
      </c>
      <c r="BA28" s="100" t="s">
        <v>561</v>
      </c>
      <c r="BB28" s="100" t="s">
        <v>561</v>
      </c>
      <c r="BC28" s="100" t="s">
        <v>561</v>
      </c>
      <c r="BD28" s="158">
        <v>0.9420794678</v>
      </c>
      <c r="BE28" s="158">
        <v>1.162186966</v>
      </c>
      <c r="BF28" s="162">
        <v>2330</v>
      </c>
      <c r="BG28" s="162">
        <v>1248</v>
      </c>
      <c r="BH28" s="162">
        <v>4058</v>
      </c>
      <c r="BI28" s="162">
        <v>2279</v>
      </c>
      <c r="BJ28" s="162">
        <v>1127</v>
      </c>
      <c r="BK28" s="97"/>
      <c r="BL28" s="97"/>
      <c r="BM28" s="97"/>
      <c r="BN28" s="97"/>
    </row>
    <row r="29" spans="1:66" ht="12.75">
      <c r="A29" s="79" t="s">
        <v>538</v>
      </c>
      <c r="B29" s="79" t="s">
        <v>310</v>
      </c>
      <c r="C29" s="79" t="s">
        <v>152</v>
      </c>
      <c r="D29" s="99">
        <v>4739</v>
      </c>
      <c r="E29" s="99">
        <v>752</v>
      </c>
      <c r="F29" s="99" t="s">
        <v>348</v>
      </c>
      <c r="G29" s="99">
        <v>19</v>
      </c>
      <c r="H29" s="99">
        <v>10</v>
      </c>
      <c r="I29" s="99">
        <v>80</v>
      </c>
      <c r="J29" s="99">
        <v>429</v>
      </c>
      <c r="K29" s="99">
        <v>416</v>
      </c>
      <c r="L29" s="99">
        <v>941</v>
      </c>
      <c r="M29" s="99">
        <v>179</v>
      </c>
      <c r="N29" s="99">
        <v>149</v>
      </c>
      <c r="O29" s="99">
        <v>117</v>
      </c>
      <c r="P29" s="159">
        <v>117</v>
      </c>
      <c r="Q29" s="99">
        <v>11</v>
      </c>
      <c r="R29" s="99">
        <v>28</v>
      </c>
      <c r="S29" s="99">
        <v>46</v>
      </c>
      <c r="T29" s="99">
        <v>13</v>
      </c>
      <c r="U29" s="99" t="s">
        <v>561</v>
      </c>
      <c r="V29" s="99">
        <v>27</v>
      </c>
      <c r="W29" s="99">
        <v>33</v>
      </c>
      <c r="X29" s="99">
        <v>33</v>
      </c>
      <c r="Y29" s="99">
        <v>53</v>
      </c>
      <c r="Z29" s="99">
        <v>28</v>
      </c>
      <c r="AA29" s="99" t="s">
        <v>561</v>
      </c>
      <c r="AB29" s="99" t="s">
        <v>561</v>
      </c>
      <c r="AC29" s="99" t="s">
        <v>561</v>
      </c>
      <c r="AD29" s="98" t="s">
        <v>327</v>
      </c>
      <c r="AE29" s="100">
        <v>0.15868326651192236</v>
      </c>
      <c r="AF29" s="100">
        <v>0.12</v>
      </c>
      <c r="AG29" s="98">
        <v>400.9284659210804</v>
      </c>
      <c r="AH29" s="98">
        <v>211.01498206372653</v>
      </c>
      <c r="AI29" s="100">
        <v>0.017</v>
      </c>
      <c r="AJ29" s="100">
        <v>0.782847</v>
      </c>
      <c r="AK29" s="100">
        <v>0.786389</v>
      </c>
      <c r="AL29" s="100">
        <v>0.814014</v>
      </c>
      <c r="AM29" s="100">
        <v>0.355159</v>
      </c>
      <c r="AN29" s="100">
        <v>0.598394</v>
      </c>
      <c r="AO29" s="98">
        <v>2468.8752901456005</v>
      </c>
      <c r="AP29" s="158">
        <v>1.335696259</v>
      </c>
      <c r="AQ29" s="100">
        <v>0.09401709401709402</v>
      </c>
      <c r="AR29" s="100">
        <v>0.39285714285714285</v>
      </c>
      <c r="AS29" s="98">
        <v>970.668917493142</v>
      </c>
      <c r="AT29" s="98">
        <v>274.3194766828445</v>
      </c>
      <c r="AU29" s="98" t="s">
        <v>561</v>
      </c>
      <c r="AV29" s="98">
        <v>569.7404515720616</v>
      </c>
      <c r="AW29" s="98">
        <v>696.3494408102976</v>
      </c>
      <c r="AX29" s="98">
        <v>696.3494408102976</v>
      </c>
      <c r="AY29" s="98">
        <v>1118.3794049377507</v>
      </c>
      <c r="AZ29" s="98">
        <v>590.8419497784342</v>
      </c>
      <c r="BA29" s="100" t="s">
        <v>561</v>
      </c>
      <c r="BB29" s="100" t="s">
        <v>561</v>
      </c>
      <c r="BC29" s="100" t="s">
        <v>561</v>
      </c>
      <c r="BD29" s="158">
        <v>1.104657211</v>
      </c>
      <c r="BE29" s="158">
        <v>1.600796967</v>
      </c>
      <c r="BF29" s="162">
        <v>548</v>
      </c>
      <c r="BG29" s="162">
        <v>529</v>
      </c>
      <c r="BH29" s="162">
        <v>1156</v>
      </c>
      <c r="BI29" s="162">
        <v>504</v>
      </c>
      <c r="BJ29" s="162">
        <v>249</v>
      </c>
      <c r="BK29" s="97"/>
      <c r="BL29" s="97"/>
      <c r="BM29" s="97"/>
      <c r="BN29" s="97"/>
    </row>
    <row r="30" spans="1:66" ht="12.75">
      <c r="A30" s="79" t="s">
        <v>546</v>
      </c>
      <c r="B30" s="79" t="s">
        <v>318</v>
      </c>
      <c r="C30" s="79" t="s">
        <v>152</v>
      </c>
      <c r="D30" s="99">
        <v>7302</v>
      </c>
      <c r="E30" s="99">
        <v>1020</v>
      </c>
      <c r="F30" s="99" t="s">
        <v>348</v>
      </c>
      <c r="G30" s="99">
        <v>27</v>
      </c>
      <c r="H30" s="99">
        <v>14</v>
      </c>
      <c r="I30" s="99">
        <v>101</v>
      </c>
      <c r="J30" s="99">
        <v>538</v>
      </c>
      <c r="K30" s="99" t="s">
        <v>561</v>
      </c>
      <c r="L30" s="99">
        <v>1295</v>
      </c>
      <c r="M30" s="99">
        <v>266</v>
      </c>
      <c r="N30" s="99">
        <v>190</v>
      </c>
      <c r="O30" s="99">
        <v>175</v>
      </c>
      <c r="P30" s="159">
        <v>175</v>
      </c>
      <c r="Q30" s="99">
        <v>21</v>
      </c>
      <c r="R30" s="99">
        <v>28</v>
      </c>
      <c r="S30" s="99">
        <v>37</v>
      </c>
      <c r="T30" s="99">
        <v>23</v>
      </c>
      <c r="U30" s="99" t="s">
        <v>561</v>
      </c>
      <c r="V30" s="99">
        <v>32</v>
      </c>
      <c r="W30" s="99">
        <v>41</v>
      </c>
      <c r="X30" s="99">
        <v>28</v>
      </c>
      <c r="Y30" s="99">
        <v>100</v>
      </c>
      <c r="Z30" s="99">
        <v>29</v>
      </c>
      <c r="AA30" s="99" t="s">
        <v>561</v>
      </c>
      <c r="AB30" s="99" t="s">
        <v>561</v>
      </c>
      <c r="AC30" s="99" t="s">
        <v>561</v>
      </c>
      <c r="AD30" s="98" t="s">
        <v>327</v>
      </c>
      <c r="AE30" s="100">
        <v>0.13968775677896467</v>
      </c>
      <c r="AF30" s="100">
        <v>0.16</v>
      </c>
      <c r="AG30" s="98">
        <v>369.76170912078885</v>
      </c>
      <c r="AH30" s="98">
        <v>191.7282936181868</v>
      </c>
      <c r="AI30" s="100">
        <v>0.013999999999999999</v>
      </c>
      <c r="AJ30" s="100">
        <v>0.684478</v>
      </c>
      <c r="AK30" s="100" t="s">
        <v>561</v>
      </c>
      <c r="AL30" s="100">
        <v>0.745538</v>
      </c>
      <c r="AM30" s="100">
        <v>0.384949</v>
      </c>
      <c r="AN30" s="100">
        <v>0.572289</v>
      </c>
      <c r="AO30" s="98">
        <v>2396.603670227335</v>
      </c>
      <c r="AP30" s="158">
        <v>1.420939789</v>
      </c>
      <c r="AQ30" s="100">
        <v>0.12</v>
      </c>
      <c r="AR30" s="100">
        <v>0.75</v>
      </c>
      <c r="AS30" s="98">
        <v>506.71049027663656</v>
      </c>
      <c r="AT30" s="98">
        <v>314.98219665844977</v>
      </c>
      <c r="AU30" s="98" t="s">
        <v>561</v>
      </c>
      <c r="AV30" s="98">
        <v>438.2360996987127</v>
      </c>
      <c r="AW30" s="98">
        <v>561.4900027389756</v>
      </c>
      <c r="AX30" s="98">
        <v>383.4565872363736</v>
      </c>
      <c r="AY30" s="98">
        <v>1369.4878115584772</v>
      </c>
      <c r="AZ30" s="98">
        <v>397.1514653519584</v>
      </c>
      <c r="BA30" s="100" t="s">
        <v>561</v>
      </c>
      <c r="BB30" s="100" t="s">
        <v>561</v>
      </c>
      <c r="BC30" s="100" t="s">
        <v>561</v>
      </c>
      <c r="BD30" s="158">
        <v>1.2182070919999999</v>
      </c>
      <c r="BE30" s="158">
        <v>1.647767792</v>
      </c>
      <c r="BF30" s="162">
        <v>786</v>
      </c>
      <c r="BG30" s="162" t="s">
        <v>561</v>
      </c>
      <c r="BH30" s="162">
        <v>1737</v>
      </c>
      <c r="BI30" s="162">
        <v>691</v>
      </c>
      <c r="BJ30" s="162">
        <v>332</v>
      </c>
      <c r="BK30" s="97"/>
      <c r="BL30" s="97"/>
      <c r="BM30" s="97"/>
      <c r="BN30" s="97"/>
    </row>
    <row r="31" spans="1:66" ht="12.75">
      <c r="A31" s="79" t="s">
        <v>523</v>
      </c>
      <c r="B31" s="79" t="s">
        <v>295</v>
      </c>
      <c r="C31" s="79" t="s">
        <v>152</v>
      </c>
      <c r="D31" s="99">
        <v>8029</v>
      </c>
      <c r="E31" s="99">
        <v>1733</v>
      </c>
      <c r="F31" s="99" t="s">
        <v>347</v>
      </c>
      <c r="G31" s="99">
        <v>35</v>
      </c>
      <c r="H31" s="99">
        <v>18</v>
      </c>
      <c r="I31" s="99">
        <v>164</v>
      </c>
      <c r="J31" s="99">
        <v>979</v>
      </c>
      <c r="K31" s="99">
        <v>16</v>
      </c>
      <c r="L31" s="99">
        <v>1463</v>
      </c>
      <c r="M31" s="99">
        <v>533</v>
      </c>
      <c r="N31" s="99">
        <v>382</v>
      </c>
      <c r="O31" s="99">
        <v>187</v>
      </c>
      <c r="P31" s="159">
        <v>187</v>
      </c>
      <c r="Q31" s="99">
        <v>16</v>
      </c>
      <c r="R31" s="99">
        <v>34</v>
      </c>
      <c r="S31" s="99">
        <v>45</v>
      </c>
      <c r="T31" s="99">
        <v>37</v>
      </c>
      <c r="U31" s="99" t="s">
        <v>561</v>
      </c>
      <c r="V31" s="99">
        <v>22</v>
      </c>
      <c r="W31" s="99">
        <v>52</v>
      </c>
      <c r="X31" s="99">
        <v>26</v>
      </c>
      <c r="Y31" s="99">
        <v>97</v>
      </c>
      <c r="Z31" s="99">
        <v>27</v>
      </c>
      <c r="AA31" s="99" t="s">
        <v>561</v>
      </c>
      <c r="AB31" s="99" t="s">
        <v>561</v>
      </c>
      <c r="AC31" s="99" t="s">
        <v>561</v>
      </c>
      <c r="AD31" s="98" t="s">
        <v>327</v>
      </c>
      <c r="AE31" s="100">
        <v>0.21584257068128035</v>
      </c>
      <c r="AF31" s="100">
        <v>0.09</v>
      </c>
      <c r="AG31" s="98">
        <v>435.9197907585004</v>
      </c>
      <c r="AH31" s="98">
        <v>224.1873209615145</v>
      </c>
      <c r="AI31" s="100">
        <v>0.02</v>
      </c>
      <c r="AJ31" s="100">
        <v>0.760684</v>
      </c>
      <c r="AK31" s="100">
        <v>0.64</v>
      </c>
      <c r="AL31" s="100">
        <v>0.76637</v>
      </c>
      <c r="AM31" s="100">
        <v>0.411901</v>
      </c>
      <c r="AN31" s="100">
        <v>0.6112</v>
      </c>
      <c r="AO31" s="98">
        <v>2329.0571677668454</v>
      </c>
      <c r="AP31" s="158">
        <v>1.056598434</v>
      </c>
      <c r="AQ31" s="100">
        <v>0.0855614973262032</v>
      </c>
      <c r="AR31" s="100">
        <v>0.47058823529411764</v>
      </c>
      <c r="AS31" s="98">
        <v>560.4683024037863</v>
      </c>
      <c r="AT31" s="98">
        <v>460.8294930875576</v>
      </c>
      <c r="AU31" s="98" t="s">
        <v>561</v>
      </c>
      <c r="AV31" s="98">
        <v>274.00672561962887</v>
      </c>
      <c r="AW31" s="98">
        <v>647.6522605554864</v>
      </c>
      <c r="AX31" s="98">
        <v>323.8261302777432</v>
      </c>
      <c r="AY31" s="98">
        <v>1208.1205629592725</v>
      </c>
      <c r="AZ31" s="98">
        <v>336.28098144227175</v>
      </c>
      <c r="BA31" s="100" t="s">
        <v>561</v>
      </c>
      <c r="BB31" s="100" t="s">
        <v>561</v>
      </c>
      <c r="BC31" s="100" t="s">
        <v>561</v>
      </c>
      <c r="BD31" s="158">
        <v>0.9105801391999999</v>
      </c>
      <c r="BE31" s="158">
        <v>1.219370728</v>
      </c>
      <c r="BF31" s="162">
        <v>1287</v>
      </c>
      <c r="BG31" s="162">
        <v>25</v>
      </c>
      <c r="BH31" s="162">
        <v>1909</v>
      </c>
      <c r="BI31" s="162">
        <v>1294</v>
      </c>
      <c r="BJ31" s="162">
        <v>625</v>
      </c>
      <c r="BK31" s="97"/>
      <c r="BL31" s="97"/>
      <c r="BM31" s="97"/>
      <c r="BN31" s="97"/>
    </row>
    <row r="32" spans="1:66" ht="12.75">
      <c r="A32" s="79" t="s">
        <v>510</v>
      </c>
      <c r="B32" s="79" t="s">
        <v>282</v>
      </c>
      <c r="C32" s="79" t="s">
        <v>152</v>
      </c>
      <c r="D32" s="99">
        <v>10205</v>
      </c>
      <c r="E32" s="99">
        <v>1884</v>
      </c>
      <c r="F32" s="99" t="s">
        <v>349</v>
      </c>
      <c r="G32" s="99">
        <v>48</v>
      </c>
      <c r="H32" s="99">
        <v>19</v>
      </c>
      <c r="I32" s="99">
        <v>177</v>
      </c>
      <c r="J32" s="99">
        <v>786</v>
      </c>
      <c r="K32" s="99">
        <v>95</v>
      </c>
      <c r="L32" s="99">
        <v>1949</v>
      </c>
      <c r="M32" s="99">
        <v>569</v>
      </c>
      <c r="N32" s="99">
        <v>404</v>
      </c>
      <c r="O32" s="99">
        <v>262</v>
      </c>
      <c r="P32" s="159">
        <v>262</v>
      </c>
      <c r="Q32" s="99">
        <v>15</v>
      </c>
      <c r="R32" s="99">
        <v>43</v>
      </c>
      <c r="S32" s="99">
        <v>92</v>
      </c>
      <c r="T32" s="99">
        <v>23</v>
      </c>
      <c r="U32" s="99">
        <v>9</v>
      </c>
      <c r="V32" s="99">
        <v>56</v>
      </c>
      <c r="W32" s="99">
        <v>71</v>
      </c>
      <c r="X32" s="99">
        <v>69</v>
      </c>
      <c r="Y32" s="99">
        <v>131</v>
      </c>
      <c r="Z32" s="99">
        <v>56</v>
      </c>
      <c r="AA32" s="99" t="s">
        <v>561</v>
      </c>
      <c r="AB32" s="99" t="s">
        <v>561</v>
      </c>
      <c r="AC32" s="99" t="s">
        <v>561</v>
      </c>
      <c r="AD32" s="98" t="s">
        <v>327</v>
      </c>
      <c r="AE32" s="100">
        <v>0.18461538461538463</v>
      </c>
      <c r="AF32" s="100">
        <v>0.08</v>
      </c>
      <c r="AG32" s="98">
        <v>470.3576678098971</v>
      </c>
      <c r="AH32" s="98">
        <v>186.18324350808427</v>
      </c>
      <c r="AI32" s="100">
        <v>0.017</v>
      </c>
      <c r="AJ32" s="100">
        <v>0.570392</v>
      </c>
      <c r="AK32" s="100">
        <v>0.855856</v>
      </c>
      <c r="AL32" s="100">
        <v>0.812422</v>
      </c>
      <c r="AM32" s="100">
        <v>0.468699</v>
      </c>
      <c r="AN32" s="100">
        <v>0.65798</v>
      </c>
      <c r="AO32" s="98">
        <v>2567.3689367956886</v>
      </c>
      <c r="AP32" s="158">
        <v>1.321795197</v>
      </c>
      <c r="AQ32" s="100">
        <v>0.05725190839694656</v>
      </c>
      <c r="AR32" s="100">
        <v>0.3488372093023256</v>
      </c>
      <c r="AS32" s="98">
        <v>901.5188633023027</v>
      </c>
      <c r="AT32" s="98">
        <v>225.3797158255757</v>
      </c>
      <c r="AU32" s="98">
        <v>88.19206271435571</v>
      </c>
      <c r="AV32" s="98">
        <v>548.75061244488</v>
      </c>
      <c r="AW32" s="98">
        <v>695.7373836354728</v>
      </c>
      <c r="AX32" s="98">
        <v>676.1391474767271</v>
      </c>
      <c r="AY32" s="98">
        <v>1283.6844683978443</v>
      </c>
      <c r="AZ32" s="98">
        <v>548.75061244488</v>
      </c>
      <c r="BA32" s="100" t="s">
        <v>561</v>
      </c>
      <c r="BB32" s="100" t="s">
        <v>561</v>
      </c>
      <c r="BC32" s="100" t="s">
        <v>561</v>
      </c>
      <c r="BD32" s="158">
        <v>1.166573563</v>
      </c>
      <c r="BE32" s="158">
        <v>1.4919210820000002</v>
      </c>
      <c r="BF32" s="162">
        <v>1378</v>
      </c>
      <c r="BG32" s="162">
        <v>111</v>
      </c>
      <c r="BH32" s="162">
        <v>2399</v>
      </c>
      <c r="BI32" s="162">
        <v>1214</v>
      </c>
      <c r="BJ32" s="162">
        <v>614</v>
      </c>
      <c r="BK32" s="97"/>
      <c r="BL32" s="97"/>
      <c r="BM32" s="97"/>
      <c r="BN32" s="97"/>
    </row>
    <row r="33" spans="1:66" ht="12.75">
      <c r="A33" s="79" t="s">
        <v>512</v>
      </c>
      <c r="B33" s="79" t="s">
        <v>284</v>
      </c>
      <c r="C33" s="79" t="s">
        <v>152</v>
      </c>
      <c r="D33" s="99">
        <v>9143</v>
      </c>
      <c r="E33" s="99">
        <v>1810</v>
      </c>
      <c r="F33" s="99" t="s">
        <v>348</v>
      </c>
      <c r="G33" s="99">
        <v>37</v>
      </c>
      <c r="H33" s="99">
        <v>19</v>
      </c>
      <c r="I33" s="99">
        <v>178</v>
      </c>
      <c r="J33" s="99">
        <v>938</v>
      </c>
      <c r="K33" s="99">
        <v>8</v>
      </c>
      <c r="L33" s="99">
        <v>1607</v>
      </c>
      <c r="M33" s="99">
        <v>459</v>
      </c>
      <c r="N33" s="99">
        <v>327</v>
      </c>
      <c r="O33" s="99">
        <v>242</v>
      </c>
      <c r="P33" s="159">
        <v>242</v>
      </c>
      <c r="Q33" s="99">
        <v>13</v>
      </c>
      <c r="R33" s="99">
        <v>31</v>
      </c>
      <c r="S33" s="99">
        <v>62</v>
      </c>
      <c r="T33" s="99">
        <v>24</v>
      </c>
      <c r="U33" s="99">
        <v>11</v>
      </c>
      <c r="V33" s="99">
        <v>56</v>
      </c>
      <c r="W33" s="99">
        <v>66</v>
      </c>
      <c r="X33" s="99">
        <v>56</v>
      </c>
      <c r="Y33" s="99">
        <v>132</v>
      </c>
      <c r="Z33" s="99">
        <v>41</v>
      </c>
      <c r="AA33" s="99" t="s">
        <v>561</v>
      </c>
      <c r="AB33" s="99" t="s">
        <v>561</v>
      </c>
      <c r="AC33" s="99" t="s">
        <v>561</v>
      </c>
      <c r="AD33" s="98" t="s">
        <v>327</v>
      </c>
      <c r="AE33" s="100">
        <v>0.1979656567866127</v>
      </c>
      <c r="AF33" s="100">
        <v>0.13</v>
      </c>
      <c r="AG33" s="98">
        <v>404.6811768566116</v>
      </c>
      <c r="AH33" s="98">
        <v>207.80925298042217</v>
      </c>
      <c r="AI33" s="100">
        <v>0.019</v>
      </c>
      <c r="AJ33" s="100">
        <v>0.759514</v>
      </c>
      <c r="AK33" s="100">
        <v>0.5</v>
      </c>
      <c r="AL33" s="100">
        <v>0.736143</v>
      </c>
      <c r="AM33" s="100">
        <v>0.412399</v>
      </c>
      <c r="AN33" s="100">
        <v>0.581851</v>
      </c>
      <c r="AO33" s="98">
        <v>2646.8336432243245</v>
      </c>
      <c r="AP33" s="158">
        <v>1.291894379</v>
      </c>
      <c r="AQ33" s="100">
        <v>0.05371900826446281</v>
      </c>
      <c r="AR33" s="100">
        <v>0.41935483870967744</v>
      </c>
      <c r="AS33" s="98">
        <v>678.1144044624302</v>
      </c>
      <c r="AT33" s="98">
        <v>262.4958985015859</v>
      </c>
      <c r="AU33" s="98">
        <v>120.31062014656021</v>
      </c>
      <c r="AV33" s="98">
        <v>612.4904298370338</v>
      </c>
      <c r="AW33" s="98">
        <v>721.8637208793613</v>
      </c>
      <c r="AX33" s="98">
        <v>612.4904298370338</v>
      </c>
      <c r="AY33" s="98">
        <v>1443.7274417587225</v>
      </c>
      <c r="AZ33" s="98">
        <v>448.4304932735426</v>
      </c>
      <c r="BA33" s="100" t="s">
        <v>561</v>
      </c>
      <c r="BB33" s="100" t="s">
        <v>561</v>
      </c>
      <c r="BC33" s="100" t="s">
        <v>561</v>
      </c>
      <c r="BD33" s="158">
        <v>1.134240723</v>
      </c>
      <c r="BE33" s="158">
        <v>1.4653321840000002</v>
      </c>
      <c r="BF33" s="162">
        <v>1235</v>
      </c>
      <c r="BG33" s="162">
        <v>16</v>
      </c>
      <c r="BH33" s="162">
        <v>2183</v>
      </c>
      <c r="BI33" s="162">
        <v>1113</v>
      </c>
      <c r="BJ33" s="162">
        <v>562</v>
      </c>
      <c r="BK33" s="97"/>
      <c r="BL33" s="97"/>
      <c r="BM33" s="97"/>
      <c r="BN33" s="97"/>
    </row>
    <row r="34" spans="1:66" ht="12.75">
      <c r="A34" s="79" t="s">
        <v>531</v>
      </c>
      <c r="B34" s="79" t="s">
        <v>303</v>
      </c>
      <c r="C34" s="79" t="s">
        <v>152</v>
      </c>
      <c r="D34" s="99">
        <v>6856</v>
      </c>
      <c r="E34" s="99">
        <v>1567</v>
      </c>
      <c r="F34" s="99" t="s">
        <v>347</v>
      </c>
      <c r="G34" s="99">
        <v>30</v>
      </c>
      <c r="H34" s="99">
        <v>19</v>
      </c>
      <c r="I34" s="99">
        <v>113</v>
      </c>
      <c r="J34" s="99">
        <v>867</v>
      </c>
      <c r="K34" s="99">
        <v>853</v>
      </c>
      <c r="L34" s="99">
        <v>1230</v>
      </c>
      <c r="M34" s="99">
        <v>433</v>
      </c>
      <c r="N34" s="99">
        <v>314</v>
      </c>
      <c r="O34" s="99">
        <v>241</v>
      </c>
      <c r="P34" s="159">
        <v>241</v>
      </c>
      <c r="Q34" s="99">
        <v>17</v>
      </c>
      <c r="R34" s="99">
        <v>47</v>
      </c>
      <c r="S34" s="99">
        <v>48</v>
      </c>
      <c r="T34" s="99">
        <v>35</v>
      </c>
      <c r="U34" s="99">
        <v>6</v>
      </c>
      <c r="V34" s="99">
        <v>40</v>
      </c>
      <c r="W34" s="99">
        <v>54</v>
      </c>
      <c r="X34" s="99">
        <v>43</v>
      </c>
      <c r="Y34" s="99">
        <v>102</v>
      </c>
      <c r="Z34" s="99">
        <v>58</v>
      </c>
      <c r="AA34" s="99" t="s">
        <v>561</v>
      </c>
      <c r="AB34" s="99" t="s">
        <v>561</v>
      </c>
      <c r="AC34" s="99" t="s">
        <v>561</v>
      </c>
      <c r="AD34" s="98" t="s">
        <v>327</v>
      </c>
      <c r="AE34" s="100">
        <v>0.22855892648774795</v>
      </c>
      <c r="AF34" s="100">
        <v>0.09</v>
      </c>
      <c r="AG34" s="98">
        <v>437.57292882147027</v>
      </c>
      <c r="AH34" s="98">
        <v>277.12952158693116</v>
      </c>
      <c r="AI34" s="100">
        <v>0.016</v>
      </c>
      <c r="AJ34" s="100">
        <v>0.83526</v>
      </c>
      <c r="AK34" s="100">
        <v>0.842053</v>
      </c>
      <c r="AL34" s="100">
        <v>0.762082</v>
      </c>
      <c r="AM34" s="100">
        <v>0.435614</v>
      </c>
      <c r="AN34" s="100">
        <v>0.624254</v>
      </c>
      <c r="AO34" s="98">
        <v>3515.169194865811</v>
      </c>
      <c r="AP34" s="158">
        <v>1.582139435</v>
      </c>
      <c r="AQ34" s="100">
        <v>0.07053941908713693</v>
      </c>
      <c r="AR34" s="100">
        <v>0.3617021276595745</v>
      </c>
      <c r="AS34" s="98">
        <v>700.1166861143524</v>
      </c>
      <c r="AT34" s="98">
        <v>510.50175029171527</v>
      </c>
      <c r="AU34" s="98">
        <v>87.51458576429405</v>
      </c>
      <c r="AV34" s="98">
        <v>583.4305717619603</v>
      </c>
      <c r="AW34" s="98">
        <v>787.6312718786464</v>
      </c>
      <c r="AX34" s="98">
        <v>627.1878646441073</v>
      </c>
      <c r="AY34" s="98">
        <v>1487.7479579929989</v>
      </c>
      <c r="AZ34" s="98">
        <v>845.9743290548424</v>
      </c>
      <c r="BA34" s="100" t="s">
        <v>561</v>
      </c>
      <c r="BB34" s="100" t="s">
        <v>561</v>
      </c>
      <c r="BC34" s="100" t="s">
        <v>561</v>
      </c>
      <c r="BD34" s="158">
        <v>1.388679352</v>
      </c>
      <c r="BE34" s="158">
        <v>1.795010681</v>
      </c>
      <c r="BF34" s="162">
        <v>1038</v>
      </c>
      <c r="BG34" s="162">
        <v>1013</v>
      </c>
      <c r="BH34" s="162">
        <v>1614</v>
      </c>
      <c r="BI34" s="162">
        <v>994</v>
      </c>
      <c r="BJ34" s="162">
        <v>503</v>
      </c>
      <c r="BK34" s="97"/>
      <c r="BL34" s="97"/>
      <c r="BM34" s="97"/>
      <c r="BN34" s="97"/>
    </row>
    <row r="35" spans="1:66" ht="12.75">
      <c r="A35" s="79" t="s">
        <v>520</v>
      </c>
      <c r="B35" s="79" t="s">
        <v>292</v>
      </c>
      <c r="C35" s="79" t="s">
        <v>152</v>
      </c>
      <c r="D35" s="99">
        <v>9382</v>
      </c>
      <c r="E35" s="99">
        <v>2161</v>
      </c>
      <c r="F35" s="99" t="s">
        <v>349</v>
      </c>
      <c r="G35" s="99">
        <v>46</v>
      </c>
      <c r="H35" s="99">
        <v>33</v>
      </c>
      <c r="I35" s="99">
        <v>214</v>
      </c>
      <c r="J35" s="99">
        <v>1210</v>
      </c>
      <c r="K35" s="99">
        <v>1163</v>
      </c>
      <c r="L35" s="99">
        <v>1892</v>
      </c>
      <c r="M35" s="99">
        <v>568</v>
      </c>
      <c r="N35" s="99">
        <v>416</v>
      </c>
      <c r="O35" s="99">
        <v>236</v>
      </c>
      <c r="P35" s="159">
        <v>236</v>
      </c>
      <c r="Q35" s="99">
        <v>22</v>
      </c>
      <c r="R35" s="99">
        <v>60</v>
      </c>
      <c r="S35" s="99">
        <v>81</v>
      </c>
      <c r="T35" s="99">
        <v>36</v>
      </c>
      <c r="U35" s="99" t="s">
        <v>561</v>
      </c>
      <c r="V35" s="99">
        <v>42</v>
      </c>
      <c r="W35" s="99">
        <v>42</v>
      </c>
      <c r="X35" s="99">
        <v>48</v>
      </c>
      <c r="Y35" s="99">
        <v>108</v>
      </c>
      <c r="Z35" s="99">
        <v>70</v>
      </c>
      <c r="AA35" s="99" t="s">
        <v>561</v>
      </c>
      <c r="AB35" s="99" t="s">
        <v>561</v>
      </c>
      <c r="AC35" s="99" t="s">
        <v>561</v>
      </c>
      <c r="AD35" s="98" t="s">
        <v>327</v>
      </c>
      <c r="AE35" s="100">
        <v>0.2303346834363675</v>
      </c>
      <c r="AF35" s="100">
        <v>0.08</v>
      </c>
      <c r="AG35" s="98">
        <v>490.3005755702409</v>
      </c>
      <c r="AH35" s="98">
        <v>351.73736943082497</v>
      </c>
      <c r="AI35" s="100">
        <v>0.023</v>
      </c>
      <c r="AJ35" s="100">
        <v>0.829904</v>
      </c>
      <c r="AK35" s="100">
        <v>0.827758</v>
      </c>
      <c r="AL35" s="100">
        <v>0.841637</v>
      </c>
      <c r="AM35" s="100">
        <v>0.440994</v>
      </c>
      <c r="AN35" s="100">
        <v>0.647975</v>
      </c>
      <c r="AO35" s="98">
        <v>2515.455126838627</v>
      </c>
      <c r="AP35" s="158">
        <v>1.11660553</v>
      </c>
      <c r="AQ35" s="100">
        <v>0.09322033898305085</v>
      </c>
      <c r="AR35" s="100">
        <v>0.36666666666666664</v>
      </c>
      <c r="AS35" s="98">
        <v>863.3553613302067</v>
      </c>
      <c r="AT35" s="98">
        <v>383.71349392453635</v>
      </c>
      <c r="AU35" s="98" t="s">
        <v>561</v>
      </c>
      <c r="AV35" s="98">
        <v>447.66574291195906</v>
      </c>
      <c r="AW35" s="98">
        <v>447.66574291195906</v>
      </c>
      <c r="AX35" s="98">
        <v>511.6179918993818</v>
      </c>
      <c r="AY35" s="98">
        <v>1151.140481773609</v>
      </c>
      <c r="AZ35" s="98">
        <v>746.1095715199318</v>
      </c>
      <c r="BA35" s="100" t="s">
        <v>561</v>
      </c>
      <c r="BB35" s="100" t="s">
        <v>561</v>
      </c>
      <c r="BC35" s="100" t="s">
        <v>561</v>
      </c>
      <c r="BD35" s="158">
        <v>0.9786788177</v>
      </c>
      <c r="BE35" s="158">
        <v>1.268525238</v>
      </c>
      <c r="BF35" s="162">
        <v>1458</v>
      </c>
      <c r="BG35" s="162">
        <v>1405</v>
      </c>
      <c r="BH35" s="162">
        <v>2248</v>
      </c>
      <c r="BI35" s="162">
        <v>1288</v>
      </c>
      <c r="BJ35" s="162">
        <v>642</v>
      </c>
      <c r="BK35" s="97"/>
      <c r="BL35" s="97"/>
      <c r="BM35" s="97"/>
      <c r="BN35" s="97"/>
    </row>
    <row r="36" spans="1:66" ht="12.75">
      <c r="A36" s="79" t="s">
        <v>548</v>
      </c>
      <c r="B36" s="79" t="s">
        <v>320</v>
      </c>
      <c r="C36" s="79" t="s">
        <v>152</v>
      </c>
      <c r="D36" s="99">
        <v>3875</v>
      </c>
      <c r="E36" s="99">
        <v>765</v>
      </c>
      <c r="F36" s="99" t="s">
        <v>348</v>
      </c>
      <c r="G36" s="99">
        <v>24</v>
      </c>
      <c r="H36" s="99">
        <v>14</v>
      </c>
      <c r="I36" s="99">
        <v>65</v>
      </c>
      <c r="J36" s="99">
        <v>369</v>
      </c>
      <c r="K36" s="99" t="s">
        <v>561</v>
      </c>
      <c r="L36" s="99">
        <v>707</v>
      </c>
      <c r="M36" s="99">
        <v>180</v>
      </c>
      <c r="N36" s="99">
        <v>127</v>
      </c>
      <c r="O36" s="99">
        <v>72</v>
      </c>
      <c r="P36" s="159">
        <v>72</v>
      </c>
      <c r="Q36" s="99">
        <v>10</v>
      </c>
      <c r="R36" s="99">
        <v>18</v>
      </c>
      <c r="S36" s="99">
        <v>22</v>
      </c>
      <c r="T36" s="99">
        <v>7</v>
      </c>
      <c r="U36" s="99" t="s">
        <v>561</v>
      </c>
      <c r="V36" s="99">
        <v>19</v>
      </c>
      <c r="W36" s="99">
        <v>17</v>
      </c>
      <c r="X36" s="99">
        <v>8</v>
      </c>
      <c r="Y36" s="99">
        <v>36</v>
      </c>
      <c r="Z36" s="99">
        <v>25</v>
      </c>
      <c r="AA36" s="99" t="s">
        <v>561</v>
      </c>
      <c r="AB36" s="99" t="s">
        <v>561</v>
      </c>
      <c r="AC36" s="99" t="s">
        <v>561</v>
      </c>
      <c r="AD36" s="98" t="s">
        <v>327</v>
      </c>
      <c r="AE36" s="100">
        <v>0.19741935483870968</v>
      </c>
      <c r="AF36" s="100">
        <v>0.13</v>
      </c>
      <c r="AG36" s="98">
        <v>619.3548387096774</v>
      </c>
      <c r="AH36" s="98">
        <v>361.2903225806452</v>
      </c>
      <c r="AI36" s="100">
        <v>0.017</v>
      </c>
      <c r="AJ36" s="100">
        <v>0.771967</v>
      </c>
      <c r="AK36" s="100" t="s">
        <v>561</v>
      </c>
      <c r="AL36" s="100">
        <v>0.788183</v>
      </c>
      <c r="AM36" s="100">
        <v>0.393873</v>
      </c>
      <c r="AN36" s="100">
        <v>0.577273</v>
      </c>
      <c r="AO36" s="98">
        <v>1858.0645161290322</v>
      </c>
      <c r="AP36" s="158">
        <v>0.8944998169</v>
      </c>
      <c r="AQ36" s="100">
        <v>0.1388888888888889</v>
      </c>
      <c r="AR36" s="100">
        <v>0.5555555555555556</v>
      </c>
      <c r="AS36" s="98">
        <v>567.741935483871</v>
      </c>
      <c r="AT36" s="98">
        <v>180.6451612903226</v>
      </c>
      <c r="AU36" s="98" t="s">
        <v>561</v>
      </c>
      <c r="AV36" s="98">
        <v>490.3225806451613</v>
      </c>
      <c r="AW36" s="98">
        <v>438.7096774193548</v>
      </c>
      <c r="AX36" s="98">
        <v>206.4516129032258</v>
      </c>
      <c r="AY36" s="98">
        <v>929.0322580645161</v>
      </c>
      <c r="AZ36" s="98">
        <v>645.1612903225806</v>
      </c>
      <c r="BA36" s="101" t="s">
        <v>561</v>
      </c>
      <c r="BB36" s="101" t="s">
        <v>561</v>
      </c>
      <c r="BC36" s="101" t="s">
        <v>561</v>
      </c>
      <c r="BD36" s="158">
        <v>0.6998909759999999</v>
      </c>
      <c r="BE36" s="158">
        <v>1.126474457</v>
      </c>
      <c r="BF36" s="162">
        <v>478</v>
      </c>
      <c r="BG36" s="162" t="s">
        <v>561</v>
      </c>
      <c r="BH36" s="162">
        <v>897</v>
      </c>
      <c r="BI36" s="162">
        <v>457</v>
      </c>
      <c r="BJ36" s="162">
        <v>220</v>
      </c>
      <c r="BK36" s="97"/>
      <c r="BL36" s="97"/>
      <c r="BM36" s="97"/>
      <c r="BN36" s="97"/>
    </row>
    <row r="37" spans="1:66" ht="12.75">
      <c r="A37" s="79" t="s">
        <v>513</v>
      </c>
      <c r="B37" s="79" t="s">
        <v>285</v>
      </c>
      <c r="C37" s="79" t="s">
        <v>152</v>
      </c>
      <c r="D37" s="99">
        <v>11521</v>
      </c>
      <c r="E37" s="99">
        <v>2539</v>
      </c>
      <c r="F37" s="99" t="s">
        <v>348</v>
      </c>
      <c r="G37" s="99">
        <v>70</v>
      </c>
      <c r="H37" s="99">
        <v>41</v>
      </c>
      <c r="I37" s="99">
        <v>207</v>
      </c>
      <c r="J37" s="99">
        <v>1136</v>
      </c>
      <c r="K37" s="99">
        <v>9</v>
      </c>
      <c r="L37" s="99">
        <v>2006</v>
      </c>
      <c r="M37" s="99">
        <v>540</v>
      </c>
      <c r="N37" s="99">
        <v>407</v>
      </c>
      <c r="O37" s="99">
        <v>222</v>
      </c>
      <c r="P37" s="159">
        <v>222</v>
      </c>
      <c r="Q37" s="99">
        <v>15</v>
      </c>
      <c r="R37" s="99">
        <v>52</v>
      </c>
      <c r="S37" s="99">
        <v>65</v>
      </c>
      <c r="T37" s="99">
        <v>22</v>
      </c>
      <c r="U37" s="99">
        <v>12</v>
      </c>
      <c r="V37" s="99">
        <v>42</v>
      </c>
      <c r="W37" s="99">
        <v>88</v>
      </c>
      <c r="X37" s="99">
        <v>79</v>
      </c>
      <c r="Y37" s="99">
        <v>185</v>
      </c>
      <c r="Z37" s="99">
        <v>96</v>
      </c>
      <c r="AA37" s="99" t="s">
        <v>561</v>
      </c>
      <c r="AB37" s="99" t="s">
        <v>561</v>
      </c>
      <c r="AC37" s="99" t="s">
        <v>561</v>
      </c>
      <c r="AD37" s="98" t="s">
        <v>327</v>
      </c>
      <c r="AE37" s="100">
        <v>0.22038017533200244</v>
      </c>
      <c r="AF37" s="100">
        <v>0.14</v>
      </c>
      <c r="AG37" s="98">
        <v>607.5861470358476</v>
      </c>
      <c r="AH37" s="98">
        <v>355.87188612099646</v>
      </c>
      <c r="AI37" s="100">
        <v>0.018000000000000002</v>
      </c>
      <c r="AJ37" s="100">
        <v>0.742484</v>
      </c>
      <c r="AK37" s="100">
        <v>0.5</v>
      </c>
      <c r="AL37" s="100">
        <v>0.729189</v>
      </c>
      <c r="AM37" s="100">
        <v>0.35225</v>
      </c>
      <c r="AN37" s="100">
        <v>0.540505</v>
      </c>
      <c r="AO37" s="98">
        <v>1926.9160663136881</v>
      </c>
      <c r="AP37" s="158">
        <v>0.9139730835000001</v>
      </c>
      <c r="AQ37" s="100">
        <v>0.06756756756756757</v>
      </c>
      <c r="AR37" s="100">
        <v>0.28846153846153844</v>
      </c>
      <c r="AS37" s="98">
        <v>564.187136533287</v>
      </c>
      <c r="AT37" s="98">
        <v>190.95564621126638</v>
      </c>
      <c r="AU37" s="98">
        <v>104.1576252061453</v>
      </c>
      <c r="AV37" s="98">
        <v>364.5516882215085</v>
      </c>
      <c r="AW37" s="98">
        <v>763.8225848450655</v>
      </c>
      <c r="AX37" s="98">
        <v>685.7043659404566</v>
      </c>
      <c r="AY37" s="98">
        <v>1605.76338859474</v>
      </c>
      <c r="AZ37" s="98">
        <v>833.2610016491624</v>
      </c>
      <c r="BA37" s="100" t="s">
        <v>561</v>
      </c>
      <c r="BB37" s="100" t="s">
        <v>561</v>
      </c>
      <c r="BC37" s="100" t="s">
        <v>561</v>
      </c>
      <c r="BD37" s="158">
        <v>0.7976908875</v>
      </c>
      <c r="BE37" s="158">
        <v>1.042439194</v>
      </c>
      <c r="BF37" s="162">
        <v>1530</v>
      </c>
      <c r="BG37" s="162">
        <v>18</v>
      </c>
      <c r="BH37" s="162">
        <v>2751</v>
      </c>
      <c r="BI37" s="162">
        <v>1533</v>
      </c>
      <c r="BJ37" s="162">
        <v>753</v>
      </c>
      <c r="BK37" s="97"/>
      <c r="BL37" s="97"/>
      <c r="BM37" s="97"/>
      <c r="BN37" s="97"/>
    </row>
    <row r="38" spans="1:66" ht="12.75">
      <c r="A38" s="79" t="s">
        <v>516</v>
      </c>
      <c r="B38" s="79" t="s">
        <v>288</v>
      </c>
      <c r="C38" s="79" t="s">
        <v>152</v>
      </c>
      <c r="D38" s="99">
        <v>3611</v>
      </c>
      <c r="E38" s="99">
        <v>827</v>
      </c>
      <c r="F38" s="99" t="s">
        <v>347</v>
      </c>
      <c r="G38" s="99">
        <v>22</v>
      </c>
      <c r="H38" s="99">
        <v>11</v>
      </c>
      <c r="I38" s="99">
        <v>64</v>
      </c>
      <c r="J38" s="99">
        <v>139</v>
      </c>
      <c r="K38" s="99">
        <v>124</v>
      </c>
      <c r="L38" s="99">
        <v>668</v>
      </c>
      <c r="M38" s="99">
        <v>196</v>
      </c>
      <c r="N38" s="99">
        <v>134</v>
      </c>
      <c r="O38" s="99">
        <v>86</v>
      </c>
      <c r="P38" s="159">
        <v>86</v>
      </c>
      <c r="Q38" s="99">
        <v>9</v>
      </c>
      <c r="R38" s="99">
        <v>19</v>
      </c>
      <c r="S38" s="99">
        <v>36</v>
      </c>
      <c r="T38" s="99">
        <v>18</v>
      </c>
      <c r="U38" s="99" t="s">
        <v>561</v>
      </c>
      <c r="V38" s="99">
        <v>9</v>
      </c>
      <c r="W38" s="99">
        <v>32</v>
      </c>
      <c r="X38" s="99">
        <v>28</v>
      </c>
      <c r="Y38" s="99">
        <v>46</v>
      </c>
      <c r="Z38" s="99">
        <v>28</v>
      </c>
      <c r="AA38" s="99" t="s">
        <v>561</v>
      </c>
      <c r="AB38" s="99" t="s">
        <v>561</v>
      </c>
      <c r="AC38" s="99" t="s">
        <v>561</v>
      </c>
      <c r="AD38" s="98" t="s">
        <v>327</v>
      </c>
      <c r="AE38" s="100">
        <v>0.22902243145942952</v>
      </c>
      <c r="AF38" s="100">
        <v>0.1</v>
      </c>
      <c r="AG38" s="98">
        <v>609.2495153697037</v>
      </c>
      <c r="AH38" s="98">
        <v>304.62475768485183</v>
      </c>
      <c r="AI38" s="100">
        <v>0.018000000000000002</v>
      </c>
      <c r="AJ38" s="100">
        <v>0.261278</v>
      </c>
      <c r="AK38" s="100">
        <v>0.918519</v>
      </c>
      <c r="AL38" s="100">
        <v>0.799043</v>
      </c>
      <c r="AM38" s="100">
        <v>0.390438</v>
      </c>
      <c r="AN38" s="100">
        <v>0.55144</v>
      </c>
      <c r="AO38" s="98">
        <v>2381.6117418997505</v>
      </c>
      <c r="AP38" s="158">
        <v>1.074696732</v>
      </c>
      <c r="AQ38" s="100">
        <v>0.10465116279069768</v>
      </c>
      <c r="AR38" s="100">
        <v>0.47368421052631576</v>
      </c>
      <c r="AS38" s="98">
        <v>996.9537524231515</v>
      </c>
      <c r="AT38" s="98">
        <v>498.47687621157576</v>
      </c>
      <c r="AU38" s="98" t="s">
        <v>561</v>
      </c>
      <c r="AV38" s="98">
        <v>249.23843810578788</v>
      </c>
      <c r="AW38" s="98">
        <v>886.1811132650236</v>
      </c>
      <c r="AX38" s="98">
        <v>775.4084741068956</v>
      </c>
      <c r="AY38" s="98">
        <v>1273.8853503184714</v>
      </c>
      <c r="AZ38" s="98">
        <v>775.4084741068956</v>
      </c>
      <c r="BA38" s="100" t="s">
        <v>561</v>
      </c>
      <c r="BB38" s="100" t="s">
        <v>561</v>
      </c>
      <c r="BC38" s="100" t="s">
        <v>561</v>
      </c>
      <c r="BD38" s="158">
        <v>0.8596186829</v>
      </c>
      <c r="BE38" s="158">
        <v>1.327241669</v>
      </c>
      <c r="BF38" s="162">
        <v>532</v>
      </c>
      <c r="BG38" s="162">
        <v>135</v>
      </c>
      <c r="BH38" s="162">
        <v>836</v>
      </c>
      <c r="BI38" s="162">
        <v>502</v>
      </c>
      <c r="BJ38" s="162">
        <v>243</v>
      </c>
      <c r="BK38" s="97"/>
      <c r="BL38" s="97"/>
      <c r="BM38" s="97"/>
      <c r="BN38" s="97"/>
    </row>
    <row r="39" spans="1:66" ht="12.75">
      <c r="A39" s="79" t="s">
        <v>537</v>
      </c>
      <c r="B39" s="79" t="s">
        <v>309</v>
      </c>
      <c r="C39" s="79" t="s">
        <v>152</v>
      </c>
      <c r="D39" s="99">
        <v>9768</v>
      </c>
      <c r="E39" s="99">
        <v>1723</v>
      </c>
      <c r="F39" s="99" t="s">
        <v>347</v>
      </c>
      <c r="G39" s="99">
        <v>50</v>
      </c>
      <c r="H39" s="99">
        <v>24</v>
      </c>
      <c r="I39" s="99">
        <v>149</v>
      </c>
      <c r="J39" s="99">
        <v>1154</v>
      </c>
      <c r="K39" s="99">
        <v>420</v>
      </c>
      <c r="L39" s="99">
        <v>1904</v>
      </c>
      <c r="M39" s="99">
        <v>530</v>
      </c>
      <c r="N39" s="99">
        <v>384</v>
      </c>
      <c r="O39" s="99">
        <v>224</v>
      </c>
      <c r="P39" s="159">
        <v>224</v>
      </c>
      <c r="Q39" s="99">
        <v>26</v>
      </c>
      <c r="R39" s="99">
        <v>46</v>
      </c>
      <c r="S39" s="99">
        <v>67</v>
      </c>
      <c r="T39" s="99">
        <v>29</v>
      </c>
      <c r="U39" s="99">
        <v>8</v>
      </c>
      <c r="V39" s="99">
        <v>35</v>
      </c>
      <c r="W39" s="99">
        <v>61</v>
      </c>
      <c r="X39" s="99">
        <v>28</v>
      </c>
      <c r="Y39" s="99">
        <v>115</v>
      </c>
      <c r="Z39" s="99">
        <v>52</v>
      </c>
      <c r="AA39" s="99" t="s">
        <v>561</v>
      </c>
      <c r="AB39" s="99" t="s">
        <v>561</v>
      </c>
      <c r="AC39" s="99" t="s">
        <v>561</v>
      </c>
      <c r="AD39" s="98" t="s">
        <v>327</v>
      </c>
      <c r="AE39" s="100">
        <v>0.1763923013923014</v>
      </c>
      <c r="AF39" s="100">
        <v>0.09</v>
      </c>
      <c r="AG39" s="98">
        <v>511.87551187551185</v>
      </c>
      <c r="AH39" s="98">
        <v>245.7002457002457</v>
      </c>
      <c r="AI39" s="100">
        <v>0.015</v>
      </c>
      <c r="AJ39" s="100">
        <v>0.82724</v>
      </c>
      <c r="AK39" s="100">
        <v>0.820313</v>
      </c>
      <c r="AL39" s="100">
        <v>0.776192</v>
      </c>
      <c r="AM39" s="100">
        <v>0.407379</v>
      </c>
      <c r="AN39" s="100">
        <v>0.593509</v>
      </c>
      <c r="AO39" s="98">
        <v>2293.2022932022933</v>
      </c>
      <c r="AP39" s="158">
        <v>1.154991608</v>
      </c>
      <c r="AQ39" s="100">
        <v>0.11607142857142858</v>
      </c>
      <c r="AR39" s="100">
        <v>0.5652173913043478</v>
      </c>
      <c r="AS39" s="98">
        <v>685.9131859131859</v>
      </c>
      <c r="AT39" s="98">
        <v>296.88779688779687</v>
      </c>
      <c r="AU39" s="98">
        <v>81.9000819000819</v>
      </c>
      <c r="AV39" s="98">
        <v>358.31285831285834</v>
      </c>
      <c r="AW39" s="98">
        <v>624.4881244881245</v>
      </c>
      <c r="AX39" s="98">
        <v>286.65028665028666</v>
      </c>
      <c r="AY39" s="98">
        <v>1177.3136773136773</v>
      </c>
      <c r="AZ39" s="98">
        <v>532.3505323505324</v>
      </c>
      <c r="BA39" s="100" t="s">
        <v>561</v>
      </c>
      <c r="BB39" s="100" t="s">
        <v>561</v>
      </c>
      <c r="BC39" s="100" t="s">
        <v>561</v>
      </c>
      <c r="BD39" s="158">
        <v>1.008680344</v>
      </c>
      <c r="BE39" s="158">
        <v>1.3165608219999998</v>
      </c>
      <c r="BF39" s="162">
        <v>1395</v>
      </c>
      <c r="BG39" s="162">
        <v>512</v>
      </c>
      <c r="BH39" s="162">
        <v>2453</v>
      </c>
      <c r="BI39" s="162">
        <v>1301</v>
      </c>
      <c r="BJ39" s="162">
        <v>647</v>
      </c>
      <c r="BK39" s="97"/>
      <c r="BL39" s="97"/>
      <c r="BM39" s="97"/>
      <c r="BN39" s="97"/>
    </row>
    <row r="40" spans="1:66" ht="12.75">
      <c r="A40" s="79" t="s">
        <v>550</v>
      </c>
      <c r="B40" s="79" t="s">
        <v>322</v>
      </c>
      <c r="C40" s="79" t="s">
        <v>152</v>
      </c>
      <c r="D40" s="99">
        <v>7640</v>
      </c>
      <c r="E40" s="99">
        <v>1503</v>
      </c>
      <c r="F40" s="99" t="s">
        <v>347</v>
      </c>
      <c r="G40" s="99">
        <v>38</v>
      </c>
      <c r="H40" s="99">
        <v>16</v>
      </c>
      <c r="I40" s="99">
        <v>148</v>
      </c>
      <c r="J40" s="99">
        <v>815</v>
      </c>
      <c r="K40" s="99">
        <v>803</v>
      </c>
      <c r="L40" s="99">
        <v>1492</v>
      </c>
      <c r="M40" s="99">
        <v>366</v>
      </c>
      <c r="N40" s="99">
        <v>279</v>
      </c>
      <c r="O40" s="99">
        <v>164</v>
      </c>
      <c r="P40" s="159">
        <v>164</v>
      </c>
      <c r="Q40" s="99">
        <v>13</v>
      </c>
      <c r="R40" s="99">
        <v>32</v>
      </c>
      <c r="S40" s="99">
        <v>73</v>
      </c>
      <c r="T40" s="99">
        <v>16</v>
      </c>
      <c r="U40" s="99">
        <v>6</v>
      </c>
      <c r="V40" s="99">
        <v>13</v>
      </c>
      <c r="W40" s="99">
        <v>32</v>
      </c>
      <c r="X40" s="99">
        <v>43</v>
      </c>
      <c r="Y40" s="99">
        <v>101</v>
      </c>
      <c r="Z40" s="99">
        <v>31</v>
      </c>
      <c r="AA40" s="99" t="s">
        <v>561</v>
      </c>
      <c r="AB40" s="99" t="s">
        <v>561</v>
      </c>
      <c r="AC40" s="99" t="s">
        <v>561</v>
      </c>
      <c r="AD40" s="98" t="s">
        <v>327</v>
      </c>
      <c r="AE40" s="100">
        <v>0.19672774869109946</v>
      </c>
      <c r="AF40" s="100">
        <v>0.12</v>
      </c>
      <c r="AG40" s="98">
        <v>497.3821989528796</v>
      </c>
      <c r="AH40" s="98">
        <v>209.4240837696335</v>
      </c>
      <c r="AI40" s="100">
        <v>0.019</v>
      </c>
      <c r="AJ40" s="100">
        <v>0.81992</v>
      </c>
      <c r="AK40" s="100">
        <v>0.826132</v>
      </c>
      <c r="AL40" s="100">
        <v>0.770263</v>
      </c>
      <c r="AM40" s="100">
        <v>0.397826</v>
      </c>
      <c r="AN40" s="100">
        <v>0.617257</v>
      </c>
      <c r="AO40" s="98">
        <v>2146.5968586387435</v>
      </c>
      <c r="AP40" s="158">
        <v>1.064235992</v>
      </c>
      <c r="AQ40" s="100">
        <v>0.07926829268292683</v>
      </c>
      <c r="AR40" s="100">
        <v>0.40625</v>
      </c>
      <c r="AS40" s="98">
        <v>955.4973821989529</v>
      </c>
      <c r="AT40" s="98">
        <v>209.4240837696335</v>
      </c>
      <c r="AU40" s="98">
        <v>78.53403141361257</v>
      </c>
      <c r="AV40" s="98">
        <v>170.15706806282722</v>
      </c>
      <c r="AW40" s="98">
        <v>418.848167539267</v>
      </c>
      <c r="AX40" s="98">
        <v>562.82722513089</v>
      </c>
      <c r="AY40" s="98">
        <v>1321.9895287958116</v>
      </c>
      <c r="AZ40" s="98">
        <v>405.75916230366494</v>
      </c>
      <c r="BA40" s="100" t="s">
        <v>561</v>
      </c>
      <c r="BB40" s="100" t="s">
        <v>561</v>
      </c>
      <c r="BC40" s="100" t="s">
        <v>561</v>
      </c>
      <c r="BD40" s="158">
        <v>0.9075879669</v>
      </c>
      <c r="BE40" s="158">
        <v>1.240156555</v>
      </c>
      <c r="BF40" s="162">
        <v>994</v>
      </c>
      <c r="BG40" s="162">
        <v>972</v>
      </c>
      <c r="BH40" s="162">
        <v>1937</v>
      </c>
      <c r="BI40" s="162">
        <v>920</v>
      </c>
      <c r="BJ40" s="162">
        <v>452</v>
      </c>
      <c r="BK40" s="97"/>
      <c r="BL40" s="97"/>
      <c r="BM40" s="97"/>
      <c r="BN40" s="97"/>
    </row>
    <row r="41" spans="1:66" ht="12.75">
      <c r="A41" s="79" t="s">
        <v>518</v>
      </c>
      <c r="B41" s="79" t="s">
        <v>290</v>
      </c>
      <c r="C41" s="79" t="s">
        <v>152</v>
      </c>
      <c r="D41" s="99">
        <v>8309</v>
      </c>
      <c r="E41" s="99">
        <v>2148</v>
      </c>
      <c r="F41" s="99" t="s">
        <v>347</v>
      </c>
      <c r="G41" s="99">
        <v>70</v>
      </c>
      <c r="H41" s="99">
        <v>32</v>
      </c>
      <c r="I41" s="99">
        <v>220</v>
      </c>
      <c r="J41" s="99">
        <v>1059</v>
      </c>
      <c r="K41" s="99">
        <v>59</v>
      </c>
      <c r="L41" s="99">
        <v>1426</v>
      </c>
      <c r="M41" s="99">
        <v>569</v>
      </c>
      <c r="N41" s="99">
        <v>417</v>
      </c>
      <c r="O41" s="99">
        <v>235</v>
      </c>
      <c r="P41" s="159">
        <v>235</v>
      </c>
      <c r="Q41" s="99">
        <v>19</v>
      </c>
      <c r="R41" s="99">
        <v>35</v>
      </c>
      <c r="S41" s="99">
        <v>58</v>
      </c>
      <c r="T41" s="99">
        <v>19</v>
      </c>
      <c r="U41" s="99">
        <v>8</v>
      </c>
      <c r="V41" s="99">
        <v>41</v>
      </c>
      <c r="W41" s="99">
        <v>32</v>
      </c>
      <c r="X41" s="99">
        <v>37</v>
      </c>
      <c r="Y41" s="99">
        <v>90</v>
      </c>
      <c r="Z41" s="99">
        <v>93</v>
      </c>
      <c r="AA41" s="99" t="s">
        <v>561</v>
      </c>
      <c r="AB41" s="99" t="s">
        <v>561</v>
      </c>
      <c r="AC41" s="99" t="s">
        <v>561</v>
      </c>
      <c r="AD41" s="98" t="s">
        <v>327</v>
      </c>
      <c r="AE41" s="100">
        <v>0.2585148634011313</v>
      </c>
      <c r="AF41" s="100">
        <v>0.12</v>
      </c>
      <c r="AG41" s="98">
        <v>842.4599831508003</v>
      </c>
      <c r="AH41" s="98">
        <v>385.12456372608017</v>
      </c>
      <c r="AI41" s="100">
        <v>0.026000000000000002</v>
      </c>
      <c r="AJ41" s="100">
        <v>0.775824</v>
      </c>
      <c r="AK41" s="100">
        <v>0.710843</v>
      </c>
      <c r="AL41" s="100">
        <v>0.753302</v>
      </c>
      <c r="AM41" s="100">
        <v>0.435348</v>
      </c>
      <c r="AN41" s="100">
        <v>0.624251</v>
      </c>
      <c r="AO41" s="98">
        <v>2828.258514863401</v>
      </c>
      <c r="AP41" s="158">
        <v>1.211431503</v>
      </c>
      <c r="AQ41" s="100">
        <v>0.08085106382978724</v>
      </c>
      <c r="AR41" s="100">
        <v>0.5428571428571428</v>
      </c>
      <c r="AS41" s="98">
        <v>698.0382717535202</v>
      </c>
      <c r="AT41" s="98">
        <v>228.66770971236008</v>
      </c>
      <c r="AU41" s="98">
        <v>96.28114093152004</v>
      </c>
      <c r="AV41" s="98">
        <v>493.4408472740402</v>
      </c>
      <c r="AW41" s="98">
        <v>385.12456372608017</v>
      </c>
      <c r="AX41" s="98">
        <v>445.30027680828016</v>
      </c>
      <c r="AY41" s="98">
        <v>1083.1628354796005</v>
      </c>
      <c r="AZ41" s="98">
        <v>1119.2682633289205</v>
      </c>
      <c r="BA41" s="100" t="s">
        <v>561</v>
      </c>
      <c r="BB41" s="100" t="s">
        <v>561</v>
      </c>
      <c r="BC41" s="100" t="s">
        <v>561</v>
      </c>
      <c r="BD41" s="158">
        <v>1.0614840700000001</v>
      </c>
      <c r="BE41" s="158">
        <v>1.376625519</v>
      </c>
      <c r="BF41" s="162">
        <v>1365</v>
      </c>
      <c r="BG41" s="162">
        <v>83</v>
      </c>
      <c r="BH41" s="162">
        <v>1893</v>
      </c>
      <c r="BI41" s="162">
        <v>1307</v>
      </c>
      <c r="BJ41" s="162">
        <v>668</v>
      </c>
      <c r="BK41" s="97"/>
      <c r="BL41" s="97"/>
      <c r="BM41" s="97"/>
      <c r="BN41" s="97"/>
    </row>
    <row r="42" spans="1:66" ht="12.75">
      <c r="A42" s="79" t="s">
        <v>526</v>
      </c>
      <c r="B42" s="79" t="s">
        <v>298</v>
      </c>
      <c r="C42" s="79" t="s">
        <v>152</v>
      </c>
      <c r="D42" s="99">
        <v>12479</v>
      </c>
      <c r="E42" s="99">
        <v>2401</v>
      </c>
      <c r="F42" s="99" t="s">
        <v>348</v>
      </c>
      <c r="G42" s="99">
        <v>57</v>
      </c>
      <c r="H42" s="99">
        <v>36</v>
      </c>
      <c r="I42" s="99">
        <v>250</v>
      </c>
      <c r="J42" s="99">
        <v>1221</v>
      </c>
      <c r="K42" s="99">
        <v>7</v>
      </c>
      <c r="L42" s="99">
        <v>2169</v>
      </c>
      <c r="M42" s="99">
        <v>638</v>
      </c>
      <c r="N42" s="99">
        <v>445</v>
      </c>
      <c r="O42" s="99">
        <v>270</v>
      </c>
      <c r="P42" s="159">
        <v>270</v>
      </c>
      <c r="Q42" s="99">
        <v>22</v>
      </c>
      <c r="R42" s="99">
        <v>56</v>
      </c>
      <c r="S42" s="99">
        <v>78</v>
      </c>
      <c r="T42" s="99">
        <v>19</v>
      </c>
      <c r="U42" s="99">
        <v>8</v>
      </c>
      <c r="V42" s="99">
        <v>29</v>
      </c>
      <c r="W42" s="99">
        <v>79</v>
      </c>
      <c r="X42" s="99">
        <v>48</v>
      </c>
      <c r="Y42" s="99">
        <v>142</v>
      </c>
      <c r="Z42" s="99">
        <v>64</v>
      </c>
      <c r="AA42" s="99" t="s">
        <v>561</v>
      </c>
      <c r="AB42" s="99" t="s">
        <v>561</v>
      </c>
      <c r="AC42" s="99" t="s">
        <v>561</v>
      </c>
      <c r="AD42" s="98" t="s">
        <v>327</v>
      </c>
      <c r="AE42" s="100">
        <v>0.19240323743889734</v>
      </c>
      <c r="AF42" s="100">
        <v>0.13</v>
      </c>
      <c r="AG42" s="98">
        <v>456.7673691802228</v>
      </c>
      <c r="AH42" s="98">
        <v>288.48465421908804</v>
      </c>
      <c r="AI42" s="100">
        <v>0.02</v>
      </c>
      <c r="AJ42" s="100">
        <v>0.763125</v>
      </c>
      <c r="AK42" s="100">
        <v>0.466667</v>
      </c>
      <c r="AL42" s="100">
        <v>0.747673</v>
      </c>
      <c r="AM42" s="100">
        <v>0.406628</v>
      </c>
      <c r="AN42" s="100">
        <v>0.566158</v>
      </c>
      <c r="AO42" s="98">
        <v>2163.6349066431603</v>
      </c>
      <c r="AP42" s="158">
        <v>1.075616608</v>
      </c>
      <c r="AQ42" s="100">
        <v>0.08148148148148149</v>
      </c>
      <c r="AR42" s="100">
        <v>0.39285714285714285</v>
      </c>
      <c r="AS42" s="98">
        <v>625.0500841413575</v>
      </c>
      <c r="AT42" s="98">
        <v>152.25578972674091</v>
      </c>
      <c r="AU42" s="98">
        <v>64.10770093757513</v>
      </c>
      <c r="AV42" s="98">
        <v>232.39041589870982</v>
      </c>
      <c r="AW42" s="98">
        <v>633.0635467585544</v>
      </c>
      <c r="AX42" s="98">
        <v>384.64620562545076</v>
      </c>
      <c r="AY42" s="98">
        <v>1137.9116916419584</v>
      </c>
      <c r="AZ42" s="98">
        <v>512.861607500601</v>
      </c>
      <c r="BA42" s="100" t="s">
        <v>561</v>
      </c>
      <c r="BB42" s="100" t="s">
        <v>561</v>
      </c>
      <c r="BC42" s="100" t="s">
        <v>561</v>
      </c>
      <c r="BD42" s="158">
        <v>0.9511313629</v>
      </c>
      <c r="BE42" s="158">
        <v>1.211867523</v>
      </c>
      <c r="BF42" s="162">
        <v>1600</v>
      </c>
      <c r="BG42" s="162">
        <v>15</v>
      </c>
      <c r="BH42" s="162">
        <v>2901</v>
      </c>
      <c r="BI42" s="162">
        <v>1569</v>
      </c>
      <c r="BJ42" s="162">
        <v>786</v>
      </c>
      <c r="BK42" s="97"/>
      <c r="BL42" s="97"/>
      <c r="BM42" s="97"/>
      <c r="BN42" s="97"/>
    </row>
    <row r="43" spans="1:66" ht="12.75">
      <c r="A43" s="79" t="s">
        <v>553</v>
      </c>
      <c r="B43" s="79" t="s">
        <v>325</v>
      </c>
      <c r="C43" s="79" t="s">
        <v>152</v>
      </c>
      <c r="D43" s="99">
        <v>3455</v>
      </c>
      <c r="E43" s="99">
        <v>942</v>
      </c>
      <c r="F43" s="99" t="s">
        <v>347</v>
      </c>
      <c r="G43" s="99">
        <v>17</v>
      </c>
      <c r="H43" s="99">
        <v>12</v>
      </c>
      <c r="I43" s="99">
        <v>120</v>
      </c>
      <c r="J43" s="99">
        <v>302</v>
      </c>
      <c r="K43" s="99">
        <v>283</v>
      </c>
      <c r="L43" s="99">
        <v>376</v>
      </c>
      <c r="M43" s="99">
        <v>181</v>
      </c>
      <c r="N43" s="99">
        <v>111</v>
      </c>
      <c r="O43" s="99">
        <v>106</v>
      </c>
      <c r="P43" s="159">
        <v>106</v>
      </c>
      <c r="Q43" s="99">
        <v>11</v>
      </c>
      <c r="R43" s="99">
        <v>19</v>
      </c>
      <c r="S43" s="99">
        <v>25</v>
      </c>
      <c r="T43" s="99">
        <v>14</v>
      </c>
      <c r="U43" s="99" t="s">
        <v>561</v>
      </c>
      <c r="V43" s="99">
        <v>18</v>
      </c>
      <c r="W43" s="99">
        <v>18</v>
      </c>
      <c r="X43" s="99">
        <v>22</v>
      </c>
      <c r="Y43" s="99">
        <v>28</v>
      </c>
      <c r="Z43" s="99">
        <v>16</v>
      </c>
      <c r="AA43" s="99" t="s">
        <v>561</v>
      </c>
      <c r="AB43" s="99" t="s">
        <v>561</v>
      </c>
      <c r="AC43" s="99" t="s">
        <v>561</v>
      </c>
      <c r="AD43" s="98" t="s">
        <v>327</v>
      </c>
      <c r="AE43" s="100">
        <v>0.2726483357452967</v>
      </c>
      <c r="AF43" s="100">
        <v>0.09</v>
      </c>
      <c r="AG43" s="98">
        <v>492.04052098408107</v>
      </c>
      <c r="AH43" s="98">
        <v>347.32272069464545</v>
      </c>
      <c r="AI43" s="100">
        <v>0.035</v>
      </c>
      <c r="AJ43" s="100">
        <v>0.758794</v>
      </c>
      <c r="AK43" s="100">
        <v>0.754667</v>
      </c>
      <c r="AL43" s="100">
        <v>0.794926</v>
      </c>
      <c r="AM43" s="100">
        <v>0.424883</v>
      </c>
      <c r="AN43" s="100">
        <v>0.590426</v>
      </c>
      <c r="AO43" s="98">
        <v>3068.0173661360345</v>
      </c>
      <c r="AP43" s="158">
        <v>1.24028389</v>
      </c>
      <c r="AQ43" s="100">
        <v>0.10377358490566038</v>
      </c>
      <c r="AR43" s="100">
        <v>0.5789473684210527</v>
      </c>
      <c r="AS43" s="98">
        <v>723.589001447178</v>
      </c>
      <c r="AT43" s="98">
        <v>405.2098408104197</v>
      </c>
      <c r="AU43" s="98" t="s">
        <v>561</v>
      </c>
      <c r="AV43" s="98">
        <v>520.9840810419681</v>
      </c>
      <c r="AW43" s="98">
        <v>520.9840810419681</v>
      </c>
      <c r="AX43" s="98">
        <v>636.7583212735167</v>
      </c>
      <c r="AY43" s="98">
        <v>810.4196816208394</v>
      </c>
      <c r="AZ43" s="98">
        <v>463.0969609261939</v>
      </c>
      <c r="BA43" s="100" t="s">
        <v>561</v>
      </c>
      <c r="BB43" s="100" t="s">
        <v>561</v>
      </c>
      <c r="BC43" s="100" t="s">
        <v>561</v>
      </c>
      <c r="BD43" s="158">
        <v>1.015442886</v>
      </c>
      <c r="BE43" s="158">
        <v>1.500087738</v>
      </c>
      <c r="BF43" s="162">
        <v>398</v>
      </c>
      <c r="BG43" s="162">
        <v>375</v>
      </c>
      <c r="BH43" s="162">
        <v>473</v>
      </c>
      <c r="BI43" s="162">
        <v>426</v>
      </c>
      <c r="BJ43" s="162">
        <v>188</v>
      </c>
      <c r="BK43" s="97"/>
      <c r="BL43" s="97"/>
      <c r="BM43" s="97"/>
      <c r="BN43" s="97"/>
    </row>
    <row r="44" spans="1:66" ht="12.75">
      <c r="A44" s="79" t="s">
        <v>536</v>
      </c>
      <c r="B44" s="79" t="s">
        <v>308</v>
      </c>
      <c r="C44" s="79" t="s">
        <v>152</v>
      </c>
      <c r="D44" s="99">
        <v>9929</v>
      </c>
      <c r="E44" s="99">
        <v>2121</v>
      </c>
      <c r="F44" s="99" t="s">
        <v>347</v>
      </c>
      <c r="G44" s="99">
        <v>44</v>
      </c>
      <c r="H44" s="99">
        <v>26</v>
      </c>
      <c r="I44" s="99">
        <v>220</v>
      </c>
      <c r="J44" s="99">
        <v>1057</v>
      </c>
      <c r="K44" s="99">
        <v>728</v>
      </c>
      <c r="L44" s="99">
        <v>1708</v>
      </c>
      <c r="M44" s="99">
        <v>542</v>
      </c>
      <c r="N44" s="99">
        <v>371</v>
      </c>
      <c r="O44" s="99">
        <v>187</v>
      </c>
      <c r="P44" s="159">
        <v>187</v>
      </c>
      <c r="Q44" s="99">
        <v>20</v>
      </c>
      <c r="R44" s="99">
        <v>41</v>
      </c>
      <c r="S44" s="99">
        <v>54</v>
      </c>
      <c r="T44" s="99">
        <v>23</v>
      </c>
      <c r="U44" s="99" t="s">
        <v>561</v>
      </c>
      <c r="V44" s="99">
        <v>33</v>
      </c>
      <c r="W44" s="99">
        <v>70</v>
      </c>
      <c r="X44" s="99">
        <v>48</v>
      </c>
      <c r="Y44" s="99">
        <v>106</v>
      </c>
      <c r="Z44" s="99">
        <v>42</v>
      </c>
      <c r="AA44" s="99" t="s">
        <v>561</v>
      </c>
      <c r="AB44" s="99" t="s">
        <v>561</v>
      </c>
      <c r="AC44" s="99" t="s">
        <v>561</v>
      </c>
      <c r="AD44" s="98" t="s">
        <v>327</v>
      </c>
      <c r="AE44" s="100">
        <v>0.213616678416759</v>
      </c>
      <c r="AF44" s="100">
        <v>0.11</v>
      </c>
      <c r="AG44" s="98">
        <v>443.14633900694935</v>
      </c>
      <c r="AH44" s="98">
        <v>261.85920032228825</v>
      </c>
      <c r="AI44" s="100">
        <v>0.022000000000000002</v>
      </c>
      <c r="AJ44" s="100">
        <v>0.782383</v>
      </c>
      <c r="AK44" s="100">
        <v>0.818898</v>
      </c>
      <c r="AL44" s="100">
        <v>0.757428</v>
      </c>
      <c r="AM44" s="100">
        <v>0.416603</v>
      </c>
      <c r="AN44" s="100">
        <v>0.568147</v>
      </c>
      <c r="AO44" s="98">
        <v>1883.3719407795347</v>
      </c>
      <c r="AP44" s="158">
        <v>0.8958203888</v>
      </c>
      <c r="AQ44" s="100">
        <v>0.10695187165775401</v>
      </c>
      <c r="AR44" s="100">
        <v>0.4878048780487805</v>
      </c>
      <c r="AS44" s="98">
        <v>543.8614160539832</v>
      </c>
      <c r="AT44" s="98">
        <v>231.64467720817805</v>
      </c>
      <c r="AU44" s="98" t="s">
        <v>561</v>
      </c>
      <c r="AV44" s="98">
        <v>332.359754255212</v>
      </c>
      <c r="AW44" s="98">
        <v>705.0055393292375</v>
      </c>
      <c r="AX44" s="98">
        <v>483.4323698257629</v>
      </c>
      <c r="AY44" s="98">
        <v>1067.5798166985599</v>
      </c>
      <c r="AZ44" s="98">
        <v>423.00332359754253</v>
      </c>
      <c r="BA44" s="100" t="s">
        <v>561</v>
      </c>
      <c r="BB44" s="100" t="s">
        <v>561</v>
      </c>
      <c r="BC44" s="100" t="s">
        <v>561</v>
      </c>
      <c r="BD44" s="158">
        <v>0.7720211028999999</v>
      </c>
      <c r="BE44" s="158">
        <v>1.03382431</v>
      </c>
      <c r="BF44" s="162">
        <v>1351</v>
      </c>
      <c r="BG44" s="162">
        <v>889</v>
      </c>
      <c r="BH44" s="162">
        <v>2255</v>
      </c>
      <c r="BI44" s="162">
        <v>1301</v>
      </c>
      <c r="BJ44" s="162">
        <v>653</v>
      </c>
      <c r="BK44" s="97"/>
      <c r="BL44" s="97"/>
      <c r="BM44" s="97"/>
      <c r="BN44" s="97"/>
    </row>
    <row r="45" spans="1:66" ht="12.75">
      <c r="A45" s="79" t="s">
        <v>517</v>
      </c>
      <c r="B45" s="79" t="s">
        <v>289</v>
      </c>
      <c r="C45" s="79" t="s">
        <v>152</v>
      </c>
      <c r="D45" s="99">
        <v>3321</v>
      </c>
      <c r="E45" s="99">
        <v>697</v>
      </c>
      <c r="F45" s="99" t="s">
        <v>347</v>
      </c>
      <c r="G45" s="99" t="s">
        <v>561</v>
      </c>
      <c r="H45" s="99">
        <v>7</v>
      </c>
      <c r="I45" s="99">
        <v>55</v>
      </c>
      <c r="J45" s="99">
        <v>333</v>
      </c>
      <c r="K45" s="99">
        <v>328</v>
      </c>
      <c r="L45" s="99">
        <v>442</v>
      </c>
      <c r="M45" s="99">
        <v>178</v>
      </c>
      <c r="N45" s="99">
        <v>132</v>
      </c>
      <c r="O45" s="99">
        <v>91</v>
      </c>
      <c r="P45" s="159">
        <v>91</v>
      </c>
      <c r="Q45" s="99">
        <v>8</v>
      </c>
      <c r="R45" s="99">
        <v>18</v>
      </c>
      <c r="S45" s="99">
        <v>30</v>
      </c>
      <c r="T45" s="99">
        <v>8</v>
      </c>
      <c r="U45" s="99" t="s">
        <v>561</v>
      </c>
      <c r="V45" s="99">
        <v>26</v>
      </c>
      <c r="W45" s="99">
        <v>23</v>
      </c>
      <c r="X45" s="99">
        <v>37</v>
      </c>
      <c r="Y45" s="99">
        <v>49</v>
      </c>
      <c r="Z45" s="99">
        <v>23</v>
      </c>
      <c r="AA45" s="99" t="s">
        <v>561</v>
      </c>
      <c r="AB45" s="99" t="s">
        <v>561</v>
      </c>
      <c r="AC45" s="99" t="s">
        <v>561</v>
      </c>
      <c r="AD45" s="98" t="s">
        <v>327</v>
      </c>
      <c r="AE45" s="100">
        <v>0.20987654320987653</v>
      </c>
      <c r="AF45" s="100">
        <v>0.09</v>
      </c>
      <c r="AG45" s="98" t="s">
        <v>561</v>
      </c>
      <c r="AH45" s="98">
        <v>210.77988557663355</v>
      </c>
      <c r="AI45" s="100">
        <v>0.017</v>
      </c>
      <c r="AJ45" s="100">
        <v>0.8325</v>
      </c>
      <c r="AK45" s="100">
        <v>0.851948</v>
      </c>
      <c r="AL45" s="100">
        <v>0.793537</v>
      </c>
      <c r="AM45" s="100">
        <v>0.450633</v>
      </c>
      <c r="AN45" s="100">
        <v>0.616822</v>
      </c>
      <c r="AO45" s="98">
        <v>2740.138512496236</v>
      </c>
      <c r="AP45" s="158">
        <v>1.2789732360000001</v>
      </c>
      <c r="AQ45" s="100">
        <v>0.08791208791208792</v>
      </c>
      <c r="AR45" s="100">
        <v>0.4444444444444444</v>
      </c>
      <c r="AS45" s="98">
        <v>903.342366757001</v>
      </c>
      <c r="AT45" s="98">
        <v>240.8912978018669</v>
      </c>
      <c r="AU45" s="98" t="s">
        <v>561</v>
      </c>
      <c r="AV45" s="98">
        <v>782.8967178560674</v>
      </c>
      <c r="AW45" s="98">
        <v>692.5624811803674</v>
      </c>
      <c r="AX45" s="98">
        <v>1114.1222523336344</v>
      </c>
      <c r="AY45" s="98">
        <v>1475.4591990364347</v>
      </c>
      <c r="AZ45" s="98">
        <v>692.5624811803674</v>
      </c>
      <c r="BA45" s="100" t="s">
        <v>561</v>
      </c>
      <c r="BB45" s="100" t="s">
        <v>561</v>
      </c>
      <c r="BC45" s="100" t="s">
        <v>561</v>
      </c>
      <c r="BD45" s="158">
        <v>1.029749451</v>
      </c>
      <c r="BE45" s="158">
        <v>1.570295715</v>
      </c>
      <c r="BF45" s="162">
        <v>400</v>
      </c>
      <c r="BG45" s="162">
        <v>385</v>
      </c>
      <c r="BH45" s="162">
        <v>557</v>
      </c>
      <c r="BI45" s="162">
        <v>395</v>
      </c>
      <c r="BJ45" s="162">
        <v>214</v>
      </c>
      <c r="BK45" s="97"/>
      <c r="BL45" s="97"/>
      <c r="BM45" s="97"/>
      <c r="BN45" s="97"/>
    </row>
    <row r="46" spans="1:66" ht="12.75">
      <c r="A46" s="79" t="s">
        <v>530</v>
      </c>
      <c r="B46" s="79" t="s">
        <v>302</v>
      </c>
      <c r="C46" s="79" t="s">
        <v>152</v>
      </c>
      <c r="D46" s="99">
        <v>6675</v>
      </c>
      <c r="E46" s="99">
        <v>1361</v>
      </c>
      <c r="F46" s="99" t="s">
        <v>347</v>
      </c>
      <c r="G46" s="99">
        <v>29</v>
      </c>
      <c r="H46" s="99">
        <v>17</v>
      </c>
      <c r="I46" s="99">
        <v>117</v>
      </c>
      <c r="J46" s="99">
        <v>599</v>
      </c>
      <c r="K46" s="99" t="s">
        <v>561</v>
      </c>
      <c r="L46" s="99">
        <v>1137</v>
      </c>
      <c r="M46" s="99">
        <v>274</v>
      </c>
      <c r="N46" s="99">
        <v>192</v>
      </c>
      <c r="O46" s="99">
        <v>90</v>
      </c>
      <c r="P46" s="159">
        <v>90</v>
      </c>
      <c r="Q46" s="99">
        <v>12</v>
      </c>
      <c r="R46" s="99">
        <v>20</v>
      </c>
      <c r="S46" s="99">
        <v>41</v>
      </c>
      <c r="T46" s="99" t="s">
        <v>561</v>
      </c>
      <c r="U46" s="99" t="s">
        <v>561</v>
      </c>
      <c r="V46" s="99">
        <v>16</v>
      </c>
      <c r="W46" s="99">
        <v>41</v>
      </c>
      <c r="X46" s="99">
        <v>29</v>
      </c>
      <c r="Y46" s="99">
        <v>68</v>
      </c>
      <c r="Z46" s="99">
        <v>40</v>
      </c>
      <c r="AA46" s="99" t="s">
        <v>561</v>
      </c>
      <c r="AB46" s="99" t="s">
        <v>561</v>
      </c>
      <c r="AC46" s="99" t="s">
        <v>561</v>
      </c>
      <c r="AD46" s="98" t="s">
        <v>327</v>
      </c>
      <c r="AE46" s="100">
        <v>0.20389513108614232</v>
      </c>
      <c r="AF46" s="100">
        <v>0.12</v>
      </c>
      <c r="AG46" s="98">
        <v>434.4569288389513</v>
      </c>
      <c r="AH46" s="98">
        <v>254.6816479400749</v>
      </c>
      <c r="AI46" s="100">
        <v>0.018000000000000002</v>
      </c>
      <c r="AJ46" s="100">
        <v>0.784031</v>
      </c>
      <c r="AK46" s="100" t="s">
        <v>561</v>
      </c>
      <c r="AL46" s="100">
        <v>0.786851</v>
      </c>
      <c r="AM46" s="100">
        <v>0.362434</v>
      </c>
      <c r="AN46" s="100">
        <v>0.506596</v>
      </c>
      <c r="AO46" s="98">
        <v>1348.314606741573</v>
      </c>
      <c r="AP46" s="158">
        <v>0.6530406189</v>
      </c>
      <c r="AQ46" s="100">
        <v>0.13333333333333333</v>
      </c>
      <c r="AR46" s="100">
        <v>0.6</v>
      </c>
      <c r="AS46" s="98">
        <v>614.2322097378277</v>
      </c>
      <c r="AT46" s="98" t="s">
        <v>561</v>
      </c>
      <c r="AU46" s="98" t="s">
        <v>561</v>
      </c>
      <c r="AV46" s="98">
        <v>239.7003745318352</v>
      </c>
      <c r="AW46" s="98">
        <v>614.2322097378277</v>
      </c>
      <c r="AX46" s="98">
        <v>434.4569288389513</v>
      </c>
      <c r="AY46" s="98">
        <v>1018.7265917602996</v>
      </c>
      <c r="AZ46" s="98">
        <v>599.2509363295881</v>
      </c>
      <c r="BA46" s="100" t="s">
        <v>561</v>
      </c>
      <c r="BB46" s="100" t="s">
        <v>561</v>
      </c>
      <c r="BC46" s="100" t="s">
        <v>561</v>
      </c>
      <c r="BD46" s="158">
        <v>0.5251218033</v>
      </c>
      <c r="BE46" s="158">
        <v>0.8026978302000001</v>
      </c>
      <c r="BF46" s="162">
        <v>764</v>
      </c>
      <c r="BG46" s="162" t="s">
        <v>561</v>
      </c>
      <c r="BH46" s="162">
        <v>1445</v>
      </c>
      <c r="BI46" s="162">
        <v>756</v>
      </c>
      <c r="BJ46" s="162">
        <v>379</v>
      </c>
      <c r="BK46" s="97"/>
      <c r="BL46" s="97"/>
      <c r="BM46" s="97"/>
      <c r="BN46" s="97"/>
    </row>
    <row r="47" spans="1:66" ht="12.75">
      <c r="A47" s="79" t="s">
        <v>552</v>
      </c>
      <c r="B47" s="79" t="s">
        <v>324</v>
      </c>
      <c r="C47" s="79" t="s">
        <v>152</v>
      </c>
      <c r="D47" s="99">
        <v>2028</v>
      </c>
      <c r="E47" s="99">
        <v>434</v>
      </c>
      <c r="F47" s="99" t="s">
        <v>349</v>
      </c>
      <c r="G47" s="99">
        <v>9</v>
      </c>
      <c r="H47" s="99" t="s">
        <v>561</v>
      </c>
      <c r="I47" s="99">
        <v>48</v>
      </c>
      <c r="J47" s="99">
        <v>249</v>
      </c>
      <c r="K47" s="99">
        <v>244</v>
      </c>
      <c r="L47" s="99">
        <v>380</v>
      </c>
      <c r="M47" s="99">
        <v>129</v>
      </c>
      <c r="N47" s="99">
        <v>90</v>
      </c>
      <c r="O47" s="99">
        <v>57</v>
      </c>
      <c r="P47" s="159">
        <v>57</v>
      </c>
      <c r="Q47" s="99">
        <v>8</v>
      </c>
      <c r="R47" s="99">
        <v>15</v>
      </c>
      <c r="S47" s="99">
        <v>11</v>
      </c>
      <c r="T47" s="99">
        <v>8</v>
      </c>
      <c r="U47" s="99" t="s">
        <v>561</v>
      </c>
      <c r="V47" s="99">
        <v>14</v>
      </c>
      <c r="W47" s="99">
        <v>12</v>
      </c>
      <c r="X47" s="99">
        <v>10</v>
      </c>
      <c r="Y47" s="99">
        <v>32</v>
      </c>
      <c r="Z47" s="99">
        <v>8</v>
      </c>
      <c r="AA47" s="99" t="s">
        <v>561</v>
      </c>
      <c r="AB47" s="99" t="s">
        <v>561</v>
      </c>
      <c r="AC47" s="99" t="s">
        <v>561</v>
      </c>
      <c r="AD47" s="98" t="s">
        <v>327</v>
      </c>
      <c r="AE47" s="100">
        <v>0.21400394477317555</v>
      </c>
      <c r="AF47" s="100">
        <v>0.08</v>
      </c>
      <c r="AG47" s="98">
        <v>443.7869822485207</v>
      </c>
      <c r="AH47" s="98" t="s">
        <v>561</v>
      </c>
      <c r="AI47" s="100">
        <v>0.024</v>
      </c>
      <c r="AJ47" s="100">
        <v>0.819079</v>
      </c>
      <c r="AK47" s="100">
        <v>0.841379</v>
      </c>
      <c r="AL47" s="100">
        <v>0.875576</v>
      </c>
      <c r="AM47" s="100">
        <v>0.418831</v>
      </c>
      <c r="AN47" s="100">
        <v>0.62069</v>
      </c>
      <c r="AO47" s="98">
        <v>2810.6508875739646</v>
      </c>
      <c r="AP47" s="158">
        <v>1.288265533</v>
      </c>
      <c r="AQ47" s="100">
        <v>0.14035087719298245</v>
      </c>
      <c r="AR47" s="100">
        <v>0.5333333333333333</v>
      </c>
      <c r="AS47" s="98">
        <v>542.4063116370809</v>
      </c>
      <c r="AT47" s="98">
        <v>394.47731755424064</v>
      </c>
      <c r="AU47" s="98" t="s">
        <v>561</v>
      </c>
      <c r="AV47" s="98">
        <v>690.335305719921</v>
      </c>
      <c r="AW47" s="98">
        <v>591.7159763313609</v>
      </c>
      <c r="AX47" s="98">
        <v>493.0966469428008</v>
      </c>
      <c r="AY47" s="98">
        <v>1577.9092702169626</v>
      </c>
      <c r="AZ47" s="98">
        <v>394.47731755424064</v>
      </c>
      <c r="BA47" s="100" t="s">
        <v>561</v>
      </c>
      <c r="BB47" s="100" t="s">
        <v>561</v>
      </c>
      <c r="BC47" s="100" t="s">
        <v>561</v>
      </c>
      <c r="BD47" s="158">
        <v>0.9757196808</v>
      </c>
      <c r="BE47" s="158">
        <v>1.66909729</v>
      </c>
      <c r="BF47" s="162">
        <v>304</v>
      </c>
      <c r="BG47" s="162">
        <v>290</v>
      </c>
      <c r="BH47" s="162">
        <v>434</v>
      </c>
      <c r="BI47" s="162">
        <v>308</v>
      </c>
      <c r="BJ47" s="162">
        <v>145</v>
      </c>
      <c r="BK47" s="97"/>
      <c r="BL47" s="97"/>
      <c r="BM47" s="97"/>
      <c r="BN47" s="97"/>
    </row>
    <row r="48" spans="1:66" ht="12.75">
      <c r="A48" s="79" t="s">
        <v>411</v>
      </c>
      <c r="B48" s="94" t="s">
        <v>152</v>
      </c>
      <c r="C48" s="94" t="s">
        <v>7</v>
      </c>
      <c r="D48" s="99">
        <v>295379</v>
      </c>
      <c r="E48" s="99">
        <v>62912</v>
      </c>
      <c r="F48" s="99">
        <v>32075.9</v>
      </c>
      <c r="G48" s="99">
        <v>1485</v>
      </c>
      <c r="H48" s="99">
        <v>850</v>
      </c>
      <c r="I48" s="99">
        <v>5894</v>
      </c>
      <c r="J48" s="99">
        <v>31536</v>
      </c>
      <c r="K48" s="99">
        <v>14256</v>
      </c>
      <c r="L48" s="99">
        <v>53774</v>
      </c>
      <c r="M48" s="99">
        <v>16782</v>
      </c>
      <c r="N48" s="99">
        <v>12052</v>
      </c>
      <c r="O48" s="99">
        <v>6972</v>
      </c>
      <c r="P48" s="99">
        <v>6972</v>
      </c>
      <c r="Q48" s="99">
        <v>628</v>
      </c>
      <c r="R48" s="99">
        <v>1469</v>
      </c>
      <c r="S48" s="99">
        <v>2071</v>
      </c>
      <c r="T48" s="99">
        <v>809</v>
      </c>
      <c r="U48" s="99">
        <v>221</v>
      </c>
      <c r="V48" s="99">
        <v>1234</v>
      </c>
      <c r="W48" s="99">
        <v>1824</v>
      </c>
      <c r="X48" s="99">
        <v>1488</v>
      </c>
      <c r="Y48" s="99">
        <v>3663</v>
      </c>
      <c r="Z48" s="99">
        <v>1956</v>
      </c>
      <c r="AA48" s="99">
        <v>0</v>
      </c>
      <c r="AB48" s="99">
        <v>0</v>
      </c>
      <c r="AC48" s="99">
        <v>0</v>
      </c>
      <c r="AD48" s="98">
        <v>0</v>
      </c>
      <c r="AE48" s="101">
        <v>0.21298738231221584</v>
      </c>
      <c r="AF48" s="101">
        <v>0.1085923508441697</v>
      </c>
      <c r="AG48" s="98">
        <v>502.74393237163105</v>
      </c>
      <c r="AH48" s="98">
        <v>287.7658872160851</v>
      </c>
      <c r="AI48" s="101">
        <v>0.019954025167665947</v>
      </c>
      <c r="AJ48" s="101">
        <v>0.7528827559863442</v>
      </c>
      <c r="AK48" s="101">
        <v>0.8229521445477112</v>
      </c>
      <c r="AL48" s="101">
        <v>0.7822014051522248</v>
      </c>
      <c r="AM48" s="101">
        <v>0.41646813579511616</v>
      </c>
      <c r="AN48" s="101">
        <v>0.6057194551942504</v>
      </c>
      <c r="AO48" s="98">
        <v>2360.357371377112</v>
      </c>
      <c r="AP48" s="98">
        <v>0</v>
      </c>
      <c r="AQ48" s="101">
        <v>0.09007458405048767</v>
      </c>
      <c r="AR48" s="101">
        <v>0.427501701837985</v>
      </c>
      <c r="AS48" s="98">
        <v>701.1331204994261</v>
      </c>
      <c r="AT48" s="98">
        <v>273.8854150091916</v>
      </c>
      <c r="AU48" s="98">
        <v>74.81913067618213</v>
      </c>
      <c r="AV48" s="98">
        <v>417.7683586172341</v>
      </c>
      <c r="AW48" s="98">
        <v>617.5117391554579</v>
      </c>
      <c r="AX48" s="98">
        <v>503.7595766794525</v>
      </c>
      <c r="AY48" s="98">
        <v>1240.1016998500231</v>
      </c>
      <c r="AZ48" s="98">
        <v>662.2000886996029</v>
      </c>
      <c r="BA48" s="101">
        <v>0</v>
      </c>
      <c r="BB48" s="101">
        <v>0</v>
      </c>
      <c r="BC48" s="101">
        <v>0</v>
      </c>
      <c r="BD48" s="98">
        <v>0</v>
      </c>
      <c r="BE48" s="98">
        <v>0</v>
      </c>
      <c r="BF48" s="99">
        <v>41887</v>
      </c>
      <c r="BG48" s="99">
        <v>17323</v>
      </c>
      <c r="BH48" s="99">
        <v>68747</v>
      </c>
      <c r="BI48" s="99">
        <v>40296</v>
      </c>
      <c r="BJ48" s="99">
        <v>19897</v>
      </c>
      <c r="BK48" s="97"/>
      <c r="BL48" s="97"/>
      <c r="BM48" s="97"/>
      <c r="BN48" s="97"/>
    </row>
    <row r="49" spans="1:66" ht="12.75">
      <c r="A49" s="79" t="s">
        <v>24</v>
      </c>
      <c r="B49" s="94" t="s">
        <v>7</v>
      </c>
      <c r="C49" s="94" t="s">
        <v>7</v>
      </c>
      <c r="D49" s="99">
        <v>54615830</v>
      </c>
      <c r="E49" s="99">
        <v>8737890</v>
      </c>
      <c r="F49" s="99">
        <v>8198344.169999988</v>
      </c>
      <c r="G49" s="99">
        <v>243379</v>
      </c>
      <c r="H49" s="99">
        <v>127868</v>
      </c>
      <c r="I49" s="99">
        <v>870616</v>
      </c>
      <c r="J49" s="99">
        <v>4592627</v>
      </c>
      <c r="K49" s="99">
        <v>1679592</v>
      </c>
      <c r="L49" s="99">
        <v>10150944</v>
      </c>
      <c r="M49" s="99">
        <v>2959539</v>
      </c>
      <c r="N49" s="99">
        <v>1629320</v>
      </c>
      <c r="O49" s="99">
        <v>989730</v>
      </c>
      <c r="P49" s="99">
        <v>989730</v>
      </c>
      <c r="Q49" s="99">
        <v>108072</v>
      </c>
      <c r="R49" s="99">
        <v>238330</v>
      </c>
      <c r="S49" s="99">
        <v>206300</v>
      </c>
      <c r="T49" s="99">
        <v>154264</v>
      </c>
      <c r="U49" s="99">
        <v>38486</v>
      </c>
      <c r="V49" s="99">
        <v>176535</v>
      </c>
      <c r="W49" s="99">
        <v>307276</v>
      </c>
      <c r="X49" s="99">
        <v>221506</v>
      </c>
      <c r="Y49" s="99">
        <v>578574</v>
      </c>
      <c r="Z49" s="99">
        <v>318377</v>
      </c>
      <c r="AA49" s="99">
        <v>0</v>
      </c>
      <c r="AB49" s="99">
        <v>0</v>
      </c>
      <c r="AC49" s="99">
        <v>0</v>
      </c>
      <c r="AD49" s="98">
        <v>0</v>
      </c>
      <c r="AE49" s="101">
        <v>0.1599882305185145</v>
      </c>
      <c r="AF49" s="101">
        <v>0.15010930292554353</v>
      </c>
      <c r="AG49" s="98">
        <v>445.6198871279627</v>
      </c>
      <c r="AH49" s="98">
        <v>234.12259778895606</v>
      </c>
      <c r="AI49" s="101">
        <v>0.015940726342527432</v>
      </c>
      <c r="AJ49" s="101">
        <v>0.7248631360507991</v>
      </c>
      <c r="AK49" s="101">
        <v>0.7467412166569077</v>
      </c>
      <c r="AL49" s="101">
        <v>0.7559681673907895</v>
      </c>
      <c r="AM49" s="101">
        <v>0.5147293797466616</v>
      </c>
      <c r="AN49" s="101">
        <v>0.5752927626212945</v>
      </c>
      <c r="AO49" s="98">
        <v>1812.1669120472948</v>
      </c>
      <c r="AP49" s="98">
        <v>1</v>
      </c>
      <c r="AQ49" s="101">
        <v>0.10919341638628717</v>
      </c>
      <c r="AR49" s="101">
        <v>0.4534552930810221</v>
      </c>
      <c r="AS49" s="98">
        <v>377.7293140102421</v>
      </c>
      <c r="AT49" s="98">
        <v>282.45290788403287</v>
      </c>
      <c r="AU49" s="98">
        <v>70.46674929228394</v>
      </c>
      <c r="AV49" s="98">
        <v>323.23046266988894</v>
      </c>
      <c r="AW49" s="98">
        <v>562.6134400960308</v>
      </c>
      <c r="AX49" s="98">
        <v>405.57105879375996</v>
      </c>
      <c r="AY49" s="98">
        <v>1059.3522061277838</v>
      </c>
      <c r="AZ49" s="98">
        <v>582.9390489900089</v>
      </c>
      <c r="BA49" s="101">
        <v>0</v>
      </c>
      <c r="BB49" s="101">
        <v>0</v>
      </c>
      <c r="BC49" s="101">
        <v>0</v>
      </c>
      <c r="BD49" s="98">
        <v>0</v>
      </c>
      <c r="BE49" s="98">
        <v>0</v>
      </c>
      <c r="BF49" s="99">
        <v>6335854</v>
      </c>
      <c r="BG49" s="99">
        <v>2249229</v>
      </c>
      <c r="BH49" s="99">
        <v>13427740</v>
      </c>
      <c r="BI49" s="99">
        <v>5749699</v>
      </c>
      <c r="BJ49" s="99">
        <v>2832158</v>
      </c>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332</v>
      </c>
      <c r="O4" s="75" t="s">
        <v>331</v>
      </c>
      <c r="P4" s="75" t="s">
        <v>457</v>
      </c>
      <c r="Q4" s="75" t="s">
        <v>458</v>
      </c>
      <c r="R4" s="75" t="s">
        <v>459</v>
      </c>
      <c r="S4" s="75" t="s">
        <v>460</v>
      </c>
      <c r="T4" s="39" t="s">
        <v>278</v>
      </c>
      <c r="U4" s="40" t="s">
        <v>279</v>
      </c>
      <c r="V4" s="41" t="s">
        <v>7</v>
      </c>
      <c r="W4" s="24" t="s">
        <v>2</v>
      </c>
      <c r="X4" s="24" t="s">
        <v>3</v>
      </c>
      <c r="Y4" s="75" t="s">
        <v>565</v>
      </c>
      <c r="Z4" s="75" t="s">
        <v>564</v>
      </c>
      <c r="AA4" s="26" t="s">
        <v>280</v>
      </c>
      <c r="AB4" s="24" t="s">
        <v>5</v>
      </c>
      <c r="AC4" s="75" t="s">
        <v>35</v>
      </c>
      <c r="AD4" s="24" t="s">
        <v>6</v>
      </c>
      <c r="AE4" s="24" t="s">
        <v>281</v>
      </c>
      <c r="AF4" s="24" t="s">
        <v>16</v>
      </c>
      <c r="AG4" s="24" t="s">
        <v>15</v>
      </c>
      <c r="AH4" s="24" t="s">
        <v>14</v>
      </c>
      <c r="AI4" s="25" t="s">
        <v>30</v>
      </c>
      <c r="AJ4" s="47" t="s">
        <v>10</v>
      </c>
      <c r="AK4" s="26" t="s">
        <v>21</v>
      </c>
      <c r="AL4" s="25" t="s">
        <v>22</v>
      </c>
      <c r="AQ4" s="102" t="s">
        <v>372</v>
      </c>
      <c r="AR4" s="102" t="s">
        <v>374</v>
      </c>
      <c r="AS4" s="102" t="s">
        <v>373</v>
      </c>
      <c r="AY4" s="102" t="s">
        <v>454</v>
      </c>
      <c r="AZ4" s="102" t="s">
        <v>455</v>
      </c>
      <c r="BA4" s="102" t="s">
        <v>456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395</v>
      </c>
      <c r="BA5" s="103" t="s">
        <v>327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380</v>
      </c>
      <c r="BA6" s="103" t="s">
        <v>327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1093</v>
      </c>
      <c r="E7" s="38">
        <f>IF(LEFT(VLOOKUP($B7,'Indicator chart'!$D$1:$J$36,5,FALSE),1)=" "," ",VLOOKUP($B7,'Indicator chart'!$D$1:$J$36,5,FALSE))</f>
        <v>0.14066924066924066</v>
      </c>
      <c r="F7" s="38">
        <f>IF(LEFT(VLOOKUP($B7,'Indicator chart'!$D$1:$J$36,6,FALSE),1)=" "," ",VLOOKUP($B7,'Indicator chart'!$D$1:$J$36,6,FALSE))</f>
        <v>0.13311586646533968</v>
      </c>
      <c r="G7" s="38">
        <f>IF(LEFT(VLOOKUP($B7,'Indicator chart'!$D$1:$J$36,7,FALSE),1)=" "," ",VLOOKUP($B7,'Indicator chart'!$D$1:$J$36,7,FALSE))</f>
        <v>0.14857775590020994</v>
      </c>
      <c r="H7" s="50">
        <f aca="true" t="shared" si="0" ref="H7:H31">IF(LEFT(F7,1)=" ",4,IF(AND(ABS(N7-E7)&gt;SQRT((E7-G7)^2+(N7-R7)^2),E7&lt;N7),1,IF(AND(ABS(N7-E7)&gt;SQRT((E7-F7)^2+(N7-S7)^2),E7&gt;N7),3,2)))</f>
        <v>1</v>
      </c>
      <c r="I7" s="38">
        <v>0.13968776166439056</v>
      </c>
      <c r="J7" s="38">
        <v>0.19734883308410645</v>
      </c>
      <c r="K7" s="38">
        <v>0.21565230190753937</v>
      </c>
      <c r="L7" s="38">
        <v>0.2324981391429901</v>
      </c>
      <c r="M7" s="38">
        <v>0.3167557120323181</v>
      </c>
      <c r="N7" s="80">
        <f>VLOOKUP('Hide - Control'!B$3,'All practice data'!A:CA,A7+29,FALSE)</f>
        <v>0.21298738231221584</v>
      </c>
      <c r="O7" s="80">
        <f>VLOOKUP('Hide - Control'!C$3,'All practice data'!A:CA,A7+29,FALSE)</f>
        <v>0.1599882305185145</v>
      </c>
      <c r="P7" s="38">
        <f>VLOOKUP('Hide - Control'!$B$4,'All practice data'!B:BC,A7+2,FALSE)</f>
        <v>62912</v>
      </c>
      <c r="Q7" s="38">
        <f>VLOOKUP('Hide - Control'!$B$4,'All practice data'!B:BC,3,FALSE)</f>
        <v>295379</v>
      </c>
      <c r="R7" s="38">
        <f>+((2*P7+1.96^2-1.96*SQRT(1.96^2+4*P7*(1-P7/Q7)))/(2*(Q7+1.96^2)))</f>
        <v>0.21151461790424714</v>
      </c>
      <c r="S7" s="38">
        <f>+((2*P7+1.96^2+1.96*SQRT(1.96^2+4*P7*(1-P7/Q7)))/(2*(Q7+1.96^2)))</f>
        <v>0.214467612202378</v>
      </c>
      <c r="T7" s="53">
        <f>IF($C7=1,M7,I7)</f>
        <v>0.3167557120323181</v>
      </c>
      <c r="U7" s="51">
        <f aca="true" t="shared" si="1" ref="U7:U15">IF($C7=1,I7,M7)</f>
        <v>0.13968776166439056</v>
      </c>
      <c r="V7" s="7">
        <v>1</v>
      </c>
      <c r="W7" s="27">
        <f aca="true" t="shared" si="2" ref="W7:W31">IF((K7-I7)&gt;(M7-K7),I7,(K7-(M7-K7)))</f>
        <v>0.11454889178276062</v>
      </c>
      <c r="X7" s="27">
        <f aca="true" t="shared" si="3" ref="X7:X31">IF(W7=I7,K7+(K7-I7),M7)</f>
        <v>0.3167557120323181</v>
      </c>
      <c r="Y7" s="27">
        <f aca="true" t="shared" si="4" ref="Y7:Y31">IF(C7=1,W7,X7)</f>
        <v>0.11454889178276062</v>
      </c>
      <c r="Z7" s="27">
        <f aca="true" t="shared" si="5" ref="Z7:Z31">IF(C7=1,X7,W7)</f>
        <v>0.3167557120323181</v>
      </c>
      <c r="AA7" s="32">
        <f aca="true" t="shared" si="6" ref="AA7:AA31">IF(ISERROR(IF(C7=1,(I7-$Y7)/($Z7-$Y7),(U7-$Y7)/($Z7-$Y7))),"",IF(C7=1,(I7-$Y7)/($Z7-$Y7),(U7-$Y7)/($Z7-$Y7)))</f>
        <v>0.1243225616752408</v>
      </c>
      <c r="AB7" s="33">
        <f aca="true" t="shared" si="7" ref="AB7:AB31">IF(ISERROR(IF(C7=1,(J7-$Y7)/($Z7-$Y7),(L7-$Y7)/($Z7-$Y7))),"",IF(C7=1,(J7-$Y7)/($Z7-$Y7),(L7-$Y7)/($Z7-$Y7)))</f>
        <v>0.4094814467640442</v>
      </c>
      <c r="AC7" s="33">
        <v>0.5</v>
      </c>
      <c r="AD7" s="33">
        <f aca="true" t="shared" si="8" ref="AD7:AD31">IF(ISERROR(IF(C7=1,(L7-$Y7)/($Z7-$Y7),(J7-$Y7)/($Z7-$Y7))),"",IF(C7=1,(L7-$Y7)/($Z7-$Y7),(J7-$Y7)/($Z7-$Y7)))</f>
        <v>0.5833099359094818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0.12917639896736968</v>
      </c>
      <c r="AI7" s="34">
        <f aca="true" t="shared" si="13" ref="AI7:AI31">IF(ISERROR((O7-$Y7)/($Z7-$Y7)),-999,(O7-$Y7)/($Z7-$Y7))</f>
        <v>0.22471714198202625</v>
      </c>
      <c r="AJ7" s="4">
        <v>2.7020512924389086</v>
      </c>
      <c r="AK7" s="32">
        <f aca="true" t="shared" si="14" ref="AK7:AK31">IF(H7=1,(E7-$Y7)/($Z7-$Y7),-999)</f>
        <v>0.12917639896736968</v>
      </c>
      <c r="AL7" s="34">
        <f aca="true" t="shared" si="15" ref="AL7:AL31">IF(H7=3,(E7-$Y7)/($Z7-$Y7),-999)</f>
        <v>-999</v>
      </c>
      <c r="AQ7" s="103">
        <v>2</v>
      </c>
      <c r="AR7" s="103">
        <v>0.2422</v>
      </c>
      <c r="AS7" s="103">
        <v>7.2247</v>
      </c>
      <c r="AY7" s="103" t="s">
        <v>68</v>
      </c>
      <c r="AZ7" s="103" t="s">
        <v>379</v>
      </c>
      <c r="BA7" s="103" t="s">
        <v>327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0.142233400260005</v>
      </c>
      <c r="G8" s="38">
        <f>IF(LEFT(VLOOKUP($B8,'Indicator chart'!$D$1:$J$36,7,FALSE),1)=" "," ",VLOOKUP($B8,'Indicator chart'!$D$1:$J$36,7,FALSE))</f>
        <v>0.15811251880271432</v>
      </c>
      <c r="H8" s="50">
        <f t="shared" si="0"/>
        <v>3</v>
      </c>
      <c r="I8" s="38">
        <v>0.05999999865889549</v>
      </c>
      <c r="J8" s="38">
        <v>0.09000000357627869</v>
      </c>
      <c r="K8" s="38">
        <v>0.10999999940395355</v>
      </c>
      <c r="L8" s="38">
        <v>0.12250000238418579</v>
      </c>
      <c r="M8" s="38">
        <v>0.1599999964237213</v>
      </c>
      <c r="N8" s="80">
        <f>VLOOKUP('Hide - Control'!B$3,'All practice data'!A:CA,A8+29,FALSE)</f>
        <v>0.1085923508441697</v>
      </c>
      <c r="O8" s="80">
        <f>VLOOKUP('Hide - Control'!C$3,'All practice data'!A:CA,A8+29,FALSE)</f>
        <v>0.15010930292554353</v>
      </c>
      <c r="P8" s="38">
        <f>VLOOKUP('Hide - Control'!$B$4,'All practice data'!B:BC,A8+2,FALSE)</f>
        <v>32075.9</v>
      </c>
      <c r="Q8" s="38">
        <f>VLOOKUP('Hide - Control'!$B$4,'All practice data'!B:BC,3,FALSE)</f>
        <v>295379</v>
      </c>
      <c r="R8" s="38">
        <f>+((2*P8+1.96^2-1.96*SQRT(1.96^2+4*P8*(1-P8/Q8)))/(2*(Q8+1.96^2)))</f>
        <v>0.10747540810203031</v>
      </c>
      <c r="S8" s="38">
        <f>+((2*P8+1.96^2+1.96*SQRT(1.96^2+4*P8*(1-P8/Q8)))/(2*(Q8+1.96^2)))</f>
        <v>0.10971947448657299</v>
      </c>
      <c r="T8" s="53">
        <f aca="true" t="shared" si="16" ref="T8:T15">IF($C8=1,M8,I8)</f>
        <v>0.1599999964237213</v>
      </c>
      <c r="U8" s="51">
        <f t="shared" si="1"/>
        <v>0.05999999865889549</v>
      </c>
      <c r="V8" s="7"/>
      <c r="W8" s="27">
        <f t="shared" si="2"/>
        <v>0.05999999865889549</v>
      </c>
      <c r="X8" s="27">
        <f t="shared" si="3"/>
        <v>0.1600000001490116</v>
      </c>
      <c r="Y8" s="27">
        <f t="shared" si="4"/>
        <v>0.05999999865889549</v>
      </c>
      <c r="Z8" s="27">
        <f t="shared" si="5"/>
        <v>0.1600000001490116</v>
      </c>
      <c r="AA8" s="32">
        <f t="shared" si="6"/>
        <v>0</v>
      </c>
      <c r="AB8" s="33">
        <f t="shared" si="7"/>
        <v>0.3000000447034829</v>
      </c>
      <c r="AC8" s="33">
        <v>0.5</v>
      </c>
      <c r="AD8" s="33">
        <f t="shared" si="8"/>
        <v>0.6250000279396768</v>
      </c>
      <c r="AE8" s="33">
        <f t="shared" si="9"/>
        <v>0.9999999627470976</v>
      </c>
      <c r="AF8" s="33">
        <f t="shared" si="10"/>
        <v>-999</v>
      </c>
      <c r="AG8" s="33">
        <f t="shared" si="11"/>
        <v>-999</v>
      </c>
      <c r="AH8" s="33">
        <f t="shared" si="12"/>
        <v>0.8999999999999999</v>
      </c>
      <c r="AI8" s="34">
        <f t="shared" si="13"/>
        <v>0.9010930292391479</v>
      </c>
      <c r="AJ8" s="4">
        <v>3.778046717820832</v>
      </c>
      <c r="AK8" s="32">
        <f t="shared" si="14"/>
        <v>-999</v>
      </c>
      <c r="AL8" s="34">
        <f t="shared" si="15"/>
        <v>0.8999999999999999</v>
      </c>
      <c r="AQ8" s="103">
        <v>3</v>
      </c>
      <c r="AR8" s="103">
        <v>0.6187</v>
      </c>
      <c r="AS8" s="103">
        <v>8.7673</v>
      </c>
      <c r="AY8" s="103" t="s">
        <v>118</v>
      </c>
      <c r="AZ8" s="103" t="s">
        <v>119</v>
      </c>
      <c r="BA8" s="103" t="s">
        <v>327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257.4002574002574</v>
      </c>
      <c r="F9" s="38">
        <f>IF(LEFT(VLOOKUP($B9,'Indicator chart'!$D$1:$J$36,6,FALSE),1)=" "," ",VLOOKUP($B9,'Indicator chart'!$D$1:$J$36,6,FALSE))</f>
        <v>157.15975436776765</v>
      </c>
      <c r="G9" s="38">
        <f>IF(LEFT(VLOOKUP($B9,'Indicator chart'!$D$1:$J$36,7,FALSE),1)=" "," ",VLOOKUP($B9,'Indicator chart'!$D$1:$J$36,7,FALSE))</f>
        <v>397.55590522873734</v>
      </c>
      <c r="H9" s="50">
        <f t="shared" si="0"/>
        <v>1</v>
      </c>
      <c r="I9" s="38">
        <v>92.60600280761719</v>
      </c>
      <c r="J9" s="38">
        <v>433.923828125</v>
      </c>
      <c r="K9" s="38">
        <v>488.0652770996094</v>
      </c>
      <c r="L9" s="38">
        <v>567.3626708984375</v>
      </c>
      <c r="M9" s="38">
        <v>906.6182861328125</v>
      </c>
      <c r="N9" s="80">
        <f>VLOOKUP('Hide - Control'!B$3,'All practice data'!A:CA,A9+29,FALSE)</f>
        <v>502.74393237163105</v>
      </c>
      <c r="O9" s="80">
        <f>VLOOKUP('Hide - Control'!C$3,'All practice data'!A:CA,A9+29,FALSE)</f>
        <v>445.6198871279627</v>
      </c>
      <c r="P9" s="38">
        <f>VLOOKUP('Hide - Control'!$B$4,'All practice data'!B:BC,A9+2,FALSE)</f>
        <v>1485</v>
      </c>
      <c r="Q9" s="38">
        <f>VLOOKUP('Hide - Control'!$B$4,'All practice data'!B:BC,3,FALSE)</f>
        <v>295379</v>
      </c>
      <c r="R9" s="38">
        <f>100000*(P9*(1-1/(9*P9)-1.96/(3*SQRT(P9)))^3)/Q9</f>
        <v>477.49543030572363</v>
      </c>
      <c r="S9" s="38">
        <f>100000*((P9+1)*(1-1/(9*(P9+1))+1.96/(3*SQRT(P9+1)))^3)/Q9</f>
        <v>528.9808887137796</v>
      </c>
      <c r="T9" s="53">
        <f t="shared" si="16"/>
        <v>906.6182861328125</v>
      </c>
      <c r="U9" s="51">
        <f t="shared" si="1"/>
        <v>92.60600280761719</v>
      </c>
      <c r="V9" s="7"/>
      <c r="W9" s="27">
        <f t="shared" si="2"/>
        <v>69.51226806640625</v>
      </c>
      <c r="X9" s="27">
        <f t="shared" si="3"/>
        <v>906.6182861328125</v>
      </c>
      <c r="Y9" s="27">
        <f t="shared" si="4"/>
        <v>69.51226806640625</v>
      </c>
      <c r="Z9" s="27">
        <f t="shared" si="5"/>
        <v>906.6182861328125</v>
      </c>
      <c r="AA9" s="32">
        <f t="shared" si="6"/>
        <v>0.027587586569445675</v>
      </c>
      <c r="AB9" s="33">
        <f t="shared" si="7"/>
        <v>0.43532306803901816</v>
      </c>
      <c r="AC9" s="33">
        <v>0.5</v>
      </c>
      <c r="AD9" s="33">
        <f t="shared" si="8"/>
        <v>0.5947280178226333</v>
      </c>
      <c r="AE9" s="33">
        <f t="shared" si="9"/>
        <v>1</v>
      </c>
      <c r="AF9" s="33">
        <f t="shared" si="10"/>
        <v>-999</v>
      </c>
      <c r="AG9" s="33">
        <f t="shared" si="11"/>
        <v>-999</v>
      </c>
      <c r="AH9" s="33">
        <f t="shared" si="12"/>
        <v>0.22444945476302414</v>
      </c>
      <c r="AI9" s="34">
        <f t="shared" si="13"/>
        <v>0.4492950844270725</v>
      </c>
      <c r="AJ9" s="4">
        <v>4.854042143202755</v>
      </c>
      <c r="AK9" s="32">
        <f t="shared" si="14"/>
        <v>0.22444945476302414</v>
      </c>
      <c r="AL9" s="34">
        <f t="shared" si="15"/>
        <v>-999</v>
      </c>
      <c r="AQ9" s="103">
        <v>4</v>
      </c>
      <c r="AR9" s="103">
        <v>1.0899</v>
      </c>
      <c r="AS9" s="103">
        <v>10.2416</v>
      </c>
      <c r="AY9" s="103" t="s">
        <v>90</v>
      </c>
      <c r="AZ9" s="103" t="s">
        <v>389</v>
      </c>
      <c r="BA9" s="103" t="s">
        <v>327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218.7902187902188</v>
      </c>
      <c r="F10" s="38">
        <f>IF(LEFT(VLOOKUP($B10,'Indicator chart'!$D$1:$J$36,6,FALSE),1)=" "," ",VLOOKUP($B10,'Indicator chart'!$D$1:$J$36,6,FALSE))</f>
        <v>127.37932525323943</v>
      </c>
      <c r="G10" s="38">
        <f>IF(LEFT(VLOOKUP($B10,'Indicator chart'!$D$1:$J$36,7,FALSE),1)=" "," ",VLOOKUP($B10,'Indicator chart'!$D$1:$J$36,7,FALSE))</f>
        <v>350.32574926145304</v>
      </c>
      <c r="H10" s="50">
        <f t="shared" si="0"/>
        <v>2</v>
      </c>
      <c r="I10" s="38">
        <v>44.173431396484375</v>
      </c>
      <c r="J10" s="38">
        <v>218.3108367919922</v>
      </c>
      <c r="K10" s="38">
        <v>283.6216125488281</v>
      </c>
      <c r="L10" s="38">
        <v>357.22650146484375</v>
      </c>
      <c r="M10" s="38">
        <v>411.01519775390625</v>
      </c>
      <c r="N10" s="80">
        <f>VLOOKUP('Hide - Control'!B$3,'All practice data'!A:CA,A10+29,FALSE)</f>
        <v>287.7658872160851</v>
      </c>
      <c r="O10" s="80">
        <f>VLOOKUP('Hide - Control'!C$3,'All practice data'!A:CA,A10+29,FALSE)</f>
        <v>234.12259778895606</v>
      </c>
      <c r="P10" s="38">
        <f>VLOOKUP('Hide - Control'!$B$4,'All practice data'!B:BC,A10+2,FALSE)</f>
        <v>850</v>
      </c>
      <c r="Q10" s="38">
        <f>VLOOKUP('Hide - Control'!$B$4,'All practice data'!B:BC,3,FALSE)</f>
        <v>295379</v>
      </c>
      <c r="R10" s="38">
        <f>100000*(P10*(1-1/(9*P10)-1.96/(3*SQRT(P10)))^3)/Q10</f>
        <v>268.7425716949993</v>
      </c>
      <c r="S10" s="38">
        <f>100000*((P10+1)*(1-1/(9*(P10+1))+1.96/(3*SQRT(P10+1)))^3)/Q10</f>
        <v>307.7803901630273</v>
      </c>
      <c r="T10" s="53">
        <f t="shared" si="16"/>
        <v>411.01519775390625</v>
      </c>
      <c r="U10" s="51">
        <f t="shared" si="1"/>
        <v>44.173431396484375</v>
      </c>
      <c r="V10" s="7"/>
      <c r="W10" s="27">
        <f t="shared" si="2"/>
        <v>44.173431396484375</v>
      </c>
      <c r="X10" s="27">
        <f t="shared" si="3"/>
        <v>523.0697937011719</v>
      </c>
      <c r="Y10" s="27">
        <f t="shared" si="4"/>
        <v>44.173431396484375</v>
      </c>
      <c r="Z10" s="27">
        <f t="shared" si="5"/>
        <v>523.0697937011719</v>
      </c>
      <c r="AA10" s="32">
        <f t="shared" si="6"/>
        <v>0</v>
      </c>
      <c r="AB10" s="33">
        <f t="shared" si="7"/>
        <v>0.36362231810964696</v>
      </c>
      <c r="AC10" s="33">
        <v>0.5</v>
      </c>
      <c r="AD10" s="33">
        <f t="shared" si="8"/>
        <v>0.653696905446916</v>
      </c>
      <c r="AE10" s="33">
        <f t="shared" si="9"/>
        <v>0.7660149360750974</v>
      </c>
      <c r="AF10" s="33">
        <f t="shared" si="10"/>
        <v>-999</v>
      </c>
      <c r="AG10" s="33">
        <f t="shared" si="11"/>
        <v>0.36462333218275367</v>
      </c>
      <c r="AH10" s="33">
        <f t="shared" si="12"/>
        <v>-999</v>
      </c>
      <c r="AI10" s="34">
        <f t="shared" si="13"/>
        <v>0.39663940122314106</v>
      </c>
      <c r="AJ10" s="4">
        <v>5.930037568584676</v>
      </c>
      <c r="AK10" s="32">
        <f t="shared" si="14"/>
        <v>-999</v>
      </c>
      <c r="AL10" s="34">
        <f t="shared" si="15"/>
        <v>-999</v>
      </c>
      <c r="AY10" s="103" t="s">
        <v>96</v>
      </c>
      <c r="AZ10" s="103" t="s">
        <v>97</v>
      </c>
      <c r="BA10" s="103" t="s">
        <v>506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107</v>
      </c>
      <c r="E11" s="38">
        <f>IF(LEFT(VLOOKUP($B11,'Indicator chart'!$D$1:$J$36,5,FALSE),1)=" "," ",VLOOKUP($B11,'Indicator chart'!$D$1:$J$36,5,FALSE))</f>
        <v>0.013999999999999999</v>
      </c>
      <c r="F11" s="38">
        <f>IF(LEFT(VLOOKUP($B11,'Indicator chart'!$D$1:$J$36,6,FALSE),1)=" "," ",VLOOKUP($B11,'Indicator chart'!$D$1:$J$36,6,FALSE))</f>
        <v>0.01140942604125781</v>
      </c>
      <c r="G11" s="38">
        <f>IF(LEFT(VLOOKUP($B11,'Indicator chart'!$D$1:$J$36,7,FALSE),1)=" "," ",VLOOKUP($B11,'Indicator chart'!$D$1:$J$36,7,FALSE))</f>
        <v>0.016612961242784614</v>
      </c>
      <c r="H11" s="50">
        <f t="shared" si="0"/>
        <v>1</v>
      </c>
      <c r="I11" s="38">
        <v>0.014000000432133675</v>
      </c>
      <c r="J11" s="38">
        <v>0.017750000581145287</v>
      </c>
      <c r="K11" s="38">
        <v>0.01899999938905239</v>
      </c>
      <c r="L11" s="38">
        <v>0.02199999988079071</v>
      </c>
      <c r="M11" s="38">
        <v>0.03500000014901161</v>
      </c>
      <c r="N11" s="80">
        <f>VLOOKUP('Hide - Control'!B$3,'All practice data'!A:CA,A11+29,FALSE)</f>
        <v>0.019954025167665947</v>
      </c>
      <c r="O11" s="80">
        <f>VLOOKUP('Hide - Control'!C$3,'All practice data'!A:CA,A11+29,FALSE)</f>
        <v>0.015940726342527432</v>
      </c>
      <c r="P11" s="38">
        <f>VLOOKUP('Hide - Control'!$B$4,'All practice data'!B:BC,A11+2,FALSE)</f>
        <v>5894</v>
      </c>
      <c r="Q11" s="38">
        <f>VLOOKUP('Hide - Control'!$B$4,'All practice data'!B:BC,3,FALSE)</f>
        <v>295379</v>
      </c>
      <c r="R11" s="80">
        <f aca="true" t="shared" si="17" ref="R11:R16">+((2*P11+1.96^2-1.96*SQRT(1.96^2+4*P11*(1-P11/Q11)))/(2*(Q11+1.96^2)))</f>
        <v>0.01945591471818785</v>
      </c>
      <c r="S11" s="80">
        <f aca="true" t="shared" si="18" ref="S11:S16">+((2*P11+1.96^2+1.96*SQRT(1.96^2+4*P11*(1-P11/Q11)))/(2*(Q11+1.96^2)))</f>
        <v>0.020464622087969005</v>
      </c>
      <c r="T11" s="53">
        <f t="shared" si="16"/>
        <v>0.03500000014901161</v>
      </c>
      <c r="U11" s="51">
        <f t="shared" si="1"/>
        <v>0.014000000432133675</v>
      </c>
      <c r="V11" s="7"/>
      <c r="W11" s="27">
        <f t="shared" si="2"/>
        <v>0.00299999862909317</v>
      </c>
      <c r="X11" s="27">
        <f t="shared" si="3"/>
        <v>0.03500000014901161</v>
      </c>
      <c r="Y11" s="27">
        <f t="shared" si="4"/>
        <v>0.00299999862909317</v>
      </c>
      <c r="Z11" s="27">
        <f t="shared" si="5"/>
        <v>0.03500000014901161</v>
      </c>
      <c r="AA11" s="32">
        <f t="shared" si="6"/>
        <v>0.343750040017765</v>
      </c>
      <c r="AB11" s="33">
        <f t="shared" si="7"/>
        <v>0.46093753910827034</v>
      </c>
      <c r="AC11" s="33">
        <v>0.5</v>
      </c>
      <c r="AD11" s="33">
        <f t="shared" si="8"/>
        <v>0.5937500109139359</v>
      </c>
      <c r="AE11" s="33">
        <f t="shared" si="9"/>
        <v>1</v>
      </c>
      <c r="AF11" s="33">
        <f t="shared" si="10"/>
        <v>-999</v>
      </c>
      <c r="AG11" s="33">
        <f t="shared" si="11"/>
        <v>-999</v>
      </c>
      <c r="AH11" s="33">
        <f t="shared" si="12"/>
        <v>0.34375002651358827</v>
      </c>
      <c r="AI11" s="34">
        <f t="shared" si="13"/>
        <v>0.4043977218369596</v>
      </c>
      <c r="AJ11" s="4">
        <v>7.0060329939666</v>
      </c>
      <c r="AK11" s="32">
        <f t="shared" si="14"/>
        <v>0.34375002651358827</v>
      </c>
      <c r="AL11" s="34">
        <f t="shared" si="15"/>
        <v>-999</v>
      </c>
      <c r="AY11" s="103" t="s">
        <v>214</v>
      </c>
      <c r="AZ11" s="103" t="s">
        <v>215</v>
      </c>
      <c r="BA11" s="103" t="s">
        <v>506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650</v>
      </c>
      <c r="E12" s="38">
        <f>IF(LEFT(VLOOKUP($B12,'Indicator chart'!$D$1:$J$36,5,FALSE),1)=" "," ",VLOOKUP($B12,'Indicator chart'!$D$1:$J$36,5,FALSE))</f>
        <v>0.695931</v>
      </c>
      <c r="F12" s="38">
        <f>IF(LEFT(VLOOKUP($B12,'Indicator chart'!$D$1:$J$36,6,FALSE),1)=" "," ",VLOOKUP($B12,'Indicator chart'!$D$1:$J$36,6,FALSE))</f>
        <v>0.6656764384315811</v>
      </c>
      <c r="G12" s="38">
        <f>IF(LEFT(VLOOKUP($B12,'Indicator chart'!$D$1:$J$36,7,FALSE),1)=" "," ",VLOOKUP($B12,'Indicator chart'!$D$1:$J$36,7,FALSE))</f>
        <v>0.7245813620328044</v>
      </c>
      <c r="H12" s="50">
        <f t="shared" si="0"/>
        <v>1</v>
      </c>
      <c r="I12" s="38">
        <v>0.1267469972372055</v>
      </c>
      <c r="J12" s="38">
        <v>0.757635235786438</v>
      </c>
      <c r="K12" s="38">
        <v>0.7813190221786499</v>
      </c>
      <c r="L12" s="38">
        <v>0.8138577342033386</v>
      </c>
      <c r="M12" s="38">
        <v>0.8764849901199341</v>
      </c>
      <c r="N12" s="80">
        <f>VLOOKUP('Hide - Control'!B$3,'All practice data'!A:CA,A12+29,FALSE)</f>
        <v>0.7528827559863442</v>
      </c>
      <c r="O12" s="80">
        <f>VLOOKUP('Hide - Control'!C$3,'All practice data'!A:CA,A12+29,FALSE)</f>
        <v>0.7248631360507991</v>
      </c>
      <c r="P12" s="38">
        <f>VLOOKUP('Hide - Control'!$B$4,'All practice data'!B:BC,A12+2,FALSE)</f>
        <v>31536</v>
      </c>
      <c r="Q12" s="38">
        <f>VLOOKUP('Hide - Control'!$B$4,'All practice data'!B:BJ,57,FALSE)</f>
        <v>41887</v>
      </c>
      <c r="R12" s="38">
        <f t="shared" si="17"/>
        <v>0.7487289136924288</v>
      </c>
      <c r="S12" s="38">
        <f t="shared" si="18"/>
        <v>0.7569902170495041</v>
      </c>
      <c r="T12" s="53">
        <f t="shared" si="16"/>
        <v>0.8764849901199341</v>
      </c>
      <c r="U12" s="51">
        <f t="shared" si="1"/>
        <v>0.1267469972372055</v>
      </c>
      <c r="V12" s="7"/>
      <c r="W12" s="27">
        <f t="shared" si="2"/>
        <v>0.1267469972372055</v>
      </c>
      <c r="X12" s="27">
        <f t="shared" si="3"/>
        <v>1.4358910471200943</v>
      </c>
      <c r="Y12" s="27">
        <f t="shared" si="4"/>
        <v>0.1267469972372055</v>
      </c>
      <c r="Z12" s="27">
        <f t="shared" si="5"/>
        <v>1.4358910471200943</v>
      </c>
      <c r="AA12" s="32">
        <f t="shared" si="6"/>
        <v>0</v>
      </c>
      <c r="AB12" s="33">
        <f t="shared" si="7"/>
        <v>0.4819089531099877</v>
      </c>
      <c r="AC12" s="33">
        <v>0.5</v>
      </c>
      <c r="AD12" s="33">
        <f t="shared" si="8"/>
        <v>0.5248549516209462</v>
      </c>
      <c r="AE12" s="33">
        <f t="shared" si="9"/>
        <v>0.5726932746245895</v>
      </c>
      <c r="AF12" s="33">
        <f t="shared" si="10"/>
        <v>-999</v>
      </c>
      <c r="AG12" s="33">
        <f t="shared" si="11"/>
        <v>-999</v>
      </c>
      <c r="AH12" s="33">
        <f t="shared" si="12"/>
        <v>0.4347756863071803</v>
      </c>
      <c r="AI12" s="34">
        <f t="shared" si="13"/>
        <v>0.45687572644668006</v>
      </c>
      <c r="AJ12" s="4">
        <v>8.082028419348523</v>
      </c>
      <c r="AK12" s="32">
        <f t="shared" si="14"/>
        <v>0.4347756863071803</v>
      </c>
      <c r="AL12" s="34">
        <f t="shared" si="15"/>
        <v>-999</v>
      </c>
      <c r="AY12" s="103" t="s">
        <v>261</v>
      </c>
      <c r="AZ12" s="103" t="s">
        <v>442</v>
      </c>
      <c r="BA12" s="103" t="s">
        <v>327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0.642857</v>
      </c>
      <c r="F13" s="38">
        <f>IF(LEFT(VLOOKUP($B13,'Indicator chart'!$D$1:$J$36,6,FALSE),1)=" "," ",VLOOKUP($B13,'Indicator chart'!$D$1:$J$36,6,FALSE))</f>
        <v>0.38764004682140407</v>
      </c>
      <c r="G13" s="38">
        <f>IF(LEFT(VLOOKUP($B13,'Indicator chart'!$D$1:$J$36,7,FALSE),1)=" "," ",VLOOKUP($B13,'Indicator chart'!$D$1:$J$36,7,FALSE))</f>
        <v>0.8365550926279727</v>
      </c>
      <c r="H13" s="50">
        <f t="shared" si="0"/>
        <v>2</v>
      </c>
      <c r="I13" s="38">
        <v>0</v>
      </c>
      <c r="J13" s="38">
        <v>0.6011905074119568</v>
      </c>
      <c r="K13" s="38">
        <v>0.791963517665863</v>
      </c>
      <c r="L13" s="38">
        <v>0.8303067684173584</v>
      </c>
      <c r="M13" s="38">
        <v>0.9185190200805664</v>
      </c>
      <c r="N13" s="80">
        <f>VLOOKUP('Hide - Control'!B$3,'All practice data'!A:CA,A13+29,FALSE)</f>
        <v>0.8229521445477112</v>
      </c>
      <c r="O13" s="80">
        <f>VLOOKUP('Hide - Control'!C$3,'All practice data'!A:CA,A13+29,FALSE)</f>
        <v>0.7467412166569077</v>
      </c>
      <c r="P13" s="38">
        <f>VLOOKUP('Hide - Control'!$B$4,'All practice data'!B:BC,A13+2,FALSE)</f>
        <v>14256</v>
      </c>
      <c r="Q13" s="38">
        <f>VLOOKUP('Hide - Control'!$B$4,'All practice data'!B:BJ,58,FALSE)</f>
        <v>17323</v>
      </c>
      <c r="R13" s="38">
        <f t="shared" si="17"/>
        <v>0.8171964187522737</v>
      </c>
      <c r="S13" s="38">
        <f t="shared" si="18"/>
        <v>0.8285646644447933</v>
      </c>
      <c r="T13" s="53">
        <f t="shared" si="16"/>
        <v>0.9185190200805664</v>
      </c>
      <c r="U13" s="51">
        <f t="shared" si="1"/>
        <v>0</v>
      </c>
      <c r="V13" s="7"/>
      <c r="W13" s="27">
        <f t="shared" si="2"/>
        <v>0</v>
      </c>
      <c r="X13" s="27">
        <f t="shared" si="3"/>
        <v>1.583927035331726</v>
      </c>
      <c r="Y13" s="27">
        <f t="shared" si="4"/>
        <v>0</v>
      </c>
      <c r="Z13" s="27">
        <f t="shared" si="5"/>
        <v>1.583927035331726</v>
      </c>
      <c r="AA13" s="32">
        <f t="shared" si="6"/>
        <v>0</v>
      </c>
      <c r="AB13" s="33">
        <f t="shared" si="7"/>
        <v>0.379556945491525</v>
      </c>
      <c r="AC13" s="33">
        <v>0.5</v>
      </c>
      <c r="AD13" s="33">
        <f t="shared" si="8"/>
        <v>0.5242077127899172</v>
      </c>
      <c r="AE13" s="33">
        <f t="shared" si="9"/>
        <v>0.5798998309844484</v>
      </c>
      <c r="AF13" s="33">
        <f t="shared" si="10"/>
        <v>-999</v>
      </c>
      <c r="AG13" s="33">
        <f t="shared" si="11"/>
        <v>0.4058627611374565</v>
      </c>
      <c r="AH13" s="33">
        <f t="shared" si="12"/>
        <v>-999</v>
      </c>
      <c r="AI13" s="34">
        <f t="shared" si="13"/>
        <v>0.4714492523959702</v>
      </c>
      <c r="AJ13" s="4">
        <v>9.158023844730446</v>
      </c>
      <c r="AK13" s="32">
        <f t="shared" si="14"/>
        <v>-999</v>
      </c>
      <c r="AL13" s="34">
        <f t="shared" si="15"/>
        <v>-999</v>
      </c>
      <c r="AY13" s="103" t="s">
        <v>260</v>
      </c>
      <c r="AZ13" s="103" t="s">
        <v>441</v>
      </c>
      <c r="BA13" s="103" t="s">
        <v>327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1472</v>
      </c>
      <c r="E14" s="38">
        <f>IF(LEFT(VLOOKUP($B14,'Indicator chart'!$D$1:$J$36,5,FALSE),1)=" "," ",VLOOKUP($B14,'Indicator chart'!$D$1:$J$36,5,FALSE))</f>
        <v>0.804811</v>
      </c>
      <c r="F14" s="38">
        <f>IF(LEFT(VLOOKUP($B14,'Indicator chart'!$D$1:$J$36,6,FALSE),1)=" "," ",VLOOKUP($B14,'Indicator chart'!$D$1:$J$36,6,FALSE))</f>
        <v>0.7860157930426133</v>
      </c>
      <c r="G14" s="38">
        <f>IF(LEFT(VLOOKUP($B14,'Indicator chart'!$D$1:$J$36,7,FALSE),1)=" "," ",VLOOKUP($B14,'Indicator chart'!$D$1:$J$36,7,FALSE))</f>
        <v>0.8223291943256352</v>
      </c>
      <c r="H14" s="50">
        <f t="shared" si="0"/>
        <v>3</v>
      </c>
      <c r="I14" s="38">
        <v>0.7291889786720276</v>
      </c>
      <c r="J14" s="38">
        <v>0.7690717577934265</v>
      </c>
      <c r="K14" s="38">
        <v>0.7821984887123108</v>
      </c>
      <c r="L14" s="38">
        <v>0.8125672340393066</v>
      </c>
      <c r="M14" s="38">
        <v>0.8755760192871094</v>
      </c>
      <c r="N14" s="80">
        <f>VLOOKUP('Hide - Control'!B$3,'All practice data'!A:CA,A14+29,FALSE)</f>
        <v>0.7822014051522248</v>
      </c>
      <c r="O14" s="80">
        <f>VLOOKUP('Hide - Control'!C$3,'All practice data'!A:CA,A14+29,FALSE)</f>
        <v>0.7559681673907895</v>
      </c>
      <c r="P14" s="38">
        <f>VLOOKUP('Hide - Control'!$B$4,'All practice data'!B:BC,A14+2,FALSE)</f>
        <v>53774</v>
      </c>
      <c r="Q14" s="38">
        <f>VLOOKUP('Hide - Control'!$B$4,'All practice data'!B:BJ,59,FALSE)</f>
        <v>68747</v>
      </c>
      <c r="R14" s="38">
        <f t="shared" si="17"/>
        <v>0.779100250106721</v>
      </c>
      <c r="S14" s="38">
        <f t="shared" si="18"/>
        <v>0.7852710229861745</v>
      </c>
      <c r="T14" s="53">
        <f t="shared" si="16"/>
        <v>0.8755760192871094</v>
      </c>
      <c r="U14" s="51">
        <f t="shared" si="1"/>
        <v>0.7291889786720276</v>
      </c>
      <c r="V14" s="7"/>
      <c r="W14" s="27">
        <f t="shared" si="2"/>
        <v>0.6888209581375122</v>
      </c>
      <c r="X14" s="27">
        <f t="shared" si="3"/>
        <v>0.8755760192871094</v>
      </c>
      <c r="Y14" s="27">
        <f t="shared" si="4"/>
        <v>0.6888209581375122</v>
      </c>
      <c r="Z14" s="27">
        <f t="shared" si="5"/>
        <v>0.8755760192871094</v>
      </c>
      <c r="AA14" s="32">
        <f t="shared" si="6"/>
        <v>0.216154894469924</v>
      </c>
      <c r="AB14" s="33">
        <f t="shared" si="7"/>
        <v>0.42971151176262196</v>
      </c>
      <c r="AC14" s="33">
        <v>0.5</v>
      </c>
      <c r="AD14" s="33">
        <f t="shared" si="8"/>
        <v>0.6626127031848923</v>
      </c>
      <c r="AE14" s="33">
        <f t="shared" si="9"/>
        <v>1</v>
      </c>
      <c r="AF14" s="33">
        <f t="shared" si="10"/>
        <v>-999</v>
      </c>
      <c r="AG14" s="33">
        <f t="shared" si="11"/>
        <v>-999</v>
      </c>
      <c r="AH14" s="33">
        <f t="shared" si="12"/>
        <v>0.6210811163483054</v>
      </c>
      <c r="AI14" s="34">
        <f t="shared" si="13"/>
        <v>0.35954693190076453</v>
      </c>
      <c r="AJ14" s="4">
        <v>10.234019270112368</v>
      </c>
      <c r="AK14" s="32">
        <f t="shared" si="14"/>
        <v>-999</v>
      </c>
      <c r="AL14" s="34">
        <f t="shared" si="15"/>
        <v>0.6210811163483054</v>
      </c>
      <c r="AY14" s="103" t="s">
        <v>53</v>
      </c>
      <c r="AZ14" s="103" t="s">
        <v>449</v>
      </c>
      <c r="BA14" s="103" t="s">
        <v>506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284</v>
      </c>
      <c r="E15" s="38">
        <f>IF(LEFT(VLOOKUP($B15,'Indicator chart'!$D$1:$J$36,5,FALSE),1)=" "," ",VLOOKUP($B15,'Indicator chart'!$D$1:$J$36,5,FALSE))</f>
        <v>0.380697</v>
      </c>
      <c r="F15" s="38">
        <f>IF(LEFT(VLOOKUP($B15,'Indicator chart'!$D$1:$J$36,6,FALSE),1)=" "," ",VLOOKUP($B15,'Indicator chart'!$D$1:$J$36,6,FALSE))</f>
        <v>0.3465482641112554</v>
      </c>
      <c r="G15" s="38">
        <f>IF(LEFT(VLOOKUP($B15,'Indicator chart'!$D$1:$J$36,7,FALSE),1)=" "," ",VLOOKUP($B15,'Indicator chart'!$D$1:$J$36,7,FALSE))</f>
        <v>0.4160682671668172</v>
      </c>
      <c r="H15" s="50">
        <f t="shared" si="0"/>
        <v>1</v>
      </c>
      <c r="I15" s="38">
        <v>0.35225000977516174</v>
      </c>
      <c r="J15" s="38">
        <v>0.3968377411365509</v>
      </c>
      <c r="K15" s="38">
        <v>0.4128260016441345</v>
      </c>
      <c r="L15" s="38">
        <v>0.4323844909667969</v>
      </c>
      <c r="M15" s="38">
        <v>0.4743900001049042</v>
      </c>
      <c r="N15" s="80">
        <f>VLOOKUP('Hide - Control'!B$3,'All practice data'!A:CA,A15+29,FALSE)</f>
        <v>0.41646813579511616</v>
      </c>
      <c r="O15" s="80">
        <f>VLOOKUP('Hide - Control'!C$3,'All practice data'!A:CA,A15+29,FALSE)</f>
        <v>0.5147293797466616</v>
      </c>
      <c r="P15" s="38">
        <f>VLOOKUP('Hide - Control'!$B$4,'All practice data'!B:BC,A15+2,FALSE)</f>
        <v>16782</v>
      </c>
      <c r="Q15" s="38">
        <f>VLOOKUP('Hide - Control'!$B$4,'All practice data'!B:BJ,60,FALSE)</f>
        <v>40296</v>
      </c>
      <c r="R15" s="38">
        <f t="shared" si="17"/>
        <v>0.4116629620600285</v>
      </c>
      <c r="S15" s="38">
        <f t="shared" si="18"/>
        <v>0.4212892349530734</v>
      </c>
      <c r="T15" s="53">
        <f t="shared" si="16"/>
        <v>0.4743900001049042</v>
      </c>
      <c r="U15" s="51">
        <f t="shared" si="1"/>
        <v>0.35225000977516174</v>
      </c>
      <c r="V15" s="7"/>
      <c r="W15" s="27">
        <f t="shared" si="2"/>
        <v>0.35126200318336487</v>
      </c>
      <c r="X15" s="27">
        <f t="shared" si="3"/>
        <v>0.4743900001049042</v>
      </c>
      <c r="Y15" s="27">
        <f t="shared" si="4"/>
        <v>0.35126200318336487</v>
      </c>
      <c r="Z15" s="27">
        <f t="shared" si="5"/>
        <v>0.4743900001049042</v>
      </c>
      <c r="AA15" s="32">
        <f t="shared" si="6"/>
        <v>0.00802422370621737</v>
      </c>
      <c r="AB15" s="33">
        <f t="shared" si="7"/>
        <v>0.37014926818169713</v>
      </c>
      <c r="AC15" s="33">
        <v>0.5</v>
      </c>
      <c r="AD15" s="33">
        <f t="shared" si="8"/>
        <v>0.6588468082943442</v>
      </c>
      <c r="AE15" s="33">
        <f t="shared" si="9"/>
        <v>1</v>
      </c>
      <c r="AF15" s="33">
        <f t="shared" si="10"/>
        <v>-999</v>
      </c>
      <c r="AG15" s="33">
        <f t="shared" si="11"/>
        <v>-999</v>
      </c>
      <c r="AH15" s="33">
        <f t="shared" si="12"/>
        <v>0.23906014515441168</v>
      </c>
      <c r="AI15" s="34">
        <f t="shared" si="13"/>
        <v>1.3276215048593927</v>
      </c>
      <c r="AJ15" s="4">
        <v>11.310014695494289</v>
      </c>
      <c r="AK15" s="32">
        <f t="shared" si="14"/>
        <v>0.23906014515441168</v>
      </c>
      <c r="AL15" s="34">
        <f t="shared" si="15"/>
        <v>-999</v>
      </c>
      <c r="AY15" s="103" t="s">
        <v>229</v>
      </c>
      <c r="AZ15" s="103" t="s">
        <v>230</v>
      </c>
      <c r="BA15" s="103" t="s">
        <v>327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218</v>
      </c>
      <c r="E16" s="38">
        <f>IF(LEFT(VLOOKUP($B16,'Indicator chart'!$D$1:$J$36,5,FALSE),1)=" "," ",VLOOKUP($B16,'Indicator chart'!$D$1:$J$36,5,FALSE))</f>
        <v>0.549118</v>
      </c>
      <c r="F16" s="38">
        <f>IF(LEFT(VLOOKUP($B16,'Indicator chart'!$D$1:$J$36,6,FALSE),1)=" "," ",VLOOKUP($B16,'Indicator chart'!$D$1:$J$36,6,FALSE))</f>
        <v>0.4999335982466578</v>
      </c>
      <c r="G16" s="38">
        <f>IF(LEFT(VLOOKUP($B16,'Indicator chart'!$D$1:$J$36,7,FALSE),1)=" "," ",VLOOKUP($B16,'Indicator chart'!$D$1:$J$36,7,FALSE))</f>
        <v>0.5973616924616918</v>
      </c>
      <c r="H16" s="50">
        <f t="shared" si="0"/>
        <v>1</v>
      </c>
      <c r="I16" s="38">
        <v>0.506596028804779</v>
      </c>
      <c r="J16" s="38">
        <v>0.5783072710037231</v>
      </c>
      <c r="K16" s="38">
        <v>0.6099479794502258</v>
      </c>
      <c r="L16" s="38">
        <v>0.6242517232894897</v>
      </c>
      <c r="M16" s="38">
        <v>0.6893939971923828</v>
      </c>
      <c r="N16" s="80">
        <f>VLOOKUP('Hide - Control'!B$3,'All practice data'!A:CA,A16+29,FALSE)</f>
        <v>0.6057194551942504</v>
      </c>
      <c r="O16" s="80">
        <f>VLOOKUP('Hide - Control'!C$3,'All practice data'!A:CA,A16+29,FALSE)</f>
        <v>0.5752927626212945</v>
      </c>
      <c r="P16" s="38">
        <f>VLOOKUP('Hide - Control'!$B$4,'All practice data'!B:BC,A16+2,FALSE)</f>
        <v>12052</v>
      </c>
      <c r="Q16" s="38">
        <f>VLOOKUP('Hide - Control'!$B$4,'All practice data'!B:BJ,61,FALSE)</f>
        <v>19897</v>
      </c>
      <c r="R16" s="38">
        <f t="shared" si="17"/>
        <v>0.5989091885562675</v>
      </c>
      <c r="S16" s="38">
        <f t="shared" si="18"/>
        <v>0.6124889062861134</v>
      </c>
      <c r="T16" s="53">
        <f aca="true" t="shared" si="19" ref="T16:T31">IF($C16=1,M16,I16)</f>
        <v>0.6893939971923828</v>
      </c>
      <c r="U16" s="51">
        <f aca="true" t="shared" si="20" ref="U16:U31">IF($C16=1,I16,M16)</f>
        <v>0.506596028804779</v>
      </c>
      <c r="V16" s="7"/>
      <c r="W16" s="27">
        <f t="shared" si="2"/>
        <v>0.506596028804779</v>
      </c>
      <c r="X16" s="27">
        <f t="shared" si="3"/>
        <v>0.7132999300956726</v>
      </c>
      <c r="Y16" s="27">
        <f t="shared" si="4"/>
        <v>0.506596028804779</v>
      </c>
      <c r="Z16" s="27">
        <f t="shared" si="5"/>
        <v>0.7132999300956726</v>
      </c>
      <c r="AA16" s="32">
        <f t="shared" si="6"/>
        <v>0</v>
      </c>
      <c r="AB16" s="33">
        <f t="shared" si="7"/>
        <v>0.34692737655698697</v>
      </c>
      <c r="AC16" s="33">
        <v>0.5</v>
      </c>
      <c r="AD16" s="33">
        <f t="shared" si="8"/>
        <v>0.5691991962896449</v>
      </c>
      <c r="AE16" s="33">
        <f t="shared" si="9"/>
        <v>0.8843469680349813</v>
      </c>
      <c r="AF16" s="33">
        <f t="shared" si="10"/>
        <v>-999</v>
      </c>
      <c r="AG16" s="33">
        <f t="shared" si="11"/>
        <v>-999</v>
      </c>
      <c r="AH16" s="33">
        <f t="shared" si="12"/>
        <v>0.20571441046668948</v>
      </c>
      <c r="AI16" s="34">
        <f t="shared" si="13"/>
        <v>0.3323436731841785</v>
      </c>
      <c r="AJ16" s="4">
        <v>12.386010120876215</v>
      </c>
      <c r="AK16" s="32">
        <f t="shared" si="14"/>
        <v>0.20571441046668948</v>
      </c>
      <c r="AL16" s="34">
        <f t="shared" si="15"/>
        <v>-999</v>
      </c>
      <c r="AY16" s="103" t="s">
        <v>326</v>
      </c>
      <c r="AZ16" s="103" t="s">
        <v>346</v>
      </c>
      <c r="BA16" s="103" t="s">
        <v>506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119</v>
      </c>
      <c r="E17" s="38">
        <f>IF(LEFT(VLOOKUP($B17,'Indicator chart'!$D$1:$J$36,5,FALSE),1)=" "," ",VLOOKUP($B17,'Indicator chart'!$D$1:$J$36,5,FALSE))</f>
        <v>1531.5315315315315</v>
      </c>
      <c r="F17" s="38">
        <f>IF(LEFT(VLOOKUP($B17,'Indicator chart'!$D$1:$J$36,6,FALSE),1)=" "," ",VLOOKUP($B17,'Indicator chart'!$D$1:$J$36,6,FALSE))</f>
        <v>1268.7205186138804</v>
      </c>
      <c r="G17" s="38">
        <f>IF(LEFT(VLOOKUP($B17,'Indicator chart'!$D$1:$J$36,7,FALSE),1)=" "," ",VLOOKUP($B17,'Indicator chart'!$D$1:$J$36,7,FALSE))</f>
        <v>1832.7253837355001</v>
      </c>
      <c r="H17" s="50">
        <f t="shared" si="0"/>
        <v>1</v>
      </c>
      <c r="I17" s="38">
        <v>731.9304809570312</v>
      </c>
      <c r="J17" s="38">
        <v>1916.030029296875</v>
      </c>
      <c r="K17" s="38">
        <v>2399.571044921875</v>
      </c>
      <c r="L17" s="38">
        <v>2812.213623046875</v>
      </c>
      <c r="M17" s="38">
        <v>3730.21044921875</v>
      </c>
      <c r="N17" s="80">
        <f>VLOOKUP('Hide - Control'!B$3,'All practice data'!A:CA,A17+29,FALSE)</f>
        <v>2360.357371377112</v>
      </c>
      <c r="O17" s="80">
        <f>VLOOKUP('Hide - Control'!C$3,'All practice data'!A:CA,A17+29,FALSE)</f>
        <v>1812.1669120472948</v>
      </c>
      <c r="P17" s="38">
        <f>VLOOKUP('Hide - Control'!$B$4,'All practice data'!B:BC,A17+2,FALSE)</f>
        <v>6972</v>
      </c>
      <c r="Q17" s="38">
        <f>VLOOKUP('Hide - Control'!$B$4,'All practice data'!B:BC,3,FALSE)</f>
        <v>295379</v>
      </c>
      <c r="R17" s="38">
        <f>100000*(P17*(1-1/(9*P17)-1.96/(3*SQRT(P17)))^3)/Q17</f>
        <v>2305.2728851773836</v>
      </c>
      <c r="S17" s="38">
        <f>100000*((P17+1)*(1-1/(9*(P17+1))+1.96/(3*SQRT(P17+1)))^3)/Q17</f>
        <v>2416.4257143380196</v>
      </c>
      <c r="T17" s="53">
        <f t="shared" si="19"/>
        <v>3730.21044921875</v>
      </c>
      <c r="U17" s="51">
        <f t="shared" si="20"/>
        <v>731.9304809570312</v>
      </c>
      <c r="V17" s="7"/>
      <c r="W17" s="27">
        <f t="shared" si="2"/>
        <v>731.9304809570312</v>
      </c>
      <c r="X17" s="27">
        <f t="shared" si="3"/>
        <v>4067.2116088867188</v>
      </c>
      <c r="Y17" s="27">
        <f t="shared" si="4"/>
        <v>731.9304809570312</v>
      </c>
      <c r="Z17" s="27">
        <f t="shared" si="5"/>
        <v>4067.2116088867188</v>
      </c>
      <c r="AA17" s="32">
        <f t="shared" si="6"/>
        <v>0</v>
      </c>
      <c r="AB17" s="33">
        <f t="shared" si="7"/>
        <v>0.3550224112816694</v>
      </c>
      <c r="AC17" s="33">
        <v>0.5</v>
      </c>
      <c r="AD17" s="33">
        <f t="shared" si="8"/>
        <v>0.6237204788134726</v>
      </c>
      <c r="AE17" s="33">
        <f t="shared" si="9"/>
        <v>0.898958694412319</v>
      </c>
      <c r="AF17" s="33">
        <f t="shared" si="10"/>
        <v>-999</v>
      </c>
      <c r="AG17" s="33">
        <f t="shared" si="11"/>
        <v>-999</v>
      </c>
      <c r="AH17" s="33">
        <f t="shared" si="12"/>
        <v>0.23974022575747234</v>
      </c>
      <c r="AI17" s="34">
        <f t="shared" si="13"/>
        <v>0.32388167283541697</v>
      </c>
      <c r="AJ17" s="4">
        <v>13.462005546258133</v>
      </c>
      <c r="AK17" s="32">
        <f t="shared" si="14"/>
        <v>0.23974022575747234</v>
      </c>
      <c r="AL17" s="34">
        <f t="shared" si="15"/>
        <v>-999</v>
      </c>
      <c r="AY17" s="103" t="s">
        <v>103</v>
      </c>
      <c r="AZ17" s="103" t="s">
        <v>104</v>
      </c>
      <c r="BA17" s="103" t="s">
        <v>327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119</v>
      </c>
      <c r="E18" s="80">
        <f>IF(LEFT(VLOOKUP($B18,'Indicator chart'!$D$1:$J$36,5,FALSE),1)=" "," ",VLOOKUP($B18,'Indicator chart'!$D$1:$J$36,5,FALSE))</f>
        <v>0.8930012512000001</v>
      </c>
      <c r="F18" s="81">
        <f>IF(LEFT(VLOOKUP($B18,'Indicator chart'!$D$1:$J$36,6,FALSE),1)=" "," ",VLOOKUP($B18,'Indicator chart'!$D$1:$J$36,6,FALSE))</f>
        <v>0.7397774506</v>
      </c>
      <c r="G18" s="38">
        <f>IF(LEFT(VLOOKUP($B18,'Indicator chart'!$D$1:$J$36,7,FALSE),1)=" "," ",VLOOKUP($B18,'Indicator chart'!$D$1:$J$36,7,FALSE))</f>
        <v>1.0686090849999998</v>
      </c>
      <c r="H18" s="50">
        <f>IF(LEFT(F18,1)=" ",4,IF(AND(ABS(N18-E18)&gt;SQRT((E18-G18)^2+(N18-R18)^2),E18&lt;N18),1,IF(AND(ABS(N18-E18)&gt;SQRT((E18-F18)^2+(N18-S18)^2),E18&gt;N18),3,2)))</f>
        <v>2</v>
      </c>
      <c r="I18" s="38">
        <v>0.3496326506137848</v>
      </c>
      <c r="J18" s="38"/>
      <c r="K18" s="38">
        <v>1</v>
      </c>
      <c r="L18" s="38"/>
      <c r="M18" s="38">
        <v>1.7510114908218384</v>
      </c>
      <c r="N18" s="80">
        <v>1</v>
      </c>
      <c r="O18" s="80">
        <f>VLOOKUP('Hide - Control'!C$3,'All practice data'!A:CA,A18+29,FALSE)</f>
        <v>1</v>
      </c>
      <c r="P18" s="38">
        <f>VLOOKUP('Hide - Control'!$B$4,'All practice data'!B:BC,A18+2,FALSE)</f>
        <v>6972</v>
      </c>
      <c r="Q18" s="38">
        <f>VLOOKUP('Hide - Control'!$B$4,'All practice data'!B:BC,14,FALSE)</f>
        <v>6972</v>
      </c>
      <c r="R18" s="81">
        <v>1</v>
      </c>
      <c r="S18" s="38">
        <v>1</v>
      </c>
      <c r="T18" s="53">
        <f t="shared" si="19"/>
        <v>1.7510114908218384</v>
      </c>
      <c r="U18" s="51">
        <f t="shared" si="20"/>
        <v>0.3496326506137848</v>
      </c>
      <c r="V18" s="7"/>
      <c r="W18" s="27">
        <f>IF((K18-I18)&gt;(M18-K18),I18,(K18-(M18-K18)))</f>
        <v>0.24898850917816162</v>
      </c>
      <c r="X18" s="27">
        <f t="shared" si="3"/>
        <v>1.7510114908218384</v>
      </c>
      <c r="Y18" s="27">
        <f t="shared" si="4"/>
        <v>0.24898850917816162</v>
      </c>
      <c r="Z18" s="27">
        <f t="shared" si="5"/>
        <v>1.7510114908218384</v>
      </c>
      <c r="AA18" s="32" t="s">
        <v>327</v>
      </c>
      <c r="AB18" s="33" t="s">
        <v>327</v>
      </c>
      <c r="AC18" s="33">
        <v>0.5</v>
      </c>
      <c r="AD18" s="33" t="s">
        <v>327</v>
      </c>
      <c r="AE18" s="33" t="s">
        <v>327</v>
      </c>
      <c r="AF18" s="33">
        <f t="shared" si="10"/>
        <v>-999</v>
      </c>
      <c r="AG18" s="33">
        <f t="shared" si="11"/>
        <v>0.4287635741212759</v>
      </c>
      <c r="AH18" s="33">
        <f t="shared" si="12"/>
        <v>-999</v>
      </c>
      <c r="AI18" s="34">
        <v>0.5</v>
      </c>
      <c r="AJ18" s="4">
        <v>14.538000971640056</v>
      </c>
      <c r="AK18" s="32">
        <f t="shared" si="14"/>
        <v>-999</v>
      </c>
      <c r="AL18" s="34">
        <f t="shared" si="15"/>
        <v>-999</v>
      </c>
      <c r="AY18" s="103" t="s">
        <v>105</v>
      </c>
      <c r="AZ18" s="103" t="s">
        <v>106</v>
      </c>
      <c r="BA18" s="103" t="s">
        <v>327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19</v>
      </c>
      <c r="E19" s="38">
        <f>IF(LEFT(VLOOKUP($B19,'Indicator chart'!$D$1:$J$36,5,FALSE),1)=" "," ",VLOOKUP($B19,'Indicator chart'!$D$1:$J$36,5,FALSE))</f>
        <v>0.15966386554621848</v>
      </c>
      <c r="F19" s="38">
        <f>IF(LEFT(VLOOKUP($B19,'Indicator chart'!$D$1:$J$36,6,FALSE),1)=" "," ",VLOOKUP($B19,'Indicator chart'!$D$1:$J$36,6,FALSE))</f>
        <v>0.10466269961883352</v>
      </c>
      <c r="G19" s="38">
        <f>IF(LEFT(VLOOKUP($B19,'Indicator chart'!$D$1:$J$36,7,FALSE),1)=" "," ",VLOOKUP($B19,'Indicator chart'!$D$1:$J$36,7,FALSE))</f>
        <v>0.2359515548356835</v>
      </c>
      <c r="H19" s="50">
        <f t="shared" si="0"/>
        <v>3</v>
      </c>
      <c r="I19" s="38">
        <v>0.02070442959666252</v>
      </c>
      <c r="J19" s="38">
        <v>0.07163485139608383</v>
      </c>
      <c r="K19" s="38">
        <v>0.08807369321584702</v>
      </c>
      <c r="L19" s="38">
        <v>0.1170535683631897</v>
      </c>
      <c r="M19" s="38">
        <v>0.19540229439735413</v>
      </c>
      <c r="N19" s="80">
        <f>VLOOKUP('Hide - Control'!B$3,'All practice data'!A:CA,A19+29,FALSE)</f>
        <v>0.09007458405048767</v>
      </c>
      <c r="O19" s="80">
        <f>VLOOKUP('Hide - Control'!C$3,'All practice data'!A:CA,A19+29,FALSE)</f>
        <v>0.10919341638628717</v>
      </c>
      <c r="P19" s="38">
        <f>VLOOKUP('Hide - Control'!$B$4,'All practice data'!B:BC,A19+2,FALSE)</f>
        <v>628</v>
      </c>
      <c r="Q19" s="38">
        <f>VLOOKUP('Hide - Control'!$B$4,'All practice data'!B:BC,15,FALSE)</f>
        <v>6972</v>
      </c>
      <c r="R19" s="38">
        <f>+((2*P19+1.96^2-1.96*SQRT(1.96^2+4*P19*(1-P19/Q19)))/(2*(Q19+1.96^2)))</f>
        <v>0.08357820139598922</v>
      </c>
      <c r="S19" s="38">
        <f>+((2*P19+1.96^2+1.96*SQRT(1.96^2+4*P19*(1-P19/Q19)))/(2*(Q19+1.96^2)))</f>
        <v>0.09702245903185078</v>
      </c>
      <c r="T19" s="53">
        <f t="shared" si="19"/>
        <v>0.19540229439735413</v>
      </c>
      <c r="U19" s="51">
        <f t="shared" si="20"/>
        <v>0.02070442959666252</v>
      </c>
      <c r="V19" s="7"/>
      <c r="W19" s="27">
        <f t="shared" si="2"/>
        <v>-0.019254907965660095</v>
      </c>
      <c r="X19" s="27">
        <f t="shared" si="3"/>
        <v>0.19540229439735413</v>
      </c>
      <c r="Y19" s="27">
        <f t="shared" si="4"/>
        <v>-0.019254907965660095</v>
      </c>
      <c r="Z19" s="27">
        <f t="shared" si="5"/>
        <v>0.19540229439735413</v>
      </c>
      <c r="AA19" s="32">
        <f t="shared" si="6"/>
        <v>0.18615418966816683</v>
      </c>
      <c r="AB19" s="33">
        <f t="shared" si="7"/>
        <v>0.4234181679496461</v>
      </c>
      <c r="AC19" s="33">
        <v>0.5</v>
      </c>
      <c r="AD19" s="33">
        <f t="shared" si="8"/>
        <v>0.6350053705551133</v>
      </c>
      <c r="AE19" s="33">
        <f t="shared" si="9"/>
        <v>1</v>
      </c>
      <c r="AF19" s="33">
        <f t="shared" si="10"/>
        <v>-999</v>
      </c>
      <c r="AG19" s="33">
        <f t="shared" si="11"/>
        <v>-999</v>
      </c>
      <c r="AH19" s="33">
        <f t="shared" si="12"/>
        <v>0.8335092954826777</v>
      </c>
      <c r="AI19" s="34">
        <f t="shared" si="13"/>
        <v>0.5983881413618903</v>
      </c>
      <c r="AJ19" s="4">
        <v>15.61399639702198</v>
      </c>
      <c r="AK19" s="32">
        <f t="shared" si="14"/>
        <v>-999</v>
      </c>
      <c r="AL19" s="34">
        <f t="shared" si="15"/>
        <v>0.8335092954826777</v>
      </c>
      <c r="AY19" s="103" t="s">
        <v>270</v>
      </c>
      <c r="AZ19" s="103" t="s">
        <v>445</v>
      </c>
      <c r="BA19" s="103" t="s">
        <v>327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35</v>
      </c>
      <c r="E20" s="38">
        <f>IF(LEFT(VLOOKUP($B20,'Indicator chart'!$D$1:$J$36,5,FALSE),1)=" "," ",VLOOKUP($B20,'Indicator chart'!$D$1:$J$36,5,FALSE))</f>
        <v>0.5428571428571428</v>
      </c>
      <c r="F20" s="38">
        <f>IF(LEFT(VLOOKUP($B20,'Indicator chart'!$D$1:$J$36,6,FALSE),1)=" "," ",VLOOKUP($B20,'Indicator chart'!$D$1:$J$36,6,FALSE))</f>
        <v>0.3818945134013752</v>
      </c>
      <c r="G20" s="38">
        <f>IF(LEFT(VLOOKUP($B20,'Indicator chart'!$D$1:$J$36,7,FALSE),1)=" "," ",VLOOKUP($B20,'Indicator chart'!$D$1:$J$36,7,FALSE))</f>
        <v>0.6953422636623915</v>
      </c>
      <c r="H20" s="50">
        <f t="shared" si="0"/>
        <v>2</v>
      </c>
      <c r="I20" s="38">
        <v>0.09238772839307785</v>
      </c>
      <c r="J20" s="38">
        <v>0.3612765967845917</v>
      </c>
      <c r="K20" s="38">
        <v>0.4202037453651428</v>
      </c>
      <c r="L20" s="38">
        <v>0.5233333110809326</v>
      </c>
      <c r="M20" s="38">
        <v>0.75</v>
      </c>
      <c r="N20" s="80">
        <f>VLOOKUP('Hide - Control'!B$3,'All practice data'!A:CA,A20+29,FALSE)</f>
        <v>0.427501701837985</v>
      </c>
      <c r="O20" s="80">
        <f>VLOOKUP('Hide - Control'!C$3,'All practice data'!A:CA,A20+29,FALSE)</f>
        <v>0.4534552930810221</v>
      </c>
      <c r="P20" s="38">
        <f>VLOOKUP('Hide - Control'!$B$4,'All practice data'!B:BC,A20+1,FALSE)</f>
        <v>628</v>
      </c>
      <c r="Q20" s="38">
        <f>VLOOKUP('Hide - Control'!$B$4,'All practice data'!B:BC,A20+2,FALSE)</f>
        <v>1469</v>
      </c>
      <c r="R20" s="38">
        <f>+((2*P20+1.96^2-1.96*SQRT(1.96^2+4*P20*(1-P20/Q20)))/(2*(Q20+1.96^2)))</f>
        <v>0.40242423155240453</v>
      </c>
      <c r="S20" s="38">
        <f>+((2*P20+1.96^2+1.96*SQRT(1.96^2+4*P20*(1-P20/Q20)))/(2*(Q20+1.96^2)))</f>
        <v>0.452957365491025</v>
      </c>
      <c r="T20" s="53">
        <f t="shared" si="19"/>
        <v>0.75</v>
      </c>
      <c r="U20" s="51">
        <f t="shared" si="20"/>
        <v>0.09238772839307785</v>
      </c>
      <c r="V20" s="7"/>
      <c r="W20" s="27">
        <f t="shared" si="2"/>
        <v>0.09040749073028564</v>
      </c>
      <c r="X20" s="27">
        <f t="shared" si="3"/>
        <v>0.75</v>
      </c>
      <c r="Y20" s="27">
        <f t="shared" si="4"/>
        <v>0.09040749073028564</v>
      </c>
      <c r="Z20" s="27">
        <f t="shared" si="5"/>
        <v>0.75</v>
      </c>
      <c r="AA20" s="32">
        <f t="shared" si="6"/>
        <v>0.003002213692488229</v>
      </c>
      <c r="AB20" s="33">
        <f t="shared" si="7"/>
        <v>0.410661282909665</v>
      </c>
      <c r="AC20" s="33">
        <v>0.5</v>
      </c>
      <c r="AD20" s="33">
        <f t="shared" si="8"/>
        <v>0.65635345196684</v>
      </c>
      <c r="AE20" s="33">
        <f t="shared" si="9"/>
        <v>1</v>
      </c>
      <c r="AF20" s="33">
        <f t="shared" si="10"/>
        <v>-999</v>
      </c>
      <c r="AG20" s="33">
        <f t="shared" si="11"/>
        <v>0.685953290506284</v>
      </c>
      <c r="AH20" s="33">
        <f t="shared" si="12"/>
        <v>-999</v>
      </c>
      <c r="AI20" s="34">
        <f t="shared" si="13"/>
        <v>0.5504122579449767</v>
      </c>
      <c r="AJ20" s="4">
        <v>16.689991822403904</v>
      </c>
      <c r="AK20" s="32">
        <f t="shared" si="14"/>
        <v>-999</v>
      </c>
      <c r="AL20" s="34">
        <f t="shared" si="15"/>
        <v>-999</v>
      </c>
      <c r="AY20" s="103" t="s">
        <v>211</v>
      </c>
      <c r="AZ20" s="103" t="s">
        <v>426</v>
      </c>
      <c r="BA20" s="103" t="s">
        <v>327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52</v>
      </c>
      <c r="E21" s="38">
        <f>IF(LEFT(VLOOKUP($B21,'Indicator chart'!$D$1:$J$36,5,FALSE),1)=" "," ",VLOOKUP($B21,'Indicator chart'!$D$1:$J$36,5,FALSE))</f>
        <v>669.2406692406693</v>
      </c>
      <c r="F21" s="38">
        <f>IF(LEFT(VLOOKUP($B21,'Indicator chart'!$D$1:$J$36,6,FALSE),1)=" "," ",VLOOKUP($B21,'Indicator chart'!$D$1:$J$36,6,FALSE))</f>
        <v>499.7822158487573</v>
      </c>
      <c r="G21" s="38">
        <f>IF(LEFT(VLOOKUP($B21,'Indicator chart'!$D$1:$J$36,7,FALSE),1)=" "," ",VLOOKUP($B21,'Indicator chart'!$D$1:$J$36,7,FALSE))</f>
        <v>877.6418234378032</v>
      </c>
      <c r="H21" s="50">
        <f t="shared" si="0"/>
        <v>2</v>
      </c>
      <c r="I21" s="38">
        <v>297.34674072265625</v>
      </c>
      <c r="J21" s="38">
        <v>563.2574462890625</v>
      </c>
      <c r="K21" s="38">
        <v>704.98291015625</v>
      </c>
      <c r="L21" s="38">
        <v>818.9649658203125</v>
      </c>
      <c r="M21" s="38">
        <v>1147.0281982421875</v>
      </c>
      <c r="N21" s="80">
        <f>VLOOKUP('Hide - Control'!B$3,'All practice data'!A:CA,A21+29,FALSE)</f>
        <v>701.1331204994261</v>
      </c>
      <c r="O21" s="80">
        <f>VLOOKUP('Hide - Control'!C$3,'All practice data'!A:CA,A21+29,FALSE)</f>
        <v>377.7293140102421</v>
      </c>
      <c r="P21" s="38">
        <f>VLOOKUP('Hide - Control'!$B$4,'All practice data'!B:BC,A21+2,FALSE)</f>
        <v>2071</v>
      </c>
      <c r="Q21" s="38">
        <f>VLOOKUP('Hide - Control'!$B$4,'All practice data'!B:BC,3,FALSE)</f>
        <v>295379</v>
      </c>
      <c r="R21" s="38">
        <f aca="true" t="shared" si="21" ref="R21:R27">100000*(P21*(1-1/(9*P21)-1.96/(3*SQRT(P21)))^3)/Q21</f>
        <v>671.2577534350505</v>
      </c>
      <c r="S21" s="38">
        <f aca="true" t="shared" si="22" ref="S21:S27">100000*((P21+1)*(1-1/(9*(P21+1))+1.96/(3*SQRT(P21+1)))^3)/Q21</f>
        <v>731.9956366774986</v>
      </c>
      <c r="T21" s="53">
        <f t="shared" si="19"/>
        <v>1147.0281982421875</v>
      </c>
      <c r="U21" s="51">
        <f t="shared" si="20"/>
        <v>297.34674072265625</v>
      </c>
      <c r="V21" s="7"/>
      <c r="W21" s="27">
        <f t="shared" si="2"/>
        <v>262.9376220703125</v>
      </c>
      <c r="X21" s="27">
        <f t="shared" si="3"/>
        <v>1147.0281982421875</v>
      </c>
      <c r="Y21" s="27">
        <f t="shared" si="4"/>
        <v>262.9376220703125</v>
      </c>
      <c r="Z21" s="27">
        <f t="shared" si="5"/>
        <v>1147.0281982421875</v>
      </c>
      <c r="AA21" s="32">
        <f t="shared" si="6"/>
        <v>0.038920354519935876</v>
      </c>
      <c r="AB21" s="33">
        <f t="shared" si="7"/>
        <v>0.3396935023548596</v>
      </c>
      <c r="AC21" s="33">
        <v>0.5</v>
      </c>
      <c r="AD21" s="33">
        <f t="shared" si="8"/>
        <v>0.6289257670380409</v>
      </c>
      <c r="AE21" s="33">
        <f t="shared" si="9"/>
        <v>1</v>
      </c>
      <c r="AF21" s="33">
        <f t="shared" si="10"/>
        <v>-999</v>
      </c>
      <c r="AG21" s="33">
        <f t="shared" si="11"/>
        <v>0.45957174312348725</v>
      </c>
      <c r="AH21" s="33">
        <f t="shared" si="12"/>
        <v>-999</v>
      </c>
      <c r="AI21" s="34">
        <f t="shared" si="13"/>
        <v>0.12984155134531497</v>
      </c>
      <c r="AJ21" s="4">
        <v>17.765987247785823</v>
      </c>
      <c r="AK21" s="32">
        <f t="shared" si="14"/>
        <v>-999</v>
      </c>
      <c r="AL21" s="34">
        <f t="shared" si="15"/>
        <v>-999</v>
      </c>
      <c r="AY21" s="103" t="s">
        <v>123</v>
      </c>
      <c r="AZ21" s="103" t="s">
        <v>400</v>
      </c>
      <c r="BA21" s="103" t="s">
        <v>327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193.05019305019306</v>
      </c>
      <c r="F22" s="38">
        <f>IF(LEFT(VLOOKUP($B22,'Indicator chart'!$D$1:$J$36,6,FALSE),1)=" "," ",VLOOKUP($B22,'Indicator chart'!$D$1:$J$36,6,FALSE))</f>
        <v>107.96871720362202</v>
      </c>
      <c r="G22" s="38">
        <f>IF(LEFT(VLOOKUP($B22,'Indicator chart'!$D$1:$J$36,7,FALSE),1)=" "," ",VLOOKUP($B22,'Indicator chart'!$D$1:$J$36,7,FALSE))</f>
        <v>318.4275931442907</v>
      </c>
      <c r="H22" s="50">
        <f t="shared" si="0"/>
        <v>2</v>
      </c>
      <c r="I22" s="38">
        <v>18.07059669494629</v>
      </c>
      <c r="J22" s="38">
        <v>188.37802124023438</v>
      </c>
      <c r="K22" s="38">
        <v>268.4076843261719</v>
      </c>
      <c r="L22" s="38">
        <v>385.3506164550781</v>
      </c>
      <c r="M22" s="38">
        <v>510.5017395019531</v>
      </c>
      <c r="N22" s="80">
        <f>VLOOKUP('Hide - Control'!B$3,'All practice data'!A:CA,A22+29,FALSE)</f>
        <v>273.8854150091916</v>
      </c>
      <c r="O22" s="80">
        <f>VLOOKUP('Hide - Control'!C$3,'All practice data'!A:CA,A22+29,FALSE)</f>
        <v>282.45290788403287</v>
      </c>
      <c r="P22" s="38">
        <f>VLOOKUP('Hide - Control'!$B$4,'All practice data'!B:BC,A22+2,FALSE)</f>
        <v>809</v>
      </c>
      <c r="Q22" s="38">
        <f>VLOOKUP('Hide - Control'!$B$4,'All practice data'!B:BC,3,FALSE)</f>
        <v>295379</v>
      </c>
      <c r="R22" s="38">
        <f t="shared" si="21"/>
        <v>255.33448348193855</v>
      </c>
      <c r="S22" s="38">
        <f t="shared" si="22"/>
        <v>293.42781434432766</v>
      </c>
      <c r="T22" s="53">
        <f t="shared" si="19"/>
        <v>510.5017395019531</v>
      </c>
      <c r="U22" s="51">
        <f t="shared" si="20"/>
        <v>18.07059669494629</v>
      </c>
      <c r="V22" s="7"/>
      <c r="W22" s="27">
        <f t="shared" si="2"/>
        <v>18.07059669494629</v>
      </c>
      <c r="X22" s="27">
        <f t="shared" si="3"/>
        <v>518.7447719573975</v>
      </c>
      <c r="Y22" s="27">
        <f t="shared" si="4"/>
        <v>18.07059669494629</v>
      </c>
      <c r="Z22" s="27">
        <f t="shared" si="5"/>
        <v>518.7447719573975</v>
      </c>
      <c r="AA22" s="32">
        <f t="shared" si="6"/>
        <v>0</v>
      </c>
      <c r="AB22" s="33">
        <f t="shared" si="7"/>
        <v>0.3401561993007003</v>
      </c>
      <c r="AC22" s="33">
        <v>0.5</v>
      </c>
      <c r="AD22" s="33">
        <f t="shared" si="8"/>
        <v>0.7335709287733989</v>
      </c>
      <c r="AE22" s="33">
        <f t="shared" si="9"/>
        <v>0.9835361341512704</v>
      </c>
      <c r="AF22" s="33">
        <f t="shared" si="10"/>
        <v>-999</v>
      </c>
      <c r="AG22" s="33">
        <f t="shared" si="11"/>
        <v>0.34948796043559316</v>
      </c>
      <c r="AH22" s="33">
        <f t="shared" si="12"/>
        <v>-999</v>
      </c>
      <c r="AI22" s="34">
        <f t="shared" si="13"/>
        <v>0.5280526223476546</v>
      </c>
      <c r="AJ22" s="4">
        <v>18.841982673167745</v>
      </c>
      <c r="AK22" s="32">
        <f t="shared" si="14"/>
        <v>-999</v>
      </c>
      <c r="AL22" s="34">
        <f t="shared" si="15"/>
        <v>-999</v>
      </c>
      <c r="AY22" s="103" t="s">
        <v>149</v>
      </c>
      <c r="AZ22" s="103" t="s">
        <v>410</v>
      </c>
      <c r="BA22" s="103" t="s">
        <v>327</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40.62765884399414</v>
      </c>
      <c r="K23" s="38">
        <v>58.91508865356445</v>
      </c>
      <c r="L23" s="38">
        <v>95.41732025146484</v>
      </c>
      <c r="M23" s="38">
        <v>286.7570495605469</v>
      </c>
      <c r="N23" s="80">
        <f>VLOOKUP('Hide - Control'!B$3,'All practice data'!A:CA,A23+29,FALSE)</f>
        <v>74.81913067618213</v>
      </c>
      <c r="O23" s="80">
        <f>VLOOKUP('Hide - Control'!C$3,'All practice data'!A:CA,A23+29,FALSE)</f>
        <v>70.46674929228394</v>
      </c>
      <c r="P23" s="38">
        <f>VLOOKUP('Hide - Control'!$B$4,'All practice data'!B:BC,A23+2,FALSE)</f>
        <v>221</v>
      </c>
      <c r="Q23" s="38">
        <f>VLOOKUP('Hide - Control'!$B$4,'All practice data'!B:BC,3,FALSE)</f>
        <v>295379</v>
      </c>
      <c r="R23" s="38">
        <f t="shared" si="21"/>
        <v>65.2787643465637</v>
      </c>
      <c r="S23" s="38">
        <f t="shared" si="22"/>
        <v>85.36136948003475</v>
      </c>
      <c r="T23" s="53">
        <f t="shared" si="19"/>
        <v>286.7570495605469</v>
      </c>
      <c r="U23" s="51">
        <f t="shared" si="20"/>
        <v>3.248678207397461</v>
      </c>
      <c r="V23" s="7"/>
      <c r="W23" s="27">
        <f t="shared" si="2"/>
        <v>-168.92687225341797</v>
      </c>
      <c r="X23" s="27">
        <f t="shared" si="3"/>
        <v>286.7570495605469</v>
      </c>
      <c r="Y23" s="27">
        <f t="shared" si="4"/>
        <v>-168.92687225341797</v>
      </c>
      <c r="Z23" s="27">
        <f t="shared" si="5"/>
        <v>286.7570495605469</v>
      </c>
      <c r="AA23" s="32">
        <f t="shared" si="6"/>
        <v>0.3778398627176206</v>
      </c>
      <c r="AB23" s="33">
        <f t="shared" si="7"/>
        <v>0.45986816972437256</v>
      </c>
      <c r="AC23" s="33">
        <v>0.5</v>
      </c>
      <c r="AD23" s="33">
        <f t="shared" si="8"/>
        <v>0.5801042780982792</v>
      </c>
      <c r="AE23" s="33">
        <f t="shared" si="9"/>
        <v>1</v>
      </c>
      <c r="AF23" s="33">
        <f t="shared" si="10"/>
        <v>-999</v>
      </c>
      <c r="AG23" s="33">
        <f t="shared" si="11"/>
        <v>-999</v>
      </c>
      <c r="AH23" s="33">
        <f t="shared" si="12"/>
        <v>-999</v>
      </c>
      <c r="AI23" s="34">
        <f t="shared" si="13"/>
        <v>0.5253501606831665</v>
      </c>
      <c r="AJ23" s="4">
        <v>19.917978098549675</v>
      </c>
      <c r="AK23" s="32">
        <f t="shared" si="14"/>
        <v>-999</v>
      </c>
      <c r="AL23" s="34">
        <f t="shared" si="15"/>
        <v>-999</v>
      </c>
      <c r="AY23" s="103" t="s">
        <v>264</v>
      </c>
      <c r="AZ23" s="103" t="s">
        <v>265</v>
      </c>
      <c r="BA23" s="103" t="s">
        <v>327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167.31016731016732</v>
      </c>
      <c r="F24" s="38">
        <f>IF(LEFT(VLOOKUP($B24,'Indicator chart'!$D$1:$J$36,6,FALSE),1)=" "," ",VLOOKUP($B24,'Indicator chart'!$D$1:$J$36,6,FALSE))</f>
        <v>88.99814277045725</v>
      </c>
      <c r="G24" s="38">
        <f>IF(LEFT(VLOOKUP($B24,'Indicator chart'!$D$1:$J$36,7,FALSE),1)=" "," ",VLOOKUP($B24,'Indicator chart'!$D$1:$J$36,7,FALSE))</f>
        <v>286.1249733751915</v>
      </c>
      <c r="H24" s="50">
        <f t="shared" si="0"/>
        <v>1</v>
      </c>
      <c r="I24" s="38">
        <v>27.3076171875</v>
      </c>
      <c r="J24" s="38">
        <v>267.8146667480469</v>
      </c>
      <c r="K24" s="38">
        <v>434.9215087890625</v>
      </c>
      <c r="L24" s="38">
        <v>570.683837890625</v>
      </c>
      <c r="M24" s="38">
        <v>1330.2294921875</v>
      </c>
      <c r="N24" s="80">
        <f>VLOOKUP('Hide - Control'!B$3,'All practice data'!A:CA,A24+29,FALSE)</f>
        <v>417.7683586172341</v>
      </c>
      <c r="O24" s="80">
        <f>VLOOKUP('Hide - Control'!C$3,'All practice data'!A:CA,A24+29,FALSE)</f>
        <v>323.23046266988894</v>
      </c>
      <c r="P24" s="38">
        <f>VLOOKUP('Hide - Control'!$B$4,'All practice data'!B:BC,A24+2,FALSE)</f>
        <v>1234</v>
      </c>
      <c r="Q24" s="38">
        <f>VLOOKUP('Hide - Control'!$B$4,'All practice data'!B:BC,3,FALSE)</f>
        <v>295379</v>
      </c>
      <c r="R24" s="38">
        <f t="shared" si="21"/>
        <v>394.7809545177105</v>
      </c>
      <c r="S24" s="38">
        <f t="shared" si="22"/>
        <v>441.7450420341293</v>
      </c>
      <c r="T24" s="53">
        <f t="shared" si="19"/>
        <v>1330.2294921875</v>
      </c>
      <c r="U24" s="51">
        <f t="shared" si="20"/>
        <v>27.3076171875</v>
      </c>
      <c r="V24" s="7"/>
      <c r="W24" s="27">
        <f t="shared" si="2"/>
        <v>-460.386474609375</v>
      </c>
      <c r="X24" s="27">
        <f t="shared" si="3"/>
        <v>1330.2294921875</v>
      </c>
      <c r="Y24" s="27">
        <f t="shared" si="4"/>
        <v>-460.386474609375</v>
      </c>
      <c r="Z24" s="27">
        <f t="shared" si="5"/>
        <v>1330.2294921875</v>
      </c>
      <c r="AA24" s="32">
        <f t="shared" si="6"/>
        <v>0.27236107621070843</v>
      </c>
      <c r="AB24" s="33">
        <f t="shared" si="7"/>
        <v>0.4066763364453055</v>
      </c>
      <c r="AC24" s="33">
        <v>0.5</v>
      </c>
      <c r="AD24" s="33">
        <f t="shared" si="8"/>
        <v>0.5758187861713416</v>
      </c>
      <c r="AE24" s="33">
        <f t="shared" si="9"/>
        <v>1</v>
      </c>
      <c r="AF24" s="33">
        <f t="shared" si="10"/>
        <v>-999</v>
      </c>
      <c r="AG24" s="33">
        <f t="shared" si="11"/>
        <v>-999</v>
      </c>
      <c r="AH24" s="33">
        <f t="shared" si="12"/>
        <v>0.35054788606760334</v>
      </c>
      <c r="AI24" s="34">
        <f t="shared" si="13"/>
        <v>0.43762423200158834</v>
      </c>
      <c r="AJ24" s="4">
        <v>20.99397352393159</v>
      </c>
      <c r="AK24" s="32">
        <f t="shared" si="14"/>
        <v>0.35054788606760334</v>
      </c>
      <c r="AL24" s="34">
        <f t="shared" si="15"/>
        <v>-999</v>
      </c>
      <c r="AY24" s="103" t="s">
        <v>65</v>
      </c>
      <c r="AZ24" s="103" t="s">
        <v>66</v>
      </c>
      <c r="BA24" s="103" t="s">
        <v>506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450.45045045045043</v>
      </c>
      <c r="F25" s="38">
        <f>IF(LEFT(VLOOKUP($B25,'Indicator chart'!$D$1:$J$36,6,FALSE),1)=" "," ",VLOOKUP($B25,'Indicator chart'!$D$1:$J$36,6,FALSE))</f>
        <v>313.70711795599794</v>
      </c>
      <c r="G25" s="38">
        <f>IF(LEFT(VLOOKUP($B25,'Indicator chart'!$D$1:$J$36,7,FALSE),1)=" "," ",VLOOKUP($B25,'Indicator chart'!$D$1:$J$36,7,FALSE))</f>
        <v>626.4900068862815</v>
      </c>
      <c r="H25" s="50">
        <f t="shared" si="0"/>
        <v>2</v>
      </c>
      <c r="I25" s="38">
        <v>365.9652404785156</v>
      </c>
      <c r="J25" s="38">
        <v>543.571044921875</v>
      </c>
      <c r="K25" s="38">
        <v>614.8715209960938</v>
      </c>
      <c r="L25" s="38">
        <v>695.890380859375</v>
      </c>
      <c r="M25" s="38">
        <v>897.9049072265625</v>
      </c>
      <c r="N25" s="80">
        <f>VLOOKUP('Hide - Control'!B$3,'All practice data'!A:CA,A25+29,FALSE)</f>
        <v>617.5117391554579</v>
      </c>
      <c r="O25" s="80">
        <f>VLOOKUP('Hide - Control'!C$3,'All practice data'!A:CA,A25+29,FALSE)</f>
        <v>562.6134400960308</v>
      </c>
      <c r="P25" s="38">
        <f>VLOOKUP('Hide - Control'!$B$4,'All practice data'!B:BC,A25+2,FALSE)</f>
        <v>1824</v>
      </c>
      <c r="Q25" s="38">
        <f>VLOOKUP('Hide - Control'!$B$4,'All practice data'!B:BC,3,FALSE)</f>
        <v>295379</v>
      </c>
      <c r="R25" s="38">
        <f t="shared" si="21"/>
        <v>589.4943503736041</v>
      </c>
      <c r="S25" s="38">
        <f t="shared" si="22"/>
        <v>646.5167502274455</v>
      </c>
      <c r="T25" s="53">
        <f t="shared" si="19"/>
        <v>897.9049072265625</v>
      </c>
      <c r="U25" s="51">
        <f t="shared" si="20"/>
        <v>365.9652404785156</v>
      </c>
      <c r="V25" s="7"/>
      <c r="W25" s="27">
        <f t="shared" si="2"/>
        <v>331.838134765625</v>
      </c>
      <c r="X25" s="27">
        <f t="shared" si="3"/>
        <v>897.9049072265625</v>
      </c>
      <c r="Y25" s="27">
        <f t="shared" si="4"/>
        <v>331.838134765625</v>
      </c>
      <c r="Z25" s="27">
        <f t="shared" si="5"/>
        <v>897.9049072265625</v>
      </c>
      <c r="AA25" s="32">
        <f t="shared" si="6"/>
        <v>0.06028812743154895</v>
      </c>
      <c r="AB25" s="33">
        <f t="shared" si="7"/>
        <v>0.37404228698277997</v>
      </c>
      <c r="AC25" s="33">
        <v>0.5</v>
      </c>
      <c r="AD25" s="33">
        <f t="shared" si="8"/>
        <v>0.643125977013378</v>
      </c>
      <c r="AE25" s="33">
        <f t="shared" si="9"/>
        <v>1</v>
      </c>
      <c r="AF25" s="33">
        <f t="shared" si="10"/>
        <v>-999</v>
      </c>
      <c r="AG25" s="33">
        <f t="shared" si="11"/>
        <v>0.20953767550984542</v>
      </c>
      <c r="AH25" s="33">
        <f t="shared" si="12"/>
        <v>-999</v>
      </c>
      <c r="AI25" s="34">
        <f t="shared" si="13"/>
        <v>0.40768212613350463</v>
      </c>
      <c r="AJ25" s="4">
        <v>22.06996894931352</v>
      </c>
      <c r="AK25" s="32">
        <f t="shared" si="14"/>
        <v>-999</v>
      </c>
      <c r="AL25" s="34">
        <f t="shared" si="15"/>
        <v>-999</v>
      </c>
      <c r="AY25" s="103" t="s">
        <v>257</v>
      </c>
      <c r="AZ25" s="103" t="s">
        <v>258</v>
      </c>
      <c r="BA25" s="103" t="s">
        <v>506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386.1003861003861</v>
      </c>
      <c r="F26" s="38">
        <f>IF(LEFT(VLOOKUP($B26,'Indicator chart'!$D$1:$J$36,6,FALSE),1)=" "," ",VLOOKUP($B26,'Indicator chart'!$D$1:$J$36,6,FALSE))</f>
        <v>260.4477138454932</v>
      </c>
      <c r="G26" s="38">
        <f>IF(LEFT(VLOOKUP($B26,'Indicator chart'!$D$1:$J$36,7,FALSE),1)=" "," ",VLOOKUP($B26,'Indicator chart'!$D$1:$J$36,7,FALSE))</f>
        <v>551.2048994186198</v>
      </c>
      <c r="H26" s="50">
        <f t="shared" si="0"/>
        <v>2</v>
      </c>
      <c r="I26" s="38">
        <v>199.534423828125</v>
      </c>
      <c r="J26" s="38">
        <v>392.1886901855469</v>
      </c>
      <c r="K26" s="38">
        <v>470.93829345703125</v>
      </c>
      <c r="L26" s="38">
        <v>616.164794921875</v>
      </c>
      <c r="M26" s="38">
        <v>1114.1221923828125</v>
      </c>
      <c r="N26" s="80">
        <f>VLOOKUP('Hide - Control'!B$3,'All practice data'!A:CA,A26+29,FALSE)</f>
        <v>503.7595766794525</v>
      </c>
      <c r="O26" s="80">
        <f>VLOOKUP('Hide - Control'!C$3,'All practice data'!A:CA,A26+29,FALSE)</f>
        <v>405.57105879375996</v>
      </c>
      <c r="P26" s="38">
        <f>VLOOKUP('Hide - Control'!$B$4,'All practice data'!B:BC,A26+2,FALSE)</f>
        <v>1488</v>
      </c>
      <c r="Q26" s="38">
        <f>VLOOKUP('Hide - Control'!$B$4,'All practice data'!B:BC,3,FALSE)</f>
        <v>295379</v>
      </c>
      <c r="R26" s="38">
        <f t="shared" si="21"/>
        <v>478.48525749036935</v>
      </c>
      <c r="S26" s="38">
        <f t="shared" si="22"/>
        <v>530.0223415610246</v>
      </c>
      <c r="T26" s="53">
        <f t="shared" si="19"/>
        <v>1114.1221923828125</v>
      </c>
      <c r="U26" s="51">
        <f t="shared" si="20"/>
        <v>199.534423828125</v>
      </c>
      <c r="V26" s="7"/>
      <c r="W26" s="27">
        <f t="shared" si="2"/>
        <v>-172.24560546875</v>
      </c>
      <c r="X26" s="27">
        <f t="shared" si="3"/>
        <v>1114.1221923828125</v>
      </c>
      <c r="Y26" s="27">
        <f t="shared" si="4"/>
        <v>-172.24560546875</v>
      </c>
      <c r="Z26" s="27">
        <f t="shared" si="5"/>
        <v>1114.1221923828125</v>
      </c>
      <c r="AA26" s="32">
        <f t="shared" si="6"/>
        <v>0.28901534220446623</v>
      </c>
      <c r="AB26" s="33">
        <f t="shared" si="7"/>
        <v>0.43878142518569835</v>
      </c>
      <c r="AC26" s="33">
        <v>0.5</v>
      </c>
      <c r="AD26" s="33">
        <f t="shared" si="8"/>
        <v>0.6128965617045101</v>
      </c>
      <c r="AE26" s="33">
        <f t="shared" si="9"/>
        <v>1</v>
      </c>
      <c r="AF26" s="33">
        <f t="shared" si="10"/>
        <v>-999</v>
      </c>
      <c r="AG26" s="33">
        <f t="shared" si="11"/>
        <v>0.43404848325779155</v>
      </c>
      <c r="AH26" s="33">
        <f t="shared" si="12"/>
        <v>-999</v>
      </c>
      <c r="AI26" s="34">
        <f t="shared" si="13"/>
        <v>0.4491846462788909</v>
      </c>
      <c r="AJ26" s="4">
        <v>23.145964374695435</v>
      </c>
      <c r="AK26" s="32">
        <f t="shared" si="14"/>
        <v>-999</v>
      </c>
      <c r="AL26" s="34">
        <f t="shared" si="15"/>
        <v>-999</v>
      </c>
      <c r="AY26" s="103" t="s">
        <v>120</v>
      </c>
      <c r="AZ26" s="103" t="s">
        <v>399</v>
      </c>
      <c r="BA26" s="103" t="s">
        <v>327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77</v>
      </c>
      <c r="E27" s="38">
        <f>IF(LEFT(VLOOKUP($B27,'Indicator chart'!$D$1:$J$36,5,FALSE),1)=" "," ",VLOOKUP($B27,'Indicator chart'!$D$1:$J$36,5,FALSE))</f>
        <v>990.990990990991</v>
      </c>
      <c r="F27" s="38">
        <f>IF(LEFT(VLOOKUP($B27,'Indicator chart'!$D$1:$J$36,6,FALSE),1)=" "," ",VLOOKUP($B27,'Indicator chart'!$D$1:$J$36,6,FALSE))</f>
        <v>782.0427635512906</v>
      </c>
      <c r="G27" s="38">
        <f>IF(LEFT(VLOOKUP($B27,'Indicator chart'!$D$1:$J$36,7,FALSE),1)=" "," ",VLOOKUP($B27,'Indicator chart'!$D$1:$J$36,7,FALSE))</f>
        <v>1238.5893945703392</v>
      </c>
      <c r="H27" s="50">
        <f t="shared" si="0"/>
        <v>2</v>
      </c>
      <c r="I27" s="38">
        <v>579.872802734375</v>
      </c>
      <c r="J27" s="38">
        <v>1074.1060791015625</v>
      </c>
      <c r="K27" s="38">
        <v>1226.62109375</v>
      </c>
      <c r="L27" s="38">
        <v>1427.1126708984375</v>
      </c>
      <c r="M27" s="38">
        <v>1953.7698974609375</v>
      </c>
      <c r="N27" s="80">
        <f>VLOOKUP('Hide - Control'!B$3,'All practice data'!A:CA,A27+29,FALSE)</f>
        <v>1240.1016998500231</v>
      </c>
      <c r="O27" s="80">
        <f>VLOOKUP('Hide - Control'!C$3,'All practice data'!A:CA,A27+29,FALSE)</f>
        <v>1059.3522061277838</v>
      </c>
      <c r="P27" s="38">
        <f>VLOOKUP('Hide - Control'!$B$4,'All practice data'!B:BC,A27+2,FALSE)</f>
        <v>3663</v>
      </c>
      <c r="Q27" s="38">
        <f>VLOOKUP('Hide - Control'!$B$4,'All practice data'!B:BC,3,FALSE)</f>
        <v>295379</v>
      </c>
      <c r="R27" s="38">
        <f t="shared" si="21"/>
        <v>1200.2631273420295</v>
      </c>
      <c r="S27" s="38">
        <f t="shared" si="22"/>
        <v>1280.9256281408948</v>
      </c>
      <c r="T27" s="53">
        <f t="shared" si="19"/>
        <v>1953.7698974609375</v>
      </c>
      <c r="U27" s="51">
        <f t="shared" si="20"/>
        <v>579.872802734375</v>
      </c>
      <c r="V27" s="7"/>
      <c r="W27" s="27">
        <f t="shared" si="2"/>
        <v>499.4722900390625</v>
      </c>
      <c r="X27" s="27">
        <f t="shared" si="3"/>
        <v>1953.7698974609375</v>
      </c>
      <c r="Y27" s="27">
        <f t="shared" si="4"/>
        <v>499.4722900390625</v>
      </c>
      <c r="Z27" s="27">
        <f t="shared" si="5"/>
        <v>1953.7698974609375</v>
      </c>
      <c r="AA27" s="32">
        <f t="shared" si="6"/>
        <v>0.05528477272120633</v>
      </c>
      <c r="AB27" s="33">
        <f t="shared" si="7"/>
        <v>0.39512805778535903</v>
      </c>
      <c r="AC27" s="33">
        <v>0.5</v>
      </c>
      <c r="AD27" s="33">
        <f t="shared" si="8"/>
        <v>0.6378614501772175</v>
      </c>
      <c r="AE27" s="33">
        <f t="shared" si="9"/>
        <v>1</v>
      </c>
      <c r="AF27" s="33">
        <f t="shared" si="10"/>
        <v>-999</v>
      </c>
      <c r="AG27" s="33">
        <f t="shared" si="11"/>
        <v>0.33797669640897965</v>
      </c>
      <c r="AH27" s="33">
        <f t="shared" si="12"/>
        <v>-999</v>
      </c>
      <c r="AI27" s="34">
        <f t="shared" si="13"/>
        <v>0.3849830414568691</v>
      </c>
      <c r="AJ27" s="4">
        <v>24.221959800077364</v>
      </c>
      <c r="AK27" s="32">
        <f t="shared" si="14"/>
        <v>-999</v>
      </c>
      <c r="AL27" s="34">
        <f t="shared" si="15"/>
        <v>-999</v>
      </c>
      <c r="AY27" s="103" t="s">
        <v>115</v>
      </c>
      <c r="AZ27" s="103" t="s">
        <v>398</v>
      </c>
      <c r="BA27" s="103" t="s">
        <v>506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49</v>
      </c>
      <c r="E28" s="38">
        <f>IF(LEFT(VLOOKUP($B28,'Indicator chart'!$D$1:$J$36,5,FALSE),1)=" "," ",VLOOKUP($B28,'Indicator chart'!$D$1:$J$36,5,FALSE))</f>
        <v>630.6306306306307</v>
      </c>
      <c r="F28" s="38">
        <f>IF(LEFT(VLOOKUP($B28,'Indicator chart'!$D$1:$J$36,6,FALSE),1)=" "," ",VLOOKUP($B28,'Indicator chart'!$D$1:$J$36,6,FALSE))</f>
        <v>466.5040468924585</v>
      </c>
      <c r="G28" s="38">
        <f>IF(LEFT(VLOOKUP($B28,'Indicator chart'!$D$1:$J$36,7,FALSE),1)=" "," ",VLOOKUP($B28,'Indicator chart'!$D$1:$J$36,7,FALSE))</f>
        <v>833.7490022109894</v>
      </c>
      <c r="H28" s="50">
        <f t="shared" si="0"/>
        <v>2</v>
      </c>
      <c r="I28" s="38">
        <v>336.2809753417969</v>
      </c>
      <c r="J28" s="38">
        <v>518.2726440429688</v>
      </c>
      <c r="K28" s="38">
        <v>598.4302368164062</v>
      </c>
      <c r="L28" s="38">
        <v>750.8026733398438</v>
      </c>
      <c r="M28" s="38">
        <v>1155.751220703125</v>
      </c>
      <c r="N28" s="80">
        <f>VLOOKUP('Hide - Control'!B$3,'All practice data'!A:CA,A28+29,FALSE)</f>
        <v>662.2000886996029</v>
      </c>
      <c r="O28" s="80">
        <f>VLOOKUP('Hide - Control'!C$3,'All practice data'!A:CA,A28+29,FALSE)</f>
        <v>582.9390489900089</v>
      </c>
      <c r="P28" s="38">
        <f>VLOOKUP('Hide - Control'!$B$4,'All practice data'!B:BC,A28+2,FALSE)</f>
        <v>1956</v>
      </c>
      <c r="Q28" s="38">
        <f>VLOOKUP('Hide - Control'!$B$4,'All practice data'!B:BC,3,FALSE)</f>
        <v>295379</v>
      </c>
      <c r="R28" s="38">
        <f>100000*(P28*(1-1/(9*P28)-1.96/(3*SQRT(P28)))^3)/Q28</f>
        <v>633.1751338650818</v>
      </c>
      <c r="S28" s="38">
        <f>100000*((P28+1)*(1-1/(9*(P28+1))+1.96/(3*SQRT(P28+1)))^3)/Q28</f>
        <v>692.212401827864</v>
      </c>
      <c r="T28" s="53">
        <f t="shared" si="19"/>
        <v>1155.751220703125</v>
      </c>
      <c r="U28" s="51">
        <f t="shared" si="20"/>
        <v>336.2809753417969</v>
      </c>
      <c r="V28" s="7"/>
      <c r="W28" s="27">
        <f t="shared" si="2"/>
        <v>41.1092529296875</v>
      </c>
      <c r="X28" s="27">
        <f t="shared" si="3"/>
        <v>1155.751220703125</v>
      </c>
      <c r="Y28" s="27">
        <f t="shared" si="4"/>
        <v>41.1092529296875</v>
      </c>
      <c r="Z28" s="27">
        <f t="shared" si="5"/>
        <v>1155.751220703125</v>
      </c>
      <c r="AA28" s="32">
        <f t="shared" si="6"/>
        <v>0.26481303498892306</v>
      </c>
      <c r="AB28" s="33">
        <f t="shared" si="7"/>
        <v>0.4280866905329637</v>
      </c>
      <c r="AC28" s="33">
        <v>0.5</v>
      </c>
      <c r="AD28" s="33">
        <f t="shared" si="8"/>
        <v>0.636700789068449</v>
      </c>
      <c r="AE28" s="33">
        <f t="shared" si="9"/>
        <v>1</v>
      </c>
      <c r="AF28" s="33">
        <f t="shared" si="10"/>
        <v>-999</v>
      </c>
      <c r="AG28" s="33">
        <f t="shared" si="11"/>
        <v>0.5288885532262405</v>
      </c>
      <c r="AH28" s="33">
        <f t="shared" si="12"/>
        <v>-999</v>
      </c>
      <c r="AI28" s="34">
        <f t="shared" si="13"/>
        <v>0.486102095314658</v>
      </c>
      <c r="AJ28" s="4">
        <v>25.297955225459287</v>
      </c>
      <c r="AK28" s="32">
        <f t="shared" si="14"/>
        <v>-999</v>
      </c>
      <c r="AL28" s="34">
        <f t="shared" si="15"/>
        <v>-999</v>
      </c>
      <c r="AY28" s="103" t="s">
        <v>241</v>
      </c>
      <c r="AZ28" s="103" t="s">
        <v>242</v>
      </c>
      <c r="BA28" s="103" t="s">
        <v>506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401</v>
      </c>
      <c r="BA29" s="103" t="s">
        <v>327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422</v>
      </c>
      <c r="BA31" s="103" t="s">
        <v>327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381</v>
      </c>
      <c r="BA32" s="103" t="s">
        <v>327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446</v>
      </c>
      <c r="BA33" s="103" t="s">
        <v>506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327</v>
      </c>
      <c r="BB34" s="10">
        <v>532801</v>
      </c>
      <c r="BE34" s="77"/>
      <c r="BF34" s="253"/>
    </row>
    <row r="35" spans="2:58" ht="12.75">
      <c r="B35" s="17" t="s">
        <v>41</v>
      </c>
      <c r="C35" s="18"/>
      <c r="H35" s="290" t="s">
        <v>563</v>
      </c>
      <c r="I35" s="291"/>
      <c r="Y35" s="43"/>
      <c r="Z35" s="44"/>
      <c r="AA35" s="44"/>
      <c r="AB35" s="43"/>
      <c r="AC35" s="43"/>
      <c r="AY35" s="103" t="s">
        <v>159</v>
      </c>
      <c r="AZ35" s="103" t="s">
        <v>414</v>
      </c>
      <c r="BA35" s="103" t="s">
        <v>327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403</v>
      </c>
      <c r="BA36" s="103" t="s">
        <v>327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420</v>
      </c>
      <c r="BA37" s="103" t="s">
        <v>327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327</v>
      </c>
      <c r="BB40" s="10">
        <v>714731</v>
      </c>
      <c r="BF40" s="252"/>
    </row>
    <row r="41" spans="1:58" ht="12.75">
      <c r="A41" s="3"/>
      <c r="B41" s="71"/>
      <c r="C41" s="3"/>
      <c r="T41" s="13"/>
      <c r="U41" s="2"/>
      <c r="W41" s="2"/>
      <c r="X41" s="10"/>
      <c r="Y41" s="44"/>
      <c r="Z41" s="44"/>
      <c r="AA41" s="44"/>
      <c r="AB41" s="44"/>
      <c r="AC41" s="44"/>
      <c r="AD41" s="2"/>
      <c r="AE41" s="2"/>
      <c r="AY41" s="103" t="s">
        <v>272</v>
      </c>
      <c r="AZ41" s="103" t="s">
        <v>447</v>
      </c>
      <c r="BA41" s="103" t="s">
        <v>506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444</v>
      </c>
      <c r="BA43" s="103" t="s">
        <v>327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432</v>
      </c>
      <c r="BA44" s="103" t="s">
        <v>327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423</v>
      </c>
      <c r="BA46" s="103" t="s">
        <v>506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427</v>
      </c>
      <c r="BA48" s="103" t="s">
        <v>506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438</v>
      </c>
      <c r="BA49" s="103" t="s">
        <v>506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404</v>
      </c>
      <c r="BA51" s="103" t="s">
        <v>327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327</v>
      </c>
      <c r="BB52" s="10">
        <v>611636</v>
      </c>
      <c r="BF52" s="252"/>
    </row>
    <row r="53" spans="1:58" ht="12.75">
      <c r="A53" s="3"/>
      <c r="B53" s="12"/>
      <c r="C53" s="3"/>
      <c r="I53" s="11"/>
      <c r="J53" s="11"/>
      <c r="K53" s="11"/>
      <c r="L53" s="11"/>
      <c r="S53" s="11"/>
      <c r="U53" s="2"/>
      <c r="X53" s="2"/>
      <c r="Y53" s="2"/>
      <c r="Z53" s="2"/>
      <c r="AA53" s="2"/>
      <c r="AB53" s="2"/>
      <c r="AY53" s="103" t="s">
        <v>244</v>
      </c>
      <c r="AZ53" s="103" t="s">
        <v>437</v>
      </c>
      <c r="BA53" s="103" t="s">
        <v>327</v>
      </c>
      <c r="BB53" s="10">
        <v>230998</v>
      </c>
      <c r="BF53" s="252"/>
    </row>
    <row r="54" spans="1:58" ht="12.75">
      <c r="A54" s="3"/>
      <c r="B54" s="12"/>
      <c r="C54" s="3"/>
      <c r="I54" s="11"/>
      <c r="J54" s="11"/>
      <c r="K54" s="11"/>
      <c r="L54" s="11"/>
      <c r="S54" s="11"/>
      <c r="U54" s="2"/>
      <c r="X54" s="2"/>
      <c r="Y54" s="2"/>
      <c r="Z54" s="2"/>
      <c r="AA54" s="2"/>
      <c r="AB54" s="2"/>
      <c r="AY54" s="103" t="s">
        <v>67</v>
      </c>
      <c r="AZ54" s="103" t="s">
        <v>378</v>
      </c>
      <c r="BA54" s="103" t="s">
        <v>327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424</v>
      </c>
      <c r="BA55" s="103" t="s">
        <v>327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394</v>
      </c>
      <c r="BA56" s="103" t="s">
        <v>327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439</v>
      </c>
      <c r="BA57" s="103" t="s">
        <v>327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384</v>
      </c>
      <c r="BA58" s="103" t="s">
        <v>327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428</v>
      </c>
      <c r="BA61" s="103" t="s">
        <v>506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417</v>
      </c>
      <c r="BA63" s="103" t="s">
        <v>327</v>
      </c>
      <c r="BB63" s="10">
        <v>318405</v>
      </c>
      <c r="BE63" s="70"/>
      <c r="BF63" s="239"/>
    </row>
    <row r="64" spans="1:58" ht="12.75">
      <c r="A64" s="3"/>
      <c r="B64" s="12"/>
      <c r="C64" s="3"/>
      <c r="I64" s="11"/>
      <c r="V64" s="3"/>
      <c r="AY64" s="103" t="s">
        <v>78</v>
      </c>
      <c r="AZ64" s="103" t="s">
        <v>385</v>
      </c>
      <c r="BA64" s="103" t="s">
        <v>506</v>
      </c>
      <c r="BB64" s="10">
        <v>181285</v>
      </c>
      <c r="BE64" s="70"/>
      <c r="BF64" s="241"/>
    </row>
    <row r="65" spans="1:58" ht="12.75">
      <c r="A65" s="3"/>
      <c r="B65" s="12"/>
      <c r="C65" s="3"/>
      <c r="AY65" s="103" t="s">
        <v>495</v>
      </c>
      <c r="AZ65" s="103" t="s">
        <v>496</v>
      </c>
      <c r="BA65" s="103" t="s">
        <v>327</v>
      </c>
      <c r="BB65" s="10">
        <v>1169302</v>
      </c>
      <c r="BE65" s="70"/>
      <c r="BF65" s="241"/>
    </row>
    <row r="66" spans="1:58" ht="12.75">
      <c r="A66" s="3"/>
      <c r="B66" s="12"/>
      <c r="C66" s="3"/>
      <c r="E66" s="2"/>
      <c r="F66" s="2"/>
      <c r="G66" s="2"/>
      <c r="V66" s="2"/>
      <c r="AY66" s="103" t="s">
        <v>200</v>
      </c>
      <c r="AZ66" s="103" t="s">
        <v>425</v>
      </c>
      <c r="BA66" s="103" t="s">
        <v>327</v>
      </c>
      <c r="BB66" s="10">
        <v>217916</v>
      </c>
      <c r="BE66" s="70"/>
      <c r="BF66" s="239"/>
    </row>
    <row r="67" spans="1:58" ht="12.75">
      <c r="A67" s="3"/>
      <c r="B67" s="12"/>
      <c r="C67" s="3"/>
      <c r="AY67" s="103" t="s">
        <v>69</v>
      </c>
      <c r="AZ67" s="103" t="s">
        <v>70</v>
      </c>
      <c r="BA67" s="103" t="s">
        <v>327</v>
      </c>
      <c r="BB67" s="10">
        <v>270842</v>
      </c>
      <c r="BE67" s="70"/>
      <c r="BF67" s="239"/>
    </row>
    <row r="68" spans="1:58" ht="12.75">
      <c r="A68" s="3"/>
      <c r="B68" s="12"/>
      <c r="C68" s="3"/>
      <c r="AY68" s="103" t="s">
        <v>109</v>
      </c>
      <c r="AZ68" s="103" t="s">
        <v>110</v>
      </c>
      <c r="BA68" s="103" t="s">
        <v>327</v>
      </c>
      <c r="BB68" s="10">
        <v>251613</v>
      </c>
      <c r="BF68" s="252"/>
    </row>
    <row r="69" spans="1:58" ht="12.75">
      <c r="A69" s="3"/>
      <c r="B69" s="12"/>
      <c r="C69" s="3"/>
      <c r="AY69" s="103" t="s">
        <v>209</v>
      </c>
      <c r="AZ69" s="103" t="s">
        <v>210</v>
      </c>
      <c r="BA69" s="103" t="s">
        <v>327</v>
      </c>
      <c r="BB69" s="10">
        <v>283547</v>
      </c>
      <c r="BE69" s="70"/>
      <c r="BF69" s="241"/>
    </row>
    <row r="70" spans="1:58" ht="12.75">
      <c r="A70" s="3"/>
      <c r="B70" s="12"/>
      <c r="C70" s="3"/>
      <c r="AY70" s="103" t="s">
        <v>275</v>
      </c>
      <c r="AZ70" s="103" t="s">
        <v>448</v>
      </c>
      <c r="BA70" s="103" t="s">
        <v>505</v>
      </c>
      <c r="BB70" s="10">
        <v>141474</v>
      </c>
      <c r="BE70" s="70"/>
      <c r="BF70" s="239"/>
    </row>
    <row r="71" spans="1:58" ht="12.75">
      <c r="A71" s="3"/>
      <c r="B71" s="12"/>
      <c r="C71" s="3"/>
      <c r="AY71" s="103" t="s">
        <v>127</v>
      </c>
      <c r="AZ71" s="103" t="s">
        <v>402</v>
      </c>
      <c r="BA71" s="103" t="s">
        <v>327</v>
      </c>
      <c r="BB71" s="10">
        <v>213326</v>
      </c>
      <c r="BE71" s="70"/>
      <c r="BF71" s="239"/>
    </row>
    <row r="72" spans="1:58" ht="12.75">
      <c r="A72" s="3"/>
      <c r="B72" s="12"/>
      <c r="C72" s="3"/>
      <c r="AY72" s="103" t="s">
        <v>136</v>
      </c>
      <c r="AZ72" s="103" t="s">
        <v>137</v>
      </c>
      <c r="BA72" s="103" t="s">
        <v>327</v>
      </c>
      <c r="BB72" s="10">
        <v>183220</v>
      </c>
      <c r="BE72" s="250"/>
      <c r="BF72" s="239"/>
    </row>
    <row r="73" spans="1:58" ht="12.75">
      <c r="A73" s="3"/>
      <c r="B73" s="12"/>
      <c r="C73" s="3"/>
      <c r="AY73" s="103" t="s">
        <v>64</v>
      </c>
      <c r="AZ73" s="103" t="s">
        <v>377</v>
      </c>
      <c r="BA73" s="103" t="s">
        <v>327</v>
      </c>
      <c r="BB73" s="10">
        <v>190143</v>
      </c>
      <c r="BE73" s="70"/>
      <c r="BF73" s="239"/>
    </row>
    <row r="74" spans="1:58" ht="12.75">
      <c r="A74" s="3"/>
      <c r="B74" s="12"/>
      <c r="C74" s="3"/>
      <c r="AY74" s="103" t="s">
        <v>165</v>
      </c>
      <c r="AZ74" s="103" t="s">
        <v>166</v>
      </c>
      <c r="BA74" s="103" t="s">
        <v>506</v>
      </c>
      <c r="BB74" s="10">
        <v>419928</v>
      </c>
      <c r="BE74" s="70"/>
      <c r="BF74" s="241"/>
    </row>
    <row r="75" spans="1:58" ht="12.75">
      <c r="A75" s="3"/>
      <c r="B75" s="12"/>
      <c r="C75" s="3"/>
      <c r="AY75" s="103" t="s">
        <v>113</v>
      </c>
      <c r="AZ75" s="103" t="s">
        <v>396</v>
      </c>
      <c r="BA75" s="103" t="s">
        <v>327</v>
      </c>
      <c r="BB75" s="10">
        <v>158106</v>
      </c>
      <c r="BE75" s="70"/>
      <c r="BF75" s="241"/>
    </row>
    <row r="76" spans="1:58" ht="12.75">
      <c r="A76" s="3"/>
      <c r="B76" s="12"/>
      <c r="C76" s="3"/>
      <c r="AY76" s="103" t="s">
        <v>140</v>
      </c>
      <c r="AZ76" s="103" t="s">
        <v>141</v>
      </c>
      <c r="BA76" s="103" t="s">
        <v>327</v>
      </c>
      <c r="BB76" s="10">
        <v>377807</v>
      </c>
      <c r="BE76" s="70"/>
      <c r="BF76" s="241"/>
    </row>
    <row r="77" spans="1:58" ht="12.75">
      <c r="A77" s="3"/>
      <c r="B77" s="12"/>
      <c r="C77" s="3"/>
      <c r="AY77" s="103" t="s">
        <v>163</v>
      </c>
      <c r="AZ77" s="103" t="s">
        <v>164</v>
      </c>
      <c r="BA77" s="103" t="s">
        <v>506</v>
      </c>
      <c r="BB77" s="10">
        <v>799634</v>
      </c>
      <c r="BE77" s="70"/>
      <c r="BF77" s="249"/>
    </row>
    <row r="78" spans="1:58" ht="12.75">
      <c r="A78" s="3"/>
      <c r="B78" s="12"/>
      <c r="C78" s="3"/>
      <c r="AY78" s="103" t="s">
        <v>224</v>
      </c>
      <c r="AZ78" s="103" t="s">
        <v>225</v>
      </c>
      <c r="BA78" s="103" t="s">
        <v>327</v>
      </c>
      <c r="BB78" s="10">
        <v>362638</v>
      </c>
      <c r="BE78" s="70"/>
      <c r="BF78" s="239"/>
    </row>
    <row r="79" spans="1:58" ht="12.75">
      <c r="A79" s="3"/>
      <c r="B79" s="12"/>
      <c r="C79" s="3"/>
      <c r="AY79" s="103" t="s">
        <v>223</v>
      </c>
      <c r="AZ79" s="103" t="s">
        <v>430</v>
      </c>
      <c r="BA79" s="103" t="s">
        <v>327</v>
      </c>
      <c r="BB79" s="10">
        <v>678998</v>
      </c>
      <c r="BF79" s="239"/>
    </row>
    <row r="80" spans="1:58" ht="12.75">
      <c r="A80" s="3"/>
      <c r="B80" s="12"/>
      <c r="C80" s="3"/>
      <c r="AY80" s="103" t="s">
        <v>144</v>
      </c>
      <c r="AZ80" s="103" t="s">
        <v>145</v>
      </c>
      <c r="BA80" s="103" t="s">
        <v>327</v>
      </c>
      <c r="BB80" s="10">
        <v>290986</v>
      </c>
      <c r="BF80" s="252"/>
    </row>
    <row r="81" spans="1:58" ht="12.75">
      <c r="A81" s="3"/>
      <c r="B81" s="12"/>
      <c r="C81" s="3"/>
      <c r="AY81" s="103" t="s">
        <v>178</v>
      </c>
      <c r="AZ81" s="103" t="s">
        <v>419</v>
      </c>
      <c r="BA81" s="103" t="s">
        <v>506</v>
      </c>
      <c r="BB81" s="10">
        <v>747976</v>
      </c>
      <c r="BF81" s="252"/>
    </row>
    <row r="82" spans="1:58" ht="12.75">
      <c r="A82" s="3"/>
      <c r="B82" s="12"/>
      <c r="C82" s="3"/>
      <c r="AY82" s="103" t="s">
        <v>193</v>
      </c>
      <c r="AZ82" s="103" t="s">
        <v>194</v>
      </c>
      <c r="BA82" s="103" t="s">
        <v>327</v>
      </c>
      <c r="BB82" s="10">
        <v>489140</v>
      </c>
      <c r="BF82" s="252"/>
    </row>
    <row r="83" spans="1:58" ht="12.75">
      <c r="A83" s="3"/>
      <c r="B83" s="12"/>
      <c r="C83" s="3"/>
      <c r="AY83" s="103" t="s">
        <v>98</v>
      </c>
      <c r="AZ83" s="103" t="s">
        <v>393</v>
      </c>
      <c r="BA83" s="103" t="s">
        <v>506</v>
      </c>
      <c r="BB83" s="10">
        <v>208442</v>
      </c>
      <c r="BE83" s="70"/>
      <c r="BF83" s="241"/>
    </row>
    <row r="84" spans="1:58" ht="12.75">
      <c r="A84" s="3"/>
      <c r="B84" s="12"/>
      <c r="C84" s="3"/>
      <c r="AY84" s="103" t="s">
        <v>203</v>
      </c>
      <c r="AZ84" s="103" t="s">
        <v>204</v>
      </c>
      <c r="BA84" s="103" t="s">
        <v>506</v>
      </c>
      <c r="BB84" s="10">
        <v>545543</v>
      </c>
      <c r="BE84" s="70"/>
      <c r="BF84" s="241"/>
    </row>
    <row r="85" spans="1:58" ht="12.75">
      <c r="A85" s="3"/>
      <c r="B85" s="12"/>
      <c r="C85" s="3"/>
      <c r="AY85" s="103" t="s">
        <v>135</v>
      </c>
      <c r="AZ85" s="103" t="s">
        <v>408</v>
      </c>
      <c r="BA85" s="103" t="s">
        <v>506</v>
      </c>
      <c r="BB85" s="10">
        <v>274067</v>
      </c>
      <c r="BE85" s="70"/>
      <c r="BF85" s="241"/>
    </row>
    <row r="86" spans="1:58" ht="12.75">
      <c r="A86" s="3"/>
      <c r="B86" s="12"/>
      <c r="C86" s="3"/>
      <c r="AY86" s="103" t="s">
        <v>251</v>
      </c>
      <c r="AZ86" s="103" t="s">
        <v>252</v>
      </c>
      <c r="BA86" s="103" t="s">
        <v>506</v>
      </c>
      <c r="BB86" s="10">
        <v>374861</v>
      </c>
      <c r="BE86" s="70"/>
      <c r="BF86" s="249"/>
    </row>
    <row r="87" spans="1:58" ht="12.75">
      <c r="A87" s="3"/>
      <c r="B87" s="12"/>
      <c r="C87" s="3"/>
      <c r="AY87" s="103" t="s">
        <v>132</v>
      </c>
      <c r="AZ87" s="103" t="s">
        <v>133</v>
      </c>
      <c r="BA87" s="103" t="s">
        <v>327</v>
      </c>
      <c r="BB87" s="10">
        <v>153833</v>
      </c>
      <c r="BE87" s="70"/>
      <c r="BF87" s="249"/>
    </row>
    <row r="88" spans="1:58" ht="12.75">
      <c r="A88" s="3"/>
      <c r="B88" s="12"/>
      <c r="C88" s="3"/>
      <c r="AY88" s="103" t="s">
        <v>79</v>
      </c>
      <c r="AZ88" s="103" t="s">
        <v>80</v>
      </c>
      <c r="BA88" s="103" t="s">
        <v>506</v>
      </c>
      <c r="BB88" s="10">
        <v>258492</v>
      </c>
      <c r="BE88" s="70"/>
      <c r="BF88" s="241"/>
    </row>
    <row r="89" spans="1:58" ht="12.75">
      <c r="A89" s="3"/>
      <c r="B89" s="12"/>
      <c r="C89" s="3"/>
      <c r="AY89" s="103" t="s">
        <v>81</v>
      </c>
      <c r="AZ89" s="103" t="s">
        <v>386</v>
      </c>
      <c r="BA89" s="103" t="s">
        <v>327</v>
      </c>
      <c r="BB89" s="10">
        <v>283085</v>
      </c>
      <c r="BE89" s="70"/>
      <c r="BF89" s="241"/>
    </row>
    <row r="90" spans="1:58" ht="12.75">
      <c r="A90" s="3"/>
      <c r="B90" s="12"/>
      <c r="C90" s="3"/>
      <c r="AY90" s="103" t="s">
        <v>76</v>
      </c>
      <c r="AZ90" s="103" t="s">
        <v>383</v>
      </c>
      <c r="BA90" s="103" t="s">
        <v>327</v>
      </c>
      <c r="BB90" s="10">
        <v>357346</v>
      </c>
      <c r="BE90" s="70"/>
      <c r="BF90" s="241"/>
    </row>
    <row r="91" spans="1:58" ht="12.75">
      <c r="A91" s="3"/>
      <c r="B91" s="12"/>
      <c r="C91" s="3"/>
      <c r="AY91" s="103" t="s">
        <v>243</v>
      </c>
      <c r="AZ91" s="103" t="s">
        <v>436</v>
      </c>
      <c r="BA91" s="103" t="s">
        <v>506</v>
      </c>
      <c r="BB91" s="10">
        <v>748575</v>
      </c>
      <c r="BE91" s="247"/>
      <c r="BF91" s="249"/>
    </row>
    <row r="92" spans="1:58" ht="12.75">
      <c r="A92" s="3"/>
      <c r="B92" s="12"/>
      <c r="C92" s="3"/>
      <c r="AY92" s="103" t="s">
        <v>249</v>
      </c>
      <c r="AZ92" s="103" t="s">
        <v>250</v>
      </c>
      <c r="BA92" s="103" t="s">
        <v>506</v>
      </c>
      <c r="BB92" s="10">
        <v>322673</v>
      </c>
      <c r="BE92" s="247"/>
      <c r="BF92" s="249"/>
    </row>
    <row r="93" spans="1:58" ht="12.75">
      <c r="A93" s="3"/>
      <c r="B93" s="12"/>
      <c r="C93" s="3"/>
      <c r="AY93" s="103" t="s">
        <v>58</v>
      </c>
      <c r="AZ93" s="103" t="s">
        <v>59</v>
      </c>
      <c r="BA93" s="103" t="s">
        <v>327</v>
      </c>
      <c r="BB93" s="10">
        <v>165284</v>
      </c>
      <c r="BF93" s="252"/>
    </row>
    <row r="94" spans="1:58" ht="12.75">
      <c r="A94" s="3"/>
      <c r="B94" s="12"/>
      <c r="C94" s="3"/>
      <c r="AY94" s="103" t="s">
        <v>186</v>
      </c>
      <c r="AZ94" s="103" t="s">
        <v>421</v>
      </c>
      <c r="BA94" s="103" t="s">
        <v>327</v>
      </c>
      <c r="BB94" s="10">
        <v>339272</v>
      </c>
      <c r="BE94" s="70"/>
      <c r="BF94" s="241"/>
    </row>
    <row r="95" spans="1:58" ht="12.75">
      <c r="A95" s="3"/>
      <c r="B95" s="12"/>
      <c r="C95" s="3"/>
      <c r="AY95" s="103" t="s">
        <v>86</v>
      </c>
      <c r="AZ95" s="103" t="s">
        <v>87</v>
      </c>
      <c r="BA95" s="103" t="s">
        <v>327</v>
      </c>
      <c r="BB95" s="10">
        <v>165642</v>
      </c>
      <c r="BE95" s="247"/>
      <c r="BF95" s="249"/>
    </row>
    <row r="96" spans="1:58" ht="12.75">
      <c r="A96" s="3"/>
      <c r="B96" s="12"/>
      <c r="C96" s="3"/>
      <c r="AY96" s="103" t="s">
        <v>157</v>
      </c>
      <c r="AZ96" s="103" t="s">
        <v>158</v>
      </c>
      <c r="BA96" s="103" t="s">
        <v>327</v>
      </c>
      <c r="BB96" s="10">
        <v>208351</v>
      </c>
      <c r="BE96" s="243"/>
      <c r="BF96" s="238"/>
    </row>
    <row r="97" spans="1:58" ht="12.75">
      <c r="A97" s="3"/>
      <c r="B97" s="12"/>
      <c r="C97" s="3"/>
      <c r="AY97" s="103" t="s">
        <v>231</v>
      </c>
      <c r="AZ97" s="103" t="s">
        <v>232</v>
      </c>
      <c r="BA97" s="103" t="s">
        <v>327</v>
      </c>
      <c r="BB97" s="10">
        <v>203178</v>
      </c>
      <c r="BE97" s="243"/>
      <c r="BF97" s="238"/>
    </row>
    <row r="98" spans="1:58" ht="12.75">
      <c r="A98" s="3"/>
      <c r="B98" s="12"/>
      <c r="C98" s="3"/>
      <c r="AY98" s="103" t="s">
        <v>82</v>
      </c>
      <c r="AZ98" s="103" t="s">
        <v>387</v>
      </c>
      <c r="BA98" s="103" t="s">
        <v>327</v>
      </c>
      <c r="BB98" s="10">
        <v>214052</v>
      </c>
      <c r="BE98" s="248"/>
      <c r="BF98" s="241"/>
    </row>
    <row r="99" spans="1:58" ht="12.75">
      <c r="A99" s="3"/>
      <c r="B99" s="12"/>
      <c r="C99" s="3"/>
      <c r="AY99" s="103" t="s">
        <v>205</v>
      </c>
      <c r="AZ99" s="103" t="s">
        <v>206</v>
      </c>
      <c r="BA99" s="103" t="s">
        <v>506</v>
      </c>
      <c r="BB99" s="10">
        <v>795503</v>
      </c>
      <c r="BE99" s="70"/>
      <c r="BF99" s="249"/>
    </row>
    <row r="100" spans="1:58" ht="12.75">
      <c r="A100" s="3"/>
      <c r="B100" s="12"/>
      <c r="C100" s="3"/>
      <c r="AY100" s="103" t="s">
        <v>226</v>
      </c>
      <c r="AZ100" s="103" t="s">
        <v>431</v>
      </c>
      <c r="BA100" s="103" t="s">
        <v>327</v>
      </c>
      <c r="BB100" s="10">
        <v>648340</v>
      </c>
      <c r="BE100" s="70"/>
      <c r="BF100" s="249"/>
    </row>
    <row r="101" spans="51:58" ht="12.75">
      <c r="AY101" s="103" t="s">
        <v>51</v>
      </c>
      <c r="AZ101" s="103" t="s">
        <v>52</v>
      </c>
      <c r="BA101" s="103" t="s">
        <v>327</v>
      </c>
      <c r="BB101" s="10">
        <v>320818</v>
      </c>
      <c r="BE101" s="237"/>
      <c r="BF101" s="238"/>
    </row>
    <row r="102" spans="51:58" ht="12.75">
      <c r="AY102" s="103" t="s">
        <v>88</v>
      </c>
      <c r="AZ102" s="103" t="s">
        <v>89</v>
      </c>
      <c r="BA102" s="103" t="s">
        <v>327</v>
      </c>
      <c r="BB102" s="10">
        <v>339920</v>
      </c>
      <c r="BE102" s="237"/>
      <c r="BF102" s="238"/>
    </row>
    <row r="103" spans="51:58" ht="12.75">
      <c r="AY103" s="103" t="s">
        <v>177</v>
      </c>
      <c r="AZ103" s="103" t="s">
        <v>418</v>
      </c>
      <c r="BA103" s="103" t="s">
        <v>327</v>
      </c>
      <c r="BB103" s="10">
        <v>656875</v>
      </c>
      <c r="BE103" s="70"/>
      <c r="BF103" s="239"/>
    </row>
    <row r="104" spans="51:58" ht="12.75">
      <c r="AY104" s="103" t="s">
        <v>114</v>
      </c>
      <c r="AZ104" s="103" t="s">
        <v>397</v>
      </c>
      <c r="BA104" s="103" t="s">
        <v>327</v>
      </c>
      <c r="BB104" s="10">
        <v>236592</v>
      </c>
      <c r="BF104" s="252"/>
    </row>
    <row r="105" spans="51:58" ht="12.75">
      <c r="AY105" s="103" t="s">
        <v>259</v>
      </c>
      <c r="AZ105" s="103" t="s">
        <v>440</v>
      </c>
      <c r="BA105" s="103" t="s">
        <v>506</v>
      </c>
      <c r="BB105" s="10">
        <v>671572</v>
      </c>
      <c r="BE105" s="237"/>
      <c r="BF105" s="238"/>
    </row>
    <row r="106" spans="51:58" ht="12.75">
      <c r="AY106" s="103" t="s">
        <v>239</v>
      </c>
      <c r="AZ106" s="103" t="s">
        <v>240</v>
      </c>
      <c r="BA106" s="103" t="s">
        <v>506</v>
      </c>
      <c r="BB106" s="10">
        <v>177882</v>
      </c>
      <c r="BF106" s="252"/>
    </row>
    <row r="107" spans="51:58" ht="12.75">
      <c r="AY107" s="103" t="s">
        <v>91</v>
      </c>
      <c r="AZ107" s="103" t="s">
        <v>390</v>
      </c>
      <c r="BA107" s="103" t="s">
        <v>327</v>
      </c>
      <c r="BB107" s="10">
        <v>274443</v>
      </c>
      <c r="BF107" s="252"/>
    </row>
    <row r="108" spans="51:58" ht="12.75">
      <c r="AY108" s="103" t="s">
        <v>95</v>
      </c>
      <c r="AZ108" s="103" t="s">
        <v>392</v>
      </c>
      <c r="BA108" s="103" t="s">
        <v>327</v>
      </c>
      <c r="BB108" s="10">
        <v>213174</v>
      </c>
      <c r="BE108" s="70"/>
      <c r="BF108" s="239"/>
    </row>
    <row r="109" spans="51:58" ht="12.75">
      <c r="AY109" s="103" t="s">
        <v>179</v>
      </c>
      <c r="AZ109" s="103" t="s">
        <v>180</v>
      </c>
      <c r="BA109" s="103" t="s">
        <v>327</v>
      </c>
      <c r="BB109" s="10">
        <v>278950</v>
      </c>
      <c r="BE109" s="237"/>
      <c r="BF109" s="238"/>
    </row>
    <row r="110" spans="51:58" ht="12.75">
      <c r="AY110" s="103" t="s">
        <v>273</v>
      </c>
      <c r="AZ110" s="103" t="s">
        <v>274</v>
      </c>
      <c r="BA110" s="103" t="s">
        <v>327</v>
      </c>
      <c r="BB110" s="10">
        <v>133304</v>
      </c>
      <c r="BE110" s="70"/>
      <c r="BF110" s="249"/>
    </row>
    <row r="111" spans="51:58" ht="12.75">
      <c r="AY111" s="103" t="s">
        <v>155</v>
      </c>
      <c r="AZ111" s="103" t="s">
        <v>412</v>
      </c>
      <c r="BA111" s="103" t="s">
        <v>327</v>
      </c>
      <c r="BB111" s="10">
        <v>197060</v>
      </c>
      <c r="BE111" s="70"/>
      <c r="BF111" s="239"/>
    </row>
    <row r="112" spans="51:58" ht="12.75">
      <c r="AY112" s="103" t="s">
        <v>100</v>
      </c>
      <c r="AZ112" s="103" t="s">
        <v>101</v>
      </c>
      <c r="BA112" s="103" t="s">
        <v>327</v>
      </c>
      <c r="BB112" s="10">
        <v>253140</v>
      </c>
      <c r="BE112" s="250"/>
      <c r="BF112" s="249"/>
    </row>
    <row r="113" spans="51:58" ht="12.75">
      <c r="AY113" s="103" t="s">
        <v>92</v>
      </c>
      <c r="AZ113" s="103" t="s">
        <v>93</v>
      </c>
      <c r="BA113" s="103" t="s">
        <v>327</v>
      </c>
      <c r="BB113" s="10">
        <v>240983</v>
      </c>
      <c r="BE113" s="70"/>
      <c r="BF113" s="241"/>
    </row>
    <row r="114" spans="51:58" ht="12.75">
      <c r="AY114" s="103" t="s">
        <v>228</v>
      </c>
      <c r="AZ114" s="103" t="s">
        <v>433</v>
      </c>
      <c r="BA114" s="103" t="s">
        <v>327</v>
      </c>
      <c r="BB114" s="10">
        <v>340451</v>
      </c>
      <c r="BF114" s="241"/>
    </row>
    <row r="115" spans="51:58" ht="12.75">
      <c r="AY115" s="103" t="s">
        <v>189</v>
      </c>
      <c r="AZ115" s="103" t="s">
        <v>190</v>
      </c>
      <c r="BA115" s="103" t="s">
        <v>327</v>
      </c>
      <c r="BB115" s="10">
        <v>280673</v>
      </c>
      <c r="BE115" s="248"/>
      <c r="BF115" s="241"/>
    </row>
    <row r="116" spans="51:58" ht="12.75">
      <c r="AY116" s="103" t="s">
        <v>169</v>
      </c>
      <c r="AZ116" s="103" t="s">
        <v>170</v>
      </c>
      <c r="BA116" s="103" t="s">
        <v>327</v>
      </c>
      <c r="BB116" s="10">
        <v>565874</v>
      </c>
      <c r="BE116" s="70"/>
      <c r="BF116" s="239"/>
    </row>
    <row r="117" spans="51:58" ht="12.75">
      <c r="AY117" s="103" t="s">
        <v>152</v>
      </c>
      <c r="AZ117" s="103" t="s">
        <v>411</v>
      </c>
      <c r="BA117" s="103" t="s">
        <v>506</v>
      </c>
      <c r="BB117" s="10">
        <v>295379</v>
      </c>
      <c r="BE117" s="237"/>
      <c r="BF117" s="238"/>
    </row>
    <row r="118" spans="51:58" ht="12.75">
      <c r="AY118" s="103" t="s">
        <v>56</v>
      </c>
      <c r="AZ118" s="103" t="s">
        <v>57</v>
      </c>
      <c r="BA118" s="103" t="s">
        <v>327</v>
      </c>
      <c r="BB118" s="10">
        <v>217094</v>
      </c>
      <c r="BE118" s="70"/>
      <c r="BF118" s="239"/>
    </row>
    <row r="119" spans="51:58" ht="12.75">
      <c r="AY119" s="103" t="s">
        <v>268</v>
      </c>
      <c r="AZ119" s="103" t="s">
        <v>443</v>
      </c>
      <c r="BA119" s="103" t="s">
        <v>327</v>
      </c>
      <c r="BB119" s="10">
        <v>538131</v>
      </c>
      <c r="BE119" s="70"/>
      <c r="BF119" s="239"/>
    </row>
    <row r="120" spans="51:58" ht="12.75">
      <c r="AY120" s="103" t="s">
        <v>150</v>
      </c>
      <c r="AZ120" s="103" t="s">
        <v>151</v>
      </c>
      <c r="BA120" s="103" t="s">
        <v>506</v>
      </c>
      <c r="BB120" s="10">
        <v>389725</v>
      </c>
      <c r="BE120" s="70"/>
      <c r="BF120" s="239"/>
    </row>
    <row r="121" spans="51:58" ht="12.75">
      <c r="AY121" s="103" t="s">
        <v>212</v>
      </c>
      <c r="AZ121" s="103" t="s">
        <v>213</v>
      </c>
      <c r="BA121" s="103" t="s">
        <v>506</v>
      </c>
      <c r="BB121" s="10">
        <v>356812</v>
      </c>
      <c r="BE121" s="237"/>
      <c r="BF121" s="238"/>
    </row>
    <row r="122" spans="51:58" ht="12.75">
      <c r="AY122" s="103" t="s">
        <v>60</v>
      </c>
      <c r="AZ122" s="103" t="s">
        <v>61</v>
      </c>
      <c r="BA122" s="103" t="s">
        <v>327</v>
      </c>
      <c r="BB122" s="10">
        <v>256321</v>
      </c>
      <c r="BE122" s="70"/>
      <c r="BF122" s="249"/>
    </row>
    <row r="123" spans="51:58" ht="12.75">
      <c r="AY123" s="103" t="s">
        <v>234</v>
      </c>
      <c r="AZ123" s="103" t="s">
        <v>435</v>
      </c>
      <c r="BA123" s="103" t="s">
        <v>506</v>
      </c>
      <c r="BB123" s="10">
        <v>615835</v>
      </c>
      <c r="BF123" s="252"/>
    </row>
    <row r="124" spans="51:58" ht="12.75">
      <c r="AY124" s="103" t="s">
        <v>130</v>
      </c>
      <c r="AZ124" s="103" t="s">
        <v>405</v>
      </c>
      <c r="BA124" s="103" t="s">
        <v>327</v>
      </c>
      <c r="BB124" s="10">
        <v>150179</v>
      </c>
      <c r="BF124" s="252"/>
    </row>
    <row r="125" spans="51:58" ht="12.75">
      <c r="AY125" s="103" t="s">
        <v>253</v>
      </c>
      <c r="AZ125" s="103" t="s">
        <v>254</v>
      </c>
      <c r="BA125" s="103" t="s">
        <v>327</v>
      </c>
      <c r="BB125" s="10">
        <v>420503</v>
      </c>
      <c r="BE125" s="70"/>
      <c r="BF125" s="249"/>
    </row>
    <row r="126" spans="51:58" ht="12.75">
      <c r="AY126" s="103" t="s">
        <v>134</v>
      </c>
      <c r="AZ126" s="103" t="s">
        <v>407</v>
      </c>
      <c r="BA126" s="103" t="s">
        <v>327</v>
      </c>
      <c r="BB126" s="10">
        <v>263936</v>
      </c>
      <c r="BE126" s="70"/>
      <c r="BF126" s="239"/>
    </row>
    <row r="127" spans="51:58" ht="12.75">
      <c r="AY127" s="103" t="s">
        <v>142</v>
      </c>
      <c r="AZ127" s="103" t="s">
        <v>143</v>
      </c>
      <c r="BA127" s="103" t="s">
        <v>327</v>
      </c>
      <c r="BB127" s="10">
        <v>308593</v>
      </c>
      <c r="BF127" s="252"/>
    </row>
    <row r="128" spans="51:58" ht="12.75">
      <c r="AY128" s="103" t="s">
        <v>94</v>
      </c>
      <c r="AZ128" s="103" t="s">
        <v>391</v>
      </c>
      <c r="BA128" s="103" t="s">
        <v>506</v>
      </c>
      <c r="BB128" s="10">
        <v>298190</v>
      </c>
      <c r="BE128" s="250"/>
      <c r="BF128" s="249"/>
    </row>
    <row r="129" spans="51:58" ht="12.75">
      <c r="AY129" s="103" t="s">
        <v>85</v>
      </c>
      <c r="AZ129" s="103" t="s">
        <v>388</v>
      </c>
      <c r="BA129" s="103" t="s">
        <v>327</v>
      </c>
      <c r="BB129" s="10">
        <v>191885</v>
      </c>
      <c r="BE129" s="70"/>
      <c r="BF129" s="249"/>
    </row>
    <row r="130" spans="51:58" ht="12.75">
      <c r="AY130" s="103" t="s">
        <v>233</v>
      </c>
      <c r="AZ130" s="103" t="s">
        <v>434</v>
      </c>
      <c r="BA130" s="103" t="s">
        <v>327</v>
      </c>
      <c r="BB130" s="10">
        <v>268223</v>
      </c>
      <c r="BE130" s="70"/>
      <c r="BF130" s="249"/>
    </row>
    <row r="131" spans="51:58" ht="12.75">
      <c r="AY131" s="103" t="s">
        <v>245</v>
      </c>
      <c r="AZ131" s="103" t="s">
        <v>246</v>
      </c>
      <c r="BA131" s="103" t="s">
        <v>506</v>
      </c>
      <c r="BB131" s="10">
        <v>616983</v>
      </c>
      <c r="BE131" s="247"/>
      <c r="BF131" s="249"/>
    </row>
    <row r="132" spans="51:58" ht="12.75">
      <c r="AY132" s="103" t="s">
        <v>131</v>
      </c>
      <c r="AZ132" s="103" t="s">
        <v>406</v>
      </c>
      <c r="BA132" s="103" t="s">
        <v>327</v>
      </c>
      <c r="BB132" s="10">
        <v>283991</v>
      </c>
      <c r="BE132" s="247"/>
      <c r="BF132" s="249"/>
    </row>
    <row r="133" spans="51:58" ht="12.75">
      <c r="AY133" s="103" t="s">
        <v>216</v>
      </c>
      <c r="AZ133" s="103" t="s">
        <v>217</v>
      </c>
      <c r="BA133" s="103" t="s">
        <v>327</v>
      </c>
      <c r="BB133" s="10">
        <v>1156805</v>
      </c>
      <c r="BE133" s="247"/>
      <c r="BF133" s="251"/>
    </row>
    <row r="134" spans="51:58" ht="12.75">
      <c r="AY134" s="103" t="s">
        <v>156</v>
      </c>
      <c r="AZ134" s="103" t="s">
        <v>413</v>
      </c>
      <c r="BA134" s="103" t="s">
        <v>327</v>
      </c>
      <c r="BB134" s="10">
        <v>390971</v>
      </c>
      <c r="BE134" s="243"/>
      <c r="BF134" s="238"/>
    </row>
    <row r="135" spans="51:58" ht="12.75">
      <c r="AY135" s="103" t="s">
        <v>121</v>
      </c>
      <c r="AZ135" s="103" t="s">
        <v>122</v>
      </c>
      <c r="BA135" s="103" t="s">
        <v>505</v>
      </c>
      <c r="BB135" s="10">
        <v>218182</v>
      </c>
      <c r="BE135" s="250"/>
      <c r="BF135" s="249"/>
    </row>
    <row r="136" spans="51:58" ht="12.75">
      <c r="AY136" s="103" t="s">
        <v>148</v>
      </c>
      <c r="AZ136" s="103" t="s">
        <v>409</v>
      </c>
      <c r="BA136" s="103" t="s">
        <v>506</v>
      </c>
      <c r="BB136" s="10">
        <v>236598</v>
      </c>
      <c r="BE136" s="237"/>
      <c r="BF136" s="238"/>
    </row>
    <row r="137" spans="51:58" ht="12.75">
      <c r="AY137" s="103" t="s">
        <v>160</v>
      </c>
      <c r="AZ137" s="103" t="s">
        <v>415</v>
      </c>
      <c r="BA137" s="103" t="s">
        <v>506</v>
      </c>
      <c r="BB137" s="10">
        <v>165993</v>
      </c>
      <c r="BF137" s="252"/>
    </row>
    <row r="138" spans="51:58" ht="12.75">
      <c r="AY138" s="103" t="s">
        <v>54</v>
      </c>
      <c r="AZ138" s="103" t="s">
        <v>55</v>
      </c>
      <c r="BA138" s="103" t="s">
        <v>327</v>
      </c>
      <c r="BB138" s="10">
        <v>145889</v>
      </c>
      <c r="BE138" s="70"/>
      <c r="BF138" s="239"/>
    </row>
    <row r="139" spans="51:58" ht="12.75">
      <c r="AY139" s="103" t="s">
        <v>75</v>
      </c>
      <c r="AZ139" s="103" t="s">
        <v>382</v>
      </c>
      <c r="BA139" s="103" t="s">
        <v>327</v>
      </c>
      <c r="BB139" s="10">
        <v>267393</v>
      </c>
      <c r="BE139" s="237"/>
      <c r="BF139" s="238"/>
    </row>
    <row r="140" spans="51:58" ht="12.75">
      <c r="AY140" s="103" t="s">
        <v>201</v>
      </c>
      <c r="AZ140" s="103" t="s">
        <v>202</v>
      </c>
      <c r="BA140" s="103" t="s">
        <v>506</v>
      </c>
      <c r="BB140" s="10">
        <v>232551</v>
      </c>
      <c r="BE140" s="70"/>
      <c r="BF140" s="239"/>
    </row>
    <row r="141" spans="51:58" ht="12.75">
      <c r="AY141" s="103" t="s">
        <v>167</v>
      </c>
      <c r="AZ141" s="103" t="s">
        <v>168</v>
      </c>
      <c r="BA141" s="103" t="s">
        <v>506</v>
      </c>
      <c r="BB141" s="10">
        <v>350958</v>
      </c>
      <c r="BE141" s="70"/>
      <c r="BF141" s="239"/>
    </row>
    <row r="142" spans="51:58" ht="12.75">
      <c r="AY142" s="103" t="s">
        <v>153</v>
      </c>
      <c r="AZ142" s="103" t="s">
        <v>154</v>
      </c>
      <c r="BA142" s="103" t="s">
        <v>327</v>
      </c>
      <c r="BB142" s="10">
        <v>265654</v>
      </c>
      <c r="BE142" s="70"/>
      <c r="BF142" s="241"/>
    </row>
    <row r="143" spans="51:58" ht="12.75">
      <c r="AY143" s="103" t="s">
        <v>181</v>
      </c>
      <c r="AZ143" s="103" t="s">
        <v>182</v>
      </c>
      <c r="BA143" s="103" t="s">
        <v>327</v>
      </c>
      <c r="BB143" s="10">
        <v>284466</v>
      </c>
      <c r="BE143" s="70"/>
      <c r="BF143" s="249"/>
    </row>
    <row r="144" spans="51:58" ht="12.75">
      <c r="AY144" s="103" t="s">
        <v>146</v>
      </c>
      <c r="AZ144" s="103" t="s">
        <v>147</v>
      </c>
      <c r="BA144" s="103" t="s">
        <v>327</v>
      </c>
      <c r="BB144" s="10">
        <v>319933</v>
      </c>
      <c r="BE144" s="70"/>
      <c r="BF144" s="241"/>
    </row>
    <row r="145" spans="51:58" ht="12.75">
      <c r="AY145" s="103" t="s">
        <v>111</v>
      </c>
      <c r="AZ145" s="103" t="s">
        <v>112</v>
      </c>
      <c r="BA145" s="103" t="s">
        <v>327</v>
      </c>
      <c r="BB145" s="10">
        <v>192336</v>
      </c>
      <c r="BE145" s="248"/>
      <c r="BF145" s="249"/>
    </row>
    <row r="146" spans="51:58" ht="12.75">
      <c r="AY146" s="103" t="s">
        <v>237</v>
      </c>
      <c r="AZ146" s="103" t="s">
        <v>238</v>
      </c>
      <c r="BA146" s="103" t="s">
        <v>327</v>
      </c>
      <c r="BB146" s="10">
        <v>548313</v>
      </c>
      <c r="BF146" s="252"/>
    </row>
    <row r="147" spans="51:58" ht="12.75">
      <c r="AY147" s="103" t="s">
        <v>247</v>
      </c>
      <c r="AZ147" s="103" t="s">
        <v>248</v>
      </c>
      <c r="BA147" s="103" t="s">
        <v>327</v>
      </c>
      <c r="BB147" s="10">
        <v>287229</v>
      </c>
      <c r="BF147" s="252"/>
    </row>
    <row r="148" spans="51:58" ht="12.75">
      <c r="AY148" s="103" t="s">
        <v>222</v>
      </c>
      <c r="AZ148" s="103" t="s">
        <v>429</v>
      </c>
      <c r="BA148" s="103" t="s">
        <v>506</v>
      </c>
      <c r="BB148" s="10">
        <v>707573</v>
      </c>
      <c r="BF148" s="252"/>
    </row>
    <row r="149" spans="51:58" ht="12.75">
      <c r="AY149" s="103" t="s">
        <v>218</v>
      </c>
      <c r="AZ149" s="103" t="s">
        <v>219</v>
      </c>
      <c r="BA149" s="103" t="s">
        <v>506</v>
      </c>
      <c r="BB149" s="10">
        <v>825533</v>
      </c>
      <c r="BE149" s="248"/>
      <c r="BF149" s="249"/>
    </row>
    <row r="150" spans="51:58" ht="12.75">
      <c r="AY150" s="103" t="s">
        <v>196</v>
      </c>
      <c r="AZ150" s="103" t="s">
        <v>197</v>
      </c>
      <c r="BA150" s="103" t="s">
        <v>327</v>
      </c>
      <c r="BB150" s="10">
        <v>259945</v>
      </c>
      <c r="BF150" s="252"/>
    </row>
    <row r="151" spans="51:58" ht="12.75">
      <c r="AY151" s="103" t="s">
        <v>138</v>
      </c>
      <c r="AZ151" s="103" t="s">
        <v>139</v>
      </c>
      <c r="BA151" s="103" t="s">
        <v>327</v>
      </c>
      <c r="BB151" s="10">
        <v>246573</v>
      </c>
      <c r="BF151" s="252"/>
    </row>
    <row r="152" spans="51:58" ht="12.75">
      <c r="AY152" s="103" t="s">
        <v>266</v>
      </c>
      <c r="AZ152" s="103" t="s">
        <v>267</v>
      </c>
      <c r="BA152" s="103" t="s">
        <v>506</v>
      </c>
      <c r="BB152" s="10">
        <v>462395</v>
      </c>
      <c r="BE152" s="250"/>
      <c r="BF152" s="239"/>
    </row>
    <row r="153" spans="51:58" ht="12.75">
      <c r="AY153" s="103" t="s">
        <v>191</v>
      </c>
      <c r="AZ153" s="103" t="s">
        <v>192</v>
      </c>
      <c r="BA153" s="103" t="s">
        <v>327</v>
      </c>
      <c r="BB153" s="10">
        <v>332176</v>
      </c>
      <c r="BF153" s="252"/>
    </row>
    <row r="154" spans="51:58" ht="12.75">
      <c r="AY154" s="103" t="s">
        <v>161</v>
      </c>
      <c r="AZ154" s="103" t="s">
        <v>416</v>
      </c>
      <c r="BA154" s="103" t="s">
        <v>327</v>
      </c>
      <c r="BB154" s="10">
        <v>246213</v>
      </c>
      <c r="BE154" s="237"/>
      <c r="BF154" s="238"/>
    </row>
    <row r="155" spans="51:58" ht="12.75">
      <c r="AY155" s="103" t="s">
        <v>235</v>
      </c>
      <c r="AZ155" s="103" t="s">
        <v>236</v>
      </c>
      <c r="BA155" s="103" t="s">
        <v>506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411</v>
      </c>
      <c r="C3" s="56" t="s">
        <v>24</v>
      </c>
    </row>
    <row r="4" spans="1:2" ht="12.75">
      <c r="A4" s="76">
        <v>1</v>
      </c>
      <c r="B4" s="78" t="s">
        <v>152</v>
      </c>
    </row>
    <row r="5" ht="12.75">
      <c r="A5" s="280" t="s">
        <v>533</v>
      </c>
    </row>
    <row r="6" ht="12.75">
      <c r="A6" s="280" t="s">
        <v>525</v>
      </c>
    </row>
    <row r="7" ht="12.75">
      <c r="A7" s="280" t="s">
        <v>551</v>
      </c>
    </row>
    <row r="8" ht="12.75">
      <c r="A8" s="280" t="s">
        <v>527</v>
      </c>
    </row>
    <row r="9" ht="12.75">
      <c r="A9" s="280" t="s">
        <v>522</v>
      </c>
    </row>
    <row r="10" ht="12.75">
      <c r="A10" s="280" t="s">
        <v>545</v>
      </c>
    </row>
    <row r="11" ht="12.75">
      <c r="A11" s="280" t="s">
        <v>534</v>
      </c>
    </row>
    <row r="12" ht="12.75">
      <c r="A12" s="280" t="s">
        <v>542</v>
      </c>
    </row>
    <row r="13" ht="12.75">
      <c r="A13" s="280" t="s">
        <v>511</v>
      </c>
    </row>
    <row r="14" ht="12.75">
      <c r="A14" s="280" t="s">
        <v>547</v>
      </c>
    </row>
    <row r="15" ht="12.75">
      <c r="A15" s="280" t="s">
        <v>528</v>
      </c>
    </row>
    <row r="16" ht="12.75">
      <c r="A16" s="280" t="s">
        <v>519</v>
      </c>
    </row>
    <row r="17" ht="12.75">
      <c r="A17" s="280" t="s">
        <v>514</v>
      </c>
    </row>
    <row r="18" ht="12.75">
      <c r="A18" s="280" t="s">
        <v>535</v>
      </c>
    </row>
    <row r="19" ht="12.75">
      <c r="A19" s="280" t="s">
        <v>539</v>
      </c>
    </row>
    <row r="20" ht="12.75">
      <c r="A20" s="280" t="s">
        <v>521</v>
      </c>
    </row>
    <row r="21" ht="12.75">
      <c r="A21" s="280" t="s">
        <v>543</v>
      </c>
    </row>
    <row r="22" ht="12.75">
      <c r="A22" s="280" t="s">
        <v>541</v>
      </c>
    </row>
    <row r="23" ht="12.75">
      <c r="A23" s="280" t="s">
        <v>529</v>
      </c>
    </row>
    <row r="24" ht="12.75">
      <c r="A24" s="280" t="s">
        <v>532</v>
      </c>
    </row>
    <row r="25" ht="12.75">
      <c r="A25" s="280" t="s">
        <v>549</v>
      </c>
    </row>
    <row r="26" ht="12.75">
      <c r="A26" s="280" t="s">
        <v>524</v>
      </c>
    </row>
    <row r="27" ht="12.75">
      <c r="A27" s="280" t="s">
        <v>540</v>
      </c>
    </row>
    <row r="28" ht="12.75">
      <c r="A28" s="280" t="s">
        <v>544</v>
      </c>
    </row>
    <row r="29" ht="12.75">
      <c r="A29" s="280" t="s">
        <v>515</v>
      </c>
    </row>
    <row r="30" ht="12.75">
      <c r="A30" s="280" t="s">
        <v>538</v>
      </c>
    </row>
    <row r="31" ht="12.75">
      <c r="A31" s="280" t="s">
        <v>546</v>
      </c>
    </row>
    <row r="32" ht="12.75">
      <c r="A32" s="280" t="s">
        <v>523</v>
      </c>
    </row>
    <row r="33" ht="12.75">
      <c r="A33" s="280" t="s">
        <v>510</v>
      </c>
    </row>
    <row r="34" ht="12.75">
      <c r="A34" s="280" t="s">
        <v>512</v>
      </c>
    </row>
    <row r="35" ht="12.75">
      <c r="A35" s="280" t="s">
        <v>531</v>
      </c>
    </row>
    <row r="36" ht="12.75">
      <c r="A36" s="280" t="s">
        <v>520</v>
      </c>
    </row>
    <row r="37" ht="12.75">
      <c r="A37" s="280" t="s">
        <v>548</v>
      </c>
    </row>
    <row r="38" ht="12.75">
      <c r="A38" s="280" t="s">
        <v>513</v>
      </c>
    </row>
    <row r="39" ht="12.75">
      <c r="A39" s="280" t="s">
        <v>516</v>
      </c>
    </row>
    <row r="40" ht="12.75">
      <c r="A40" s="280" t="s">
        <v>537</v>
      </c>
    </row>
    <row r="41" ht="12.75">
      <c r="A41" s="280" t="s">
        <v>550</v>
      </c>
    </row>
    <row r="42" ht="12.75">
      <c r="A42" s="280" t="s">
        <v>518</v>
      </c>
    </row>
    <row r="43" ht="12.75">
      <c r="A43" s="280" t="s">
        <v>526</v>
      </c>
    </row>
    <row r="44" ht="12.75">
      <c r="A44" s="280" t="s">
        <v>553</v>
      </c>
    </row>
    <row r="45" ht="12.75">
      <c r="A45" s="280" t="s">
        <v>536</v>
      </c>
    </row>
    <row r="46" ht="12.75">
      <c r="A46" s="280" t="s">
        <v>517</v>
      </c>
    </row>
    <row r="47" ht="12.75">
      <c r="A47" s="280" t="s">
        <v>530</v>
      </c>
    </row>
    <row r="48" ht="12.75">
      <c r="A48" s="280" t="s">
        <v>552</v>
      </c>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