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<sst xmlns="http://schemas.openxmlformats.org/spreadsheetml/2006/main" count="1602" uniqueCount="588">
  <si>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</si>
  <si>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</si>
  <si>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</si>
  <si>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</si>
  <si>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</si>
  <si>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</si>
  <si>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</si>
  <si>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</si>
  <si>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</si>
  <si>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</si>
  <si>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</si>
  <si>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</si>
  <si>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</si>
  <si>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</si>
  <si>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</si>
  <si>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</si>
  <si>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</si>
  <si>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</si>
  <si>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</si>
  <si>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</si>
  <si>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</si>
  <si>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</si>
  <si>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</si>
  <si>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</si>
  <si>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</si>
  <si>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</si>
  <si>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</si>
  <si>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</si>
  <si>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</si>
  <si>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</si>
  <si>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</si>
  <si>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</si>
  <si>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</si>
  <si>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</si>
  <si>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</si>
  <si>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</si>
  <si>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</si>
  <si>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</si>
  <si>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</si>
  <si>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</si>
  <si>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</si>
  <si>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</si>
  <si>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</si>
  <si>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</si>
  <si>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</si>
  <si>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</si>
  <si>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</si>
  <si>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</si>
  <si>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</si>
  <si>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</si>
  <si>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</si>
  <si>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</si>
  <si>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</si>
  <si>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</si>
  <si>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</si>
  <si>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</si>
  <si>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</si>
  <si>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</si>
  <si>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</si>
  <si>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</si>
  <si>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</si>
  <si>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</si>
  <si>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</si>
  <si>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</si>
  <si>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</si>
  <si>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</si>
  <si>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</si>
  <si>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</si>
  <si>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</si>
  <si>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</si>
  <si>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</si>
  <si>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</si>
  <si>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</si>
  <si>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</si>
  <si>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</si>
  <si>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</si>
  <si>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</si>
  <si>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</si>
  <si>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</si>
  <si>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</si>
  <si>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</si>
  <si>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</si>
  <si>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</si>
  <si>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</si>
  <si>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</si>
  <si>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</si>
  <si>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</si>
  <si>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</si>
  <si>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</si>
  <si>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</si>
  <si>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</si>
  <si>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</si>
  <si>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</si>
  <si>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</si>
  <si>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</si>
  <si>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</si>
  <si>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</si>
  <si>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</si>
  <si>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</si>
  <si>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</si>
  <si>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</si>
  <si>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</si>
  <si>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</si>
  <si>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</si>
  <si>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</si>
  <si>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</si>
  <si>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</si>
  <si>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</si>
  <si>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</si>
  <si>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</si>
  <si>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</si>
  <si>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</si>
  <si>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</si>
  <si>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</si>
  <si>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</si>
  <si>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</si>
  <si>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</si>
  <si>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</si>
  <si>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</si>
  <si>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</si>
  <si>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</si>
  <si>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</si>
  <si>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</si>
  <si>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</si>
  <si>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</si>
  <si>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</si>
  <si>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</si>
  <si>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</si>
  <si>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</si>
  <si>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</si>
  <si>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</si>
  <si>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</si>
  <si>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</si>
  <si>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</si>
  <si>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</si>
  <si>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</si>
  <si>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</si>
  <si>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</si>
  <si>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</si>
  <si>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</si>
  <si>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</si>
  <si>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</si>
  <si>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</si>
  <si>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</si>
  <si>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</si>
  <si>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</si>
  <si>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</si>
  <si>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</si>
  <si>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</si>
  <si>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</si>
  <si>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</si>
  <si>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</si>
  <si>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</si>
  <si>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</si>
  <si>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</si>
  <si>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</si>
  <si>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</si>
  <si>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</si>
  <si>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</si>
  <si>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</si>
  <si>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</si>
  <si>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</si>
  <si>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</si>
  <si>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</si>
  <si>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</si>
  <si>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</si>
  <si>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</si>
  <si>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</si>
  <si>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</si>
  <si>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</si>
  <si>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</si>
  <si>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</si>
  <si>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</si>
  <si>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</si>
  <si>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</si>
  <si>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</si>
  <si>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</si>
  <si>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</si>
  <si>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</si>
  <si>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</si>
  <si>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</si>
  <si>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</si>
  <si>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</si>
  <si>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</si>
  <si>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</si>
  <si>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</si>
  <si>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</si>
  <si>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</si>
  <si>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</si>
  <si>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</si>
  <si>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</si>
  <si>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</si>
  <si>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</si>
  <si>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</si>
  <si>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</si>
  <si>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</si>
  <si>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</si>
  <si>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</si>
  <si>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</si>
  <si>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</si>
  <si>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</si>
  <si>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</si>
  <si>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</si>
  <si>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</si>
  <si>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</si>
  <si>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</si>
  <si>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</si>
  <si>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</si>
  <si>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</si>
  <si>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</si>
  <si>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</si>
  <si>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</si>
  <si>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</si>
  <si>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</si>
  <si>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</si>
  <si>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</si>
  <si>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</si>
  <si>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</si>
  <si>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</si>
  <si>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</si>
  <si>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</si>
  <si>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</si>
  <si>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</si>
  <si>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</si>
  <si>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</si>
  <si>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</si>
  <si>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</si>
  <si>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</si>
  <si>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</si>
  <si>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</si>
  <si>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</si>
  <si>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</si>
  <si>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</si>
  <si>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</si>
  <si>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</si>
  <si>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</si>
  <si>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</si>
  <si>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</si>
  <si>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</si>
  <si>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</si>
  <si>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</si>
  <si>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</si>
  <si>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</si>
  <si>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</si>
  <si>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</si>
  <si>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</si>
  <si>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</si>
  <si>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</si>
  <si>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</si>
  <si>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</si>
  <si>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</si>
  <si>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</si>
  <si>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</si>
  <si>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</si>
  <si>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</si>
  <si>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</si>
  <si>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</si>
  <si>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</si>
  <si>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</si>
  <si>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</si>
  <si>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</si>
  <si>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</si>
  <si>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</si>
  <si>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</si>
  <si>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</si>
  <si>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</si>
  <si>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</si>
  <si>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</si>
  <si>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</si>
  <si>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</si>
  <si>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</si>
  <si>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</si>
  <si>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</si>
  <si>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</si>
  <si>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</si>
  <si>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</si>
  <si>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</si>
  <si>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</si>
  <si>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</si>
  <si>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</si>
  <si>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</si>
  <si>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</si>
  <si>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H85016</t>
  </si>
  <si>
    <t>H85018</t>
  </si>
  <si>
    <t>H85019</t>
  </si>
  <si>
    <t>H85020</t>
  </si>
  <si>
    <t>H85021</t>
  </si>
  <si>
    <t>H85022</t>
  </si>
  <si>
    <t>H85023</t>
  </si>
  <si>
    <t>H85024</t>
  </si>
  <si>
    <t>H85025</t>
  </si>
  <si>
    <t>H85026</t>
  </si>
  <si>
    <t>H85027</t>
  </si>
  <si>
    <t>H85028</t>
  </si>
  <si>
    <t>H85029</t>
  </si>
  <si>
    <t>H85030</t>
  </si>
  <si>
    <t>H85031</t>
  </si>
  <si>
    <t>H85032</t>
  </si>
  <si>
    <t>H85033</t>
  </si>
  <si>
    <t>H85034</t>
  </si>
  <si>
    <t>H85035</t>
  </si>
  <si>
    <t>H85037</t>
  </si>
  <si>
    <t>H85038</t>
  </si>
  <si>
    <t>H85053</t>
  </si>
  <si>
    <t>H85054</t>
  </si>
  <si>
    <t>H85063</t>
  </si>
  <si>
    <t>H85064</t>
  </si>
  <si>
    <t>H85070</t>
  </si>
  <si>
    <t>H85072</t>
  </si>
  <si>
    <t>H85076</t>
  </si>
  <si>
    <t>H85078</t>
  </si>
  <si>
    <t>H85086</t>
  </si>
  <si>
    <t>H85090</t>
  </si>
  <si>
    <t>H85092</t>
  </si>
  <si>
    <t>H85095</t>
  </si>
  <si>
    <t>H85101</t>
  </si>
  <si>
    <t>H85103</t>
  </si>
  <si>
    <t>H85105</t>
  </si>
  <si>
    <t>H85108</t>
  </si>
  <si>
    <t>H85110</t>
  </si>
  <si>
    <t>H85112</t>
  </si>
  <si>
    <t>H85113</t>
  </si>
  <si>
    <t>H85115</t>
  </si>
  <si>
    <t>H85116</t>
  </si>
  <si>
    <t>H85618</t>
  </si>
  <si>
    <t>H85634</t>
  </si>
  <si>
    <t>H85649</t>
  </si>
  <si>
    <t>H85653</t>
  </si>
  <si>
    <t>H85656</t>
  </si>
  <si>
    <t>H85662</t>
  </si>
  <si>
    <t>H85665</t>
  </si>
  <si>
    <t>H85674</t>
  </si>
  <si>
    <t>H85683</t>
  </si>
  <si>
    <t>H85686</t>
  </si>
  <si>
    <t>H85693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</si>
  <si>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</si>
  <si>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</si>
  <si>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</si>
  <si>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</si>
  <si>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</si>
  <si>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</si>
  <si>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</si>
  <si>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</si>
  <si>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</si>
  <si>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</si>
  <si>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</si>
  <si>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</si>
  <si>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</si>
  <si>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</si>
  <si>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</si>
  <si>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</si>
  <si>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</si>
  <si>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</si>
  <si>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</si>
  <si>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</si>
  <si>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</si>
  <si>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</si>
  <si>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</si>
  <si>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</si>
  <si>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</si>
  <si>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</si>
  <si>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</si>
  <si>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</si>
  <si>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</si>
  <si>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</si>
  <si>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</si>
  <si>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</si>
  <si>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</si>
  <si>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</si>
  <si>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</si>
  <si>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</si>
  <si>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</si>
  <si>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</si>
  <si>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</si>
  <si>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</si>
  <si>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</si>
  <si>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</si>
  <si>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</si>
  <si>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</si>
  <si>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</si>
  <si>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</si>
  <si>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</si>
  <si>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</si>
  <si>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</si>
  <si>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</si>
  <si>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</si>
  <si>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</si>
  <si>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</si>
  <si>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</si>
  <si>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</si>
  <si>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</si>
  <si>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</si>
  <si>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</si>
  <si>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</si>
  <si>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</si>
  <si>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</si>
  <si>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</si>
  <si>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</si>
  <si>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</si>
  <si>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</si>
  <si>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</si>
  <si>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</si>
  <si>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</si>
  <si>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</si>
  <si>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</si>
  <si>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</si>
  <si>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</si>
  <si>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</si>
  <si>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</si>
  <si>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</si>
  <si>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</si>
  <si>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</si>
  <si>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</si>
  <si>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</si>
  <si>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</si>
  <si>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</si>
  <si>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</si>
  <si>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</si>
  <si>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</si>
  <si>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</si>
  <si>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</si>
  <si>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</si>
  <si>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</si>
  <si>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</si>
  <si>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</si>
  <si>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</si>
  <si>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</si>
  <si>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</si>
  <si>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</si>
  <si>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</si>
  <si>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</si>
  <si>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</si>
  <si>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</si>
  <si>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</si>
  <si>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</si>
  <si>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</si>
  <si>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</si>
  <si>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</si>
  <si>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</si>
  <si>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</si>
  <si>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</si>
  <si>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</si>
  <si>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</si>
  <si>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</si>
  <si>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</si>
  <si>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</si>
  <si>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</si>
  <si>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</si>
  <si>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</si>
  <si>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</si>
  <si>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</si>
  <si>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</si>
  <si>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</si>
  <si>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</si>
  <si>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</si>
  <si>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</si>
  <si>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</si>
  <si>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</si>
  <si>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</si>
  <si>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</si>
  <si>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</si>
  <si>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</si>
  <si>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</si>
  <si>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</si>
  <si>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</si>
  <si>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</si>
  <si>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</si>
  <si>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</si>
  <si>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</si>
  <si>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</si>
  <si>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</si>
  <si>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</si>
  <si>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</si>
  <si>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</si>
  <si>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</si>
  <si>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</si>
  <si>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</si>
  <si>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</si>
  <si>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</si>
  <si>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</si>
  <si>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</si>
  <si>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</si>
  <si>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</si>
  <si>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</si>
  <si>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</si>
  <si>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</si>
  <si>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</si>
  <si>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</si>
  <si>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</si>
  <si>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</si>
  <si>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</si>
  <si>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</si>
  <si>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</si>
  <si>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</si>
  <si>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</si>
  <si>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</si>
  <si>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</si>
  <si>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</si>
  <si>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</si>
  <si>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</si>
  <si>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</si>
  <si>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</si>
  <si>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</si>
  <si>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</si>
  <si>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</si>
  <si>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</si>
  <si>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</si>
  <si>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</si>
  <si>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</si>
  <si>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</si>
  <si>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</si>
  <si>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</si>
  <si>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</si>
  <si>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</si>
  <si>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</si>
  <si>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</si>
  <si>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</si>
  <si>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</si>
  <si>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H85051</t>
  </si>
  <si>
    <t>2010/11</t>
  </si>
  <si>
    <t>2008/09-2010/11</t>
  </si>
  <si>
    <t>2005/06-2010/11</t>
  </si>
  <si>
    <t>(H85016) CANNON HILL LANE MEDICAL PRACTICE</t>
  </si>
  <si>
    <t>(H85018) THE SURGERY - 48 MULGRAVE ROAD</t>
  </si>
  <si>
    <t>(H85020) THE CHURCH LANE PRACTICE</t>
  </si>
  <si>
    <t>(H85021) THE CHESSER SURGERY</t>
  </si>
  <si>
    <t>(H85022) PARK ROAD MEDICAL CENTRE</t>
  </si>
  <si>
    <t>(H85023) BISHOPSFORD ROAD PRACTICE</t>
  </si>
  <si>
    <t>(H85024) THE MITCHAM MEDICAL CENTRE</t>
  </si>
  <si>
    <t>(H85025) THE WRYTHE GREEN SURGERY</t>
  </si>
  <si>
    <t>(H85026) FRANCIS GROVE SURGERY</t>
  </si>
  <si>
    <t>(H85027) WIMBLEDON VILLAGE PRACTICE</t>
  </si>
  <si>
    <t>(H85028) PRINCES ROAD SURGERY</t>
  </si>
  <si>
    <t>(H85029) WIDE WAY SURGERY</t>
  </si>
  <si>
    <t>(H85030) THE OLD COURT HOUSE SURGERY</t>
  </si>
  <si>
    <t>(H85032) CARSHALTON FIELDS SURGERY</t>
  </si>
  <si>
    <t>(H85033) TAMWORTH HOUSE MEDICAL CENTRE</t>
  </si>
  <si>
    <t>(H85034) PEPYS ROAD PRACTICE CENTRE</t>
  </si>
  <si>
    <t>(H85035) ROWANS SURGERY</t>
  </si>
  <si>
    <t>(H85037) MORDEN HALL MEDICAL CENTRE</t>
  </si>
  <si>
    <t>(H85038) CRICKET GREEN MEDICAL PRACTICE</t>
  </si>
  <si>
    <t>(H85051) FREEMAN PRACTICE</t>
  </si>
  <si>
    <t>(H85064) THE HEALTH CENTRE</t>
  </si>
  <si>
    <t>(H85070) CENTRAL MEDICAL CENTRE</t>
  </si>
  <si>
    <t>(H85072) JAMES O'RIORDAN MEDICAL CENTRE</t>
  </si>
  <si>
    <t>(H85076) STONECOT SURGERY</t>
  </si>
  <si>
    <t>(H85078) GRAHAM ROAD SURGERY</t>
  </si>
  <si>
    <t>(H85086) WANDLE VALLEY HEALTH CENTRE</t>
  </si>
  <si>
    <t>(H85090) FIGGES MARSH SURGERY</t>
  </si>
  <si>
    <t>(H85092) RIVERHOUSE MEDICAL PRACTICE</t>
  </si>
  <si>
    <t>(H85095) THE HEALTH CENTRE</t>
  </si>
  <si>
    <t>(H85101) GRAND DRIVE SURGERY</t>
  </si>
  <si>
    <t>(H85103) 138 LONDON ROAD</t>
  </si>
  <si>
    <t>(H85105) CHEAM FAMILY PRACTICE</t>
  </si>
  <si>
    <t>(H85108) 19 BANDON RISE</t>
  </si>
  <si>
    <t>(H85110) WANDLE ROAD SURGERY</t>
  </si>
  <si>
    <t>(H85112) THE VINEYARD HILL ROAD SURGERY</t>
  </si>
  <si>
    <t>(H85113) MALDON ROAD SURGERY</t>
  </si>
  <si>
    <t>(H85115) SHOTFIELD MEDICAL PRACTICE</t>
  </si>
  <si>
    <t>(H85116) MANOR PRACTICE</t>
  </si>
  <si>
    <t>(H85618) WELL COURT PRACTICE</t>
  </si>
  <si>
    <t>(H85634) THE MERTON MEDICAL PRACTICE</t>
  </si>
  <si>
    <t>(H85649) COLLIERS WOOD SURGERY</t>
  </si>
  <si>
    <t>(H85653) WALLINGTON FAMILY PRACTICE</t>
  </si>
  <si>
    <t>(H85656) ALEXANDRA SURGERY</t>
  </si>
  <si>
    <t>(H85662) THE BEECHES SURGERY</t>
  </si>
  <si>
    <t>(H85665) WALLINGTON MEDICAL CENTRE</t>
  </si>
  <si>
    <t>(H85674) BEDDINGTON MEDICAL CENTRE</t>
  </si>
  <si>
    <t>(H85683) FACCINI HOUSE SURGERY</t>
  </si>
  <si>
    <t>(H85686) THE GROVE ROAD PRACTICE</t>
  </si>
  <si>
    <t>(H85693) GREEN WRYTHE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</si>
  <si>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</si>
  <si>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</si>
  <si>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</si>
  <si>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</si>
  <si>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</si>
  <si>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</si>
  <si>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</si>
  <si>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(H85053) THE SURGERY 81 CARSHALTON ROAD</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</si>
  <si>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</si>
  <si>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</si>
  <si>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</si>
  <si>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(H85019) DR JM LONGLEY + PARTNERS</t>
  </si>
  <si>
    <t>(H85031) BENHILL + BELMONT PRACTICE</t>
  </si>
  <si>
    <t>(H85054) LEGHARI + MUKTAR PRACTICE</t>
  </si>
  <si>
    <t>(H85063) DR CAM BRENNAN + PTRS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</si>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</sst>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0.7971852542243716</c:v>
                </c:pt>
                <c:pt idx="8">
                  <c:v>1</c:v>
                </c:pt>
                <c:pt idx="9">
                  <c:v>0.8779335558666849</c:v>
                </c:pt>
                <c:pt idx="10">
                  <c:v>0.924111371967544</c:v>
                </c:pt>
                <c:pt idx="11">
                  <c:v>0.9300927648182059</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0.669488515348714</c:v>
                </c:pt>
                <c:pt idx="3">
                  <c:v>0.7053571590127384</c:v>
                </c:pt>
                <c:pt idx="4">
                  <c:v>0.6788838770204568</c:v>
                </c:pt>
                <c:pt idx="5">
                  <c:v>0.6637184353009324</c:v>
                </c:pt>
                <c:pt idx="6">
                  <c:v>0.7222221647331719</c:v>
                </c:pt>
                <c:pt idx="7">
                  <c:v>0.5657075920749107</c:v>
                </c:pt>
                <c:pt idx="8">
                  <c:v>0.6131703304426364</c:v>
                </c:pt>
                <c:pt idx="9">
                  <c:v>0.6617756283294632</c:v>
                </c:pt>
                <c:pt idx="10">
                  <c:v>0.6359741073642693</c:v>
                </c:pt>
                <c:pt idx="11">
                  <c:v>0.6090950981937894</c:v>
                </c:pt>
                <c:pt idx="12">
                  <c:v>0.6571100010795732</c:v>
                </c:pt>
                <c:pt idx="13">
                  <c:v>0</c:v>
                </c:pt>
                <c:pt idx="14">
                  <c:v>0.5976305361482767</c:v>
                </c:pt>
                <c:pt idx="15">
                  <c:v>0.6015591898659325</c:v>
                </c:pt>
                <c:pt idx="16">
                  <c:v>0.6509415716746403</c:v>
                </c:pt>
                <c:pt idx="17">
                  <c:v>0.580861361053646</c:v>
                </c:pt>
                <c:pt idx="18">
                  <c:v>0.6631909535453544</c:v>
                </c:pt>
                <c:pt idx="19">
                  <c:v>0.6370749706402534</c:v>
                </c:pt>
                <c:pt idx="20">
                  <c:v>0.6352450235765701</c:v>
                </c:pt>
                <c:pt idx="21">
                  <c:v>0.5615316547198814</c:v>
                </c:pt>
                <c:pt idx="22">
                  <c:v>0.5827742620216855</c:v>
                </c:pt>
                <c:pt idx="23">
                  <c:v>0.6162743995501647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0.30273411019929236</c:v>
                </c:pt>
                <c:pt idx="3">
                  <c:v>0.39285713905582625</c:v>
                </c:pt>
                <c:pt idx="4">
                  <c:v>0.39827780593604606</c:v>
                </c:pt>
                <c:pt idx="5">
                  <c:v>0.337967771526307</c:v>
                </c:pt>
                <c:pt idx="6">
                  <c:v>0.27777773178653753</c:v>
                </c:pt>
                <c:pt idx="7">
                  <c:v>0.3553953351373125</c:v>
                </c:pt>
                <c:pt idx="8">
                  <c:v>0.3499993568652465</c:v>
                </c:pt>
                <c:pt idx="9">
                  <c:v>0.3683442750307335</c:v>
                </c:pt>
                <c:pt idx="10">
                  <c:v>0.35117673367982405</c:v>
                </c:pt>
                <c:pt idx="11">
                  <c:v>0.2842815226400635</c:v>
                </c:pt>
                <c:pt idx="12">
                  <c:v>0.41855409642302094</c:v>
                </c:pt>
                <c:pt idx="13">
                  <c:v>0</c:v>
                </c:pt>
                <c:pt idx="14">
                  <c:v>0.3823074112973195</c:v>
                </c:pt>
                <c:pt idx="15">
                  <c:v>0.3791816076611348</c:v>
                </c:pt>
                <c:pt idx="16">
                  <c:v>0.38280282850407416</c:v>
                </c:pt>
                <c:pt idx="17">
                  <c:v>0.4324074903878098</c:v>
                </c:pt>
                <c:pt idx="18">
                  <c:v>0.3961575073683177</c:v>
                </c:pt>
                <c:pt idx="19">
                  <c:v>0.4254521256070123</c:v>
                </c:pt>
                <c:pt idx="20">
                  <c:v>0.3451769751996124</c:v>
                </c:pt>
                <c:pt idx="21">
                  <c:v>0.4058670972915261</c:v>
                </c:pt>
                <c:pt idx="22">
                  <c:v>0.4340509399509306</c:v>
                </c:pt>
                <c:pt idx="23">
                  <c:v>0.43893481553293145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0.09583270187640262</c:v>
                </c:pt>
                <c:pt idx="3">
                  <c:v>0.25</c:v>
                </c:pt>
                <c:pt idx="4">
                  <c:v>0.13592072684123985</c:v>
                </c:pt>
                <c:pt idx="5">
                  <c:v>0.12140552106993344</c:v>
                </c:pt>
                <c:pt idx="6">
                  <c:v>0.11111108236658597</c:v>
                </c:pt>
                <c:pt idx="7">
                  <c:v>0</c:v>
                </c:pt>
                <c:pt idx="8">
                  <c:v>0.071427281838231</c:v>
                </c:pt>
                <c:pt idx="9">
                  <c:v>0</c:v>
                </c:pt>
                <c:pt idx="10">
                  <c:v>0</c:v>
                </c:pt>
                <c:pt idx="11">
                  <c:v>0</c:v>
                </c:pt>
                <c:pt idx="12">
                  <c:v>0.20879027697417576</c:v>
                </c:pt>
                <c:pt idx="13">
                  <c:v>0</c:v>
                </c:pt>
                <c:pt idx="14">
                  <c:v>0.2307050942319676</c:v>
                </c:pt>
                <c:pt idx="15">
                  <c:v>0.1266549873822162</c:v>
                </c:pt>
                <c:pt idx="16">
                  <c:v>0.18951060593935823</c:v>
                </c:pt>
                <c:pt idx="17">
                  <c:v>0.35928261186833743</c:v>
                </c:pt>
                <c:pt idx="18">
                  <c:v>0.28198065967848</c:v>
                </c:pt>
                <c:pt idx="19">
                  <c:v>0.3004365346987069</c:v>
                </c:pt>
                <c:pt idx="20">
                  <c:v>0.21388364036592347</c:v>
                </c:pt>
                <c:pt idx="21">
                  <c:v>0.29047313561663396</c:v>
                </c:pt>
                <c:pt idx="22">
                  <c:v>0.2802265366157617</c:v>
                </c:pt>
                <c:pt idx="23">
                  <c:v>0.1976920857732285</c:v>
                </c:pt>
                <c:pt idx="24">
                  <c:v>0</c:v>
                </c:pt>
                <c:pt idx="25">
                  <c:v>0</c:v>
                </c:pt>
                <c:pt idx="26">
                  <c:v>0</c:v>
                </c:pt>
              </c:numCache>
            </c:numRef>
          </c:val>
        </c:ser>
        <c:overlap val="100"/>
        <c:gapWidth val="100"/>
        <c:axId val="57088768"/>
        <c:axId val="4403686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0.6738259577773235</c:v>
                </c:pt>
                <c:pt idx="3">
                  <c:v>0.6432475119672344</c:v>
                </c:pt>
                <c:pt idx="4">
                  <c:v>0.6622226759529387</c:v>
                </c:pt>
                <c:pt idx="5">
                  <c:v>0.6900912824279727</c:v>
                </c:pt>
                <c:pt idx="6">
                  <c:v>0.6078181107743189</c:v>
                </c:pt>
                <c:pt idx="7">
                  <c:v>0.6092617138631066</c:v>
                </c:pt>
                <c:pt idx="8">
                  <c:v>0.6707632558949297</c:v>
                </c:pt>
                <c:pt idx="9">
                  <c:v>0.6004431245388763</c:v>
                </c:pt>
                <c:pt idx="10">
                  <c:v>0.5984567517333963</c:v>
                </c:pt>
                <c:pt idx="11">
                  <c:v>0.727591615259614</c:v>
                </c:pt>
                <c:pt idx="12">
                  <c:v>0.6493288633735569</c:v>
                </c:pt>
                <c:pt idx="13">
                  <c:v>0.5</c:v>
                </c:pt>
                <c:pt idx="14">
                  <c:v>0.5046161939022499</c:v>
                </c:pt>
                <c:pt idx="15">
                  <c:v>0.5225571779327182</c:v>
                </c:pt>
                <c:pt idx="16">
                  <c:v>0.5685398288244469</c:v>
                </c:pt>
                <c:pt idx="17">
                  <c:v>0.6002487878244326</c:v>
                </c:pt>
                <c:pt idx="18">
                  <c:v>0.5964214706698179</c:v>
                </c:pt>
                <c:pt idx="19">
                  <c:v>0.5606463738543882</c:v>
                </c:pt>
                <c:pt idx="20">
                  <c:v>0.41858618536086295</c:v>
                </c:pt>
                <c:pt idx="21">
                  <c:v>0.6813623971247643</c:v>
                </c:pt>
                <c:pt idx="22">
                  <c:v>0.4902059939388055</c:v>
                </c:pt>
                <c:pt idx="23">
                  <c:v>0.5842041514884059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0.490709592647092</c:v>
                </c:pt>
                <c:pt idx="5">
                  <c:v>-999</c:v>
                </c:pt>
                <c:pt idx="6">
                  <c:v>0.38888886009837254</c:v>
                </c:pt>
                <c:pt idx="7">
                  <c:v>0.5632209356676193</c:v>
                </c:pt>
                <c:pt idx="8">
                  <c:v>0.6265447304894999</c:v>
                </c:pt>
                <c:pt idx="9">
                  <c:v>0.4517176099849747</c:v>
                </c:pt>
                <c:pt idx="10">
                  <c:v>0.49671264187294345</c:v>
                </c:pt>
                <c:pt idx="11">
                  <c:v>0.44799825389723186</c:v>
                </c:pt>
                <c:pt idx="12">
                  <c:v>-999</c:v>
                </c:pt>
                <c:pt idx="13">
                  <c:v>-999</c:v>
                </c:pt>
                <c:pt idx="14">
                  <c:v>-999</c:v>
                </c:pt>
                <c:pt idx="15">
                  <c:v>-999</c:v>
                </c:pt>
                <c:pt idx="16">
                  <c:v>0.37997107287408866</c:v>
                </c:pt>
                <c:pt idx="17">
                  <c:v>-999</c:v>
                </c:pt>
                <c:pt idx="18">
                  <c:v>-999</c:v>
                </c:pt>
                <c:pt idx="19">
                  <c:v>-999</c:v>
                </c:pt>
                <c:pt idx="20">
                  <c:v>0.4279689969377912</c:v>
                </c:pt>
                <c:pt idx="21">
                  <c:v>-999</c:v>
                </c:pt>
                <c:pt idx="22">
                  <c:v>0.4575949362709605</c:v>
                </c:pt>
                <c:pt idx="23">
                  <c:v>0.4804561984783587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0.3051413286171816</c:v>
                </c:pt>
                <c:pt idx="3">
                  <c:v>0.6785714299399026</c:v>
                </c:pt>
                <c:pt idx="4">
                  <c:v>-999</c:v>
                </c:pt>
                <c:pt idx="5">
                  <c:v>-999</c:v>
                </c:pt>
                <c:pt idx="6">
                  <c:v>-999</c:v>
                </c:pt>
                <c:pt idx="7">
                  <c:v>-999</c:v>
                </c:pt>
                <c:pt idx="8">
                  <c:v>-999</c:v>
                </c:pt>
                <c:pt idx="9">
                  <c:v>-999</c:v>
                </c:pt>
                <c:pt idx="10">
                  <c:v>-999</c:v>
                </c:pt>
                <c:pt idx="11">
                  <c:v>-999</c:v>
                </c:pt>
                <c:pt idx="12">
                  <c:v>0.3482301756228194</c:v>
                </c:pt>
                <c:pt idx="13">
                  <c:v>0.20859270268249272</c:v>
                </c:pt>
                <c:pt idx="14">
                  <c:v>-999</c:v>
                </c:pt>
                <c:pt idx="15">
                  <c:v>-999</c:v>
                </c:pt>
                <c:pt idx="16">
                  <c:v>-999</c:v>
                </c:pt>
                <c:pt idx="17">
                  <c:v>-999</c:v>
                </c:pt>
                <c:pt idx="18">
                  <c:v>-999</c:v>
                </c:pt>
                <c:pt idx="19">
                  <c:v>-999</c:v>
                </c:pt>
                <c:pt idx="20">
                  <c:v>-999</c:v>
                </c:pt>
                <c:pt idx="21">
                  <c:v>0.8004924185277739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787466"/>
        <c:axId val="10216283"/>
      </c:scatterChart>
      <c:catAx>
        <c:axId val="57088768"/>
        <c:scaling>
          <c:orientation val="maxMin"/>
        </c:scaling>
        <c:axPos val="l"/>
        <c:delete val="0"/>
        <c:numFmt formatCode="General" sourceLinked="1"/>
        <c:majorTickMark val="out"/>
        <c:minorTickMark val="none"/>
        <c:tickLblPos val="none"/>
        <c:spPr>
          <a:ln w="3175">
            <a:noFill/>
          </a:ln>
        </c:spPr>
        <c:crossAx val="44036865"/>
        <c:crosses val="autoZero"/>
        <c:auto val="1"/>
        <c:lblOffset val="100"/>
        <c:tickLblSkip val="1"/>
        <c:noMultiLvlLbl val="0"/>
      </c:catAx>
      <c:valAx>
        <c:axId val="44036865"/>
        <c:scaling>
          <c:orientation val="minMax"/>
          <c:max val="1"/>
          <c:min val="0"/>
        </c:scaling>
        <c:axPos val="t"/>
        <c:delete val="0"/>
        <c:numFmt formatCode="General" sourceLinked="1"/>
        <c:majorTickMark val="none"/>
        <c:minorTickMark val="none"/>
        <c:tickLblPos val="none"/>
        <c:spPr>
          <a:ln w="3175">
            <a:noFill/>
          </a:ln>
        </c:spPr>
        <c:crossAx val="57088768"/>
        <c:crossesAt val="1"/>
        <c:crossBetween val="between"/>
        <c:dispUnits/>
        <c:majorUnit val="1"/>
      </c:valAx>
      <c:valAx>
        <c:axId val="60787466"/>
        <c:scaling>
          <c:orientation val="minMax"/>
          <c:max val="1"/>
          <c:min val="0"/>
        </c:scaling>
        <c:axPos val="t"/>
        <c:delete val="0"/>
        <c:numFmt formatCode="General" sourceLinked="1"/>
        <c:majorTickMark val="none"/>
        <c:minorTickMark val="none"/>
        <c:tickLblPos val="none"/>
        <c:spPr>
          <a:ln w="3175">
            <a:noFill/>
          </a:ln>
        </c:spPr>
        <c:crossAx val="10216283"/>
        <c:crosses val="max"/>
        <c:crossBetween val="midCat"/>
        <c:dispUnits/>
        <c:majorUnit val="0.1"/>
        <c:minorUnit val="0.020000000000000004"/>
      </c:valAx>
      <c:valAx>
        <c:axId val="10216283"/>
        <c:scaling>
          <c:orientation val="maxMin"/>
          <c:max val="29"/>
          <c:min val="0"/>
        </c:scaling>
        <c:axPos val="l"/>
        <c:delete val="0"/>
        <c:numFmt formatCode="General" sourceLinked="1"/>
        <c:majorTickMark val="none"/>
        <c:minorTickMark val="none"/>
        <c:tickLblPos val="none"/>
        <c:spPr>
          <a:ln w="3175">
            <a:noFill/>
          </a:ln>
        </c:spPr>
        <c:crossAx val="607874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(H85103) 138 LONDON ROAD, SUTTON AND MERTON PCT (5M7)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490</v>
      </c>
      <c r="Q3" s="65"/>
      <c r="R3" s="66"/>
      <c r="S3" s="66"/>
      <c r="T3" s="66"/>
      <c r="U3" s="66"/>
      <c r="V3" s="66"/>
      <c r="W3" s="66"/>
      <c r="X3" s="66"/>
      <c r="Y3" s="66"/>
      <c r="Z3" s="66"/>
      <c r="AA3" s="66"/>
      <c r="AB3" s="66"/>
      <c r="AC3" s="66"/>
    </row>
    <row r="4" spans="2:29" ht="18" customHeight="1">
      <c r="B4" s="319" t="s">
        <v>574</v>
      </c>
      <c r="C4" s="320"/>
      <c r="D4" s="320"/>
      <c r="E4" s="320"/>
      <c r="F4" s="320"/>
      <c r="G4" s="321"/>
      <c r="H4" s="112"/>
      <c r="I4" s="112"/>
      <c r="J4" s="112"/>
      <c r="K4" s="112"/>
      <c r="L4" s="113"/>
      <c r="M4" s="65"/>
      <c r="N4" s="65"/>
      <c r="O4" s="65"/>
      <c r="P4" s="134" t="s">
        <v>491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573</v>
      </c>
      <c r="C8" s="115"/>
      <c r="D8" s="115"/>
      <c r="E8" s="128">
        <f>VLOOKUP('Hide - Control'!A$3,'All practice data'!A:CA,4,FALSE)</f>
        <v>3630</v>
      </c>
      <c r="F8" s="310" t="str">
        <f>VLOOKUP('Hide - Control'!B4,'Hide - Calculation'!AY:BA,3,FALSE)</f>
        <v> </v>
      </c>
      <c r="G8" s="310"/>
      <c r="H8" s="310"/>
      <c r="I8" s="115"/>
      <c r="J8" s="115"/>
      <c r="K8" s="115"/>
      <c r="L8" s="115"/>
      <c r="M8" s="109"/>
      <c r="N8" s="314" t="s">
        <v>500</v>
      </c>
      <c r="O8" s="314"/>
      <c r="P8" s="314"/>
      <c r="Q8" s="314" t="s">
        <v>32</v>
      </c>
      <c r="R8" s="314"/>
      <c r="S8" s="314"/>
      <c r="T8" s="314" t="s">
        <v>577</v>
      </c>
      <c r="U8" s="314"/>
      <c r="V8" s="314" t="s">
        <v>33</v>
      </c>
      <c r="W8" s="314"/>
      <c r="X8" s="314"/>
      <c r="Y8" s="135"/>
      <c r="Z8" s="314" t="s">
        <v>493</v>
      </c>
      <c r="AA8" s="314"/>
      <c r="AB8" s="161"/>
      <c r="AC8" s="109"/>
    </row>
    <row r="9" spans="2:29" s="61" customFormat="1" ht="19.5" customHeight="1" thickBot="1">
      <c r="B9" s="114" t="s">
        <v>485</v>
      </c>
      <c r="C9" s="114"/>
      <c r="D9" s="114"/>
      <c r="E9" s="129">
        <f>VLOOKUP('Hide - Control'!B4,'Hide - Calculation'!AY:BB,4,FALSE)</f>
        <v>390971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463</v>
      </c>
      <c r="E11" s="317"/>
      <c r="F11" s="318"/>
      <c r="G11" s="263" t="s">
        <v>461</v>
      </c>
      <c r="H11" s="255" t="s">
        <v>462</v>
      </c>
      <c r="I11" s="255" t="s">
        <v>473</v>
      </c>
      <c r="J11" s="255" t="s">
        <v>474</v>
      </c>
      <c r="K11" s="255" t="s">
        <v>345</v>
      </c>
      <c r="L11" s="256" t="s">
        <v>387</v>
      </c>
      <c r="M11" s="257" t="s">
        <v>483</v>
      </c>
      <c r="N11" s="334" t="s">
        <v>481</v>
      </c>
      <c r="O11" s="334"/>
      <c r="P11" s="334"/>
      <c r="Q11" s="334"/>
      <c r="R11" s="334"/>
      <c r="S11" s="334"/>
      <c r="T11" s="334"/>
      <c r="U11" s="334"/>
      <c r="V11" s="334"/>
      <c r="W11" s="334"/>
      <c r="X11" s="334"/>
      <c r="Y11" s="334"/>
      <c r="Z11" s="334"/>
      <c r="AA11" s="258" t="s">
        <v>484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361</v>
      </c>
      <c r="H13" s="190">
        <f>IF(VLOOKUP('Hide - Control'!A$3,'All practice data'!A:CA,C13+30,FALSE)=" "," ",VLOOKUP('Hide - Control'!A$3,'All practice data'!A:CA,C13+30,FALSE))</f>
        <v>0.09944903581267217</v>
      </c>
      <c r="I13" s="191">
        <f>IF(LEFT(G13,1)=" "," n/a",+((2*G13+1.96^2-1.96*SQRT(1.96^2+4*G13*(1-G13/E$8)))/(2*(E$8+1.96^2))))</f>
        <v>0.0901329491761868</v>
      </c>
      <c r="J13" s="191">
        <f>IF(LEFT(G13,1)=" "," n/a",+((2*G13+1.96^2+1.96*SQRT(1.96^2+4*G13*(1-G13/E$8)))/(2*(E$8+1.96^2))))</f>
        <v>0.10961202594876084</v>
      </c>
      <c r="K13" s="190">
        <f>IF('Hide - Calculation'!N7="","",'Hide - Calculation'!N7)</f>
        <v>0.12707847896647065</v>
      </c>
      <c r="L13" s="192">
        <f>'Hide - Calculation'!O7</f>
        <v>0.1599882305185145</v>
      </c>
      <c r="M13" s="208">
        <f>IF(ISBLANK('Hide - Calculation'!K7),"",'Hide - Calculation'!U7)</f>
        <v>0.06507989019155502</v>
      </c>
      <c r="N13" s="173"/>
      <c r="O13" s="173"/>
      <c r="P13" s="173"/>
      <c r="Q13" s="173"/>
      <c r="R13" s="173"/>
      <c r="S13" s="173"/>
      <c r="T13" s="173"/>
      <c r="U13" s="173"/>
      <c r="V13" s="173"/>
      <c r="W13" s="173"/>
      <c r="X13" s="173"/>
      <c r="Y13" s="173"/>
      <c r="Z13" s="173"/>
      <c r="AA13" s="226">
        <f>IF(ISBLANK('Hide - Calculation'!K7),"",'Hide - Calculation'!T7)</f>
        <v>0.21354705095291138</v>
      </c>
      <c r="AB13" s="233" t="s">
        <v>571</v>
      </c>
      <c r="AC13" s="209" t="s">
        <v>572</v>
      </c>
    </row>
    <row r="14" spans="2:29" ht="33.75" customHeight="1">
      <c r="B14" s="306"/>
      <c r="C14" s="137">
        <v>2</v>
      </c>
      <c r="D14" s="132" t="s">
        <v>494</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0.16</v>
      </c>
      <c r="I14" s="120">
        <f>IF(LEFT(G14,1)=" "," n/a",+((2*H14*E8+1.96^2-1.96*SQRT(1.96^2+4*H14*E8*(1-H14*E8/E$8)))/(2*(E$8+1.96^2))))</f>
        <v>0.14843411809374243</v>
      </c>
      <c r="J14" s="120">
        <f>IF(LEFT(G14,1)=" "," n/a",+((2*H14*E8+1.96^2+1.96*SQRT(1.96^2+4*H14*E8*(1-H14*E8/E$8)))/(2*(E$8+1.96^2))))</f>
        <v>0.17228475969113405</v>
      </c>
      <c r="K14" s="119">
        <f>IF('Hide - Calculation'!N8="","",'Hide - Calculation'!N8)</f>
        <v>0.11737827102265896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0.25</v>
      </c>
      <c r="AB14" s="234" t="s">
        <v>39</v>
      </c>
      <c r="AC14" s="130" t="s">
        <v>572</v>
      </c>
    </row>
    <row r="15" spans="2:39" s="63" customFormat="1" ht="33.75" customHeight="1">
      <c r="B15" s="306"/>
      <c r="C15" s="137">
        <v>3</v>
      </c>
      <c r="D15" s="132" t="s">
        <v>348</v>
      </c>
      <c r="E15" s="85"/>
      <c r="F15" s="85"/>
      <c r="G15" s="121">
        <f>IF(VLOOKUP('Hide - Control'!A$3,'All practice data'!A:CA,C15+4,FALSE)=" "," ",VLOOKUP('Hide - Control'!A$3,'All practice data'!A:CA,C15+4,FALSE))</f>
        <v>12</v>
      </c>
      <c r="H15" s="122">
        <f>IF(VLOOKUP('Hide - Control'!A$3,'All practice data'!A:CA,C15+30,FALSE)=" "," ",VLOOKUP('Hide - Control'!A$3,'All practice data'!A:CA,C15+30,FALSE))</f>
        <v>330.57851239669424</v>
      </c>
      <c r="I15" s="123">
        <f>IF(LEFT(G15,1)=" "," n/a",IF(G15&lt;5,100000*VLOOKUP(G15,'Hide - Calculation'!AQ:AR,2,FALSE)/$E$8,100000*(G15*(1-1/(9*G15)-1.96/(3*SQRT(G15)))^3)/$E$8))</f>
        <v>170.61789443172583</v>
      </c>
      <c r="J15" s="123">
        <f>IF(LEFT(G15,1)=" "," n/a",IF(G15&lt;5,100000*VLOOKUP(G15,'Hide - Calculation'!AQ:AS,3,FALSE)/$E$8,100000*((G15+1)*(1-1/(9*(G15+1))+1.96/(3*SQRT(G15+1)))^3)/$E$8))</f>
        <v>577.4941217661033</v>
      </c>
      <c r="K15" s="122">
        <f>IF('Hide - Calculation'!N9="","",'Hide - Calculation'!N9)</f>
        <v>353.9904494195222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672.1820068359375</v>
      </c>
      <c r="AB15" s="234" t="s">
        <v>464</v>
      </c>
      <c r="AC15" s="131">
        <v>2009</v>
      </c>
      <c r="AD15" s="64"/>
      <c r="AE15" s="64"/>
      <c r="AF15" s="64"/>
      <c r="AG15" s="64"/>
      <c r="AH15" s="64"/>
      <c r="AI15" s="64"/>
      <c r="AJ15" s="64"/>
      <c r="AK15" s="64"/>
      <c r="AL15" s="64"/>
      <c r="AM15" s="64"/>
    </row>
    <row r="16" spans="2:29" s="63" customFormat="1" ht="33.75" customHeight="1">
      <c r="B16" s="306"/>
      <c r="C16" s="137">
        <v>4</v>
      </c>
      <c r="D16" s="132" t="s">
        <v>486</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174.43749024863737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337.63653564453125</v>
      </c>
      <c r="AB16" s="234" t="s">
        <v>342</v>
      </c>
      <c r="AC16" s="131" t="s">
        <v>519</v>
      </c>
    </row>
    <row r="17" spans="2:29" s="63" customFormat="1" ht="33.75" customHeight="1" thickBot="1">
      <c r="B17" s="309"/>
      <c r="C17" s="180">
        <v>5</v>
      </c>
      <c r="D17" s="195" t="s">
        <v>347</v>
      </c>
      <c r="E17" s="182"/>
      <c r="F17" s="182"/>
      <c r="G17" s="140">
        <f>IF(VLOOKUP('Hide - Control'!A$3,'All practice data'!A:CA,C17+4,FALSE)=" "," ",VLOOKUP('Hide - Control'!A$3,'All practice data'!A:CA,C17+4,FALSE))</f>
        <v>45</v>
      </c>
      <c r="H17" s="141">
        <f>IF(VLOOKUP('Hide - Control'!A$3,'All practice data'!A:CA,C17+30,FALSE)=" "," ",VLOOKUP('Hide - Control'!A$3,'All practice data'!A:CA,C17+30,FALSE))</f>
        <v>0.012</v>
      </c>
      <c r="I17" s="142">
        <f>IF(LEFT(G17,1)=" "," n/a",+((2*G17+1.96^2-1.96*SQRT(1.96^2+4*G17*(1-G17/E$8)))/(2*(E$8+1.96^2))))</f>
        <v>0.009277796524597218</v>
      </c>
      <c r="J17" s="142">
        <f>IF(LEFT(G17,1)=" "," n/a",+((2*G17+1.96^2+1.96*SQRT(1.96^2+4*G17*(1-G17/E$8)))/(2*(E$8+1.96^2))))</f>
        <v>0.016546554212099725</v>
      </c>
      <c r="K17" s="141">
        <f>IF('Hide - Calculation'!N11="","",'Hide - Calculation'!N11)</f>
        <v>0.01387315171713503</v>
      </c>
      <c r="L17" s="157">
        <f>'Hide - Calculation'!O11</f>
        <v>0.015940726342527432</v>
      </c>
      <c r="M17" s="210">
        <f>IF(ISBLANK('Hide - Calculation'!K11),"",'Hide - Calculation'!U11)</f>
        <v>0.007000000216066837</v>
      </c>
      <c r="N17" s="91"/>
      <c r="O17" s="91"/>
      <c r="P17" s="91"/>
      <c r="Q17" s="91"/>
      <c r="R17" s="91"/>
      <c r="S17" s="91"/>
      <c r="T17" s="91"/>
      <c r="U17" s="91"/>
      <c r="V17" s="91"/>
      <c r="W17" s="91"/>
      <c r="X17" s="91"/>
      <c r="Y17" s="91"/>
      <c r="Z17" s="91"/>
      <c r="AA17" s="229">
        <f>IF(ISBLANK('Hide - Calculation'!K11),"",'Hide - Calculation'!T11)</f>
        <v>0.023000000044703484</v>
      </c>
      <c r="AB17" s="235" t="s">
        <v>487</v>
      </c>
      <c r="AC17" s="189" t="s">
        <v>519</v>
      </c>
    </row>
    <row r="18" spans="2:29" s="63" customFormat="1" ht="33.75" customHeight="1">
      <c r="B18" s="308" t="s">
        <v>13</v>
      </c>
      <c r="C18" s="163">
        <v>6</v>
      </c>
      <c r="D18" s="164" t="s">
        <v>495</v>
      </c>
      <c r="E18" s="165"/>
      <c r="F18" s="165"/>
      <c r="G18" s="219">
        <f>IF(OR(VLOOKUP('Hide - Control'!A$3,'All practice data'!A:CA,C18+4,FALSE)=" ",VLOOKUP('Hide - Control'!A$3,'All practice data'!A:CA,C18+52,FALSE)=0)," n/a",VLOOKUP('Hide - Control'!A$3,'All practice data'!A:CA,C18+4,FALSE))</f>
        <v>200</v>
      </c>
      <c r="H18" s="220">
        <f>IF(OR(VLOOKUP('Hide - Control'!A$3,'All practice data'!A:CA,C18+30,FALSE)=" ",VLOOKUP('Hide - Control'!A$3,'All practice data'!A:CA,C18+52,FALSE)=0)," n/a",VLOOKUP('Hide - Control'!A$3,'All practice data'!A:CA,C18+30,FALSE))</f>
        <v>0.706714</v>
      </c>
      <c r="I18" s="191">
        <f>IF(OR(LEFT(H18,1)=" ",VLOOKUP('Hide - Control'!A$3,'All practice data'!A:CA,C18+52,FALSE)=0)," n/a",+((2*G18+1.96^2-1.96*SQRT(1.96^2+4*G18*(1-G18/(VLOOKUP('Hide - Control'!A$3,'All practice data'!A:CA,C18+52,FALSE)))))/(2*(((VLOOKUP('Hide - Control'!A$3,'All practice data'!A:CA,C18+52,FALSE)))+1.96^2))))</f>
        <v>0.6511857322274628</v>
      </c>
      <c r="J18" s="191">
        <f>IF(OR(LEFT(H18,1)=" ",VLOOKUP('Hide - Control'!A$3,'All practice data'!A:CA,C18+52,FALSE)=0)," n/a",+((2*G18+1.96^2+1.96*SQRT(1.96^2+4*G18*(1-G18/(VLOOKUP('Hide - Control'!A$3,'All practice data'!A:CA,C18+52,FALSE)))))/(2*((VLOOKUP('Hide - Control'!A$3,'All practice data'!A:CA,C18+52,FALSE))+1.96^2))))</f>
        <v>0.7567048945156596</v>
      </c>
      <c r="K18" s="220">
        <f>IF('Hide - Calculation'!N12="","",'Hide - Calculation'!N12)</f>
        <v>0.6778245902481632</v>
      </c>
      <c r="L18" s="192">
        <f>'Hide - Calculation'!O12</f>
        <v>0.7248631360507991</v>
      </c>
      <c r="M18" s="193">
        <f>IF(ISBLANK('Hide - Calculation'!K12),"",'Hide - Calculation'!U12)</f>
        <v>0.4846940040588379</v>
      </c>
      <c r="N18" s="194"/>
      <c r="O18" s="173"/>
      <c r="P18" s="173"/>
      <c r="Q18" s="173"/>
      <c r="R18" s="173"/>
      <c r="S18" s="173"/>
      <c r="T18" s="173"/>
      <c r="U18" s="173"/>
      <c r="V18" s="173"/>
      <c r="W18" s="173"/>
      <c r="X18" s="173"/>
      <c r="Y18" s="173"/>
      <c r="Z18" s="174"/>
      <c r="AA18" s="193">
        <f>IF(ISBLANK('Hide - Calculation'!K12),"",'Hide - Calculation'!T12)</f>
        <v>0.7989420294761658</v>
      </c>
      <c r="AB18" s="233" t="s">
        <v>48</v>
      </c>
      <c r="AC18" s="175" t="s">
        <v>520</v>
      </c>
    </row>
    <row r="19" spans="2:29" s="63" customFormat="1" ht="33.75" customHeight="1">
      <c r="B19" s="306"/>
      <c r="C19" s="137">
        <v>7</v>
      </c>
      <c r="D19" s="132" t="s">
        <v>496</v>
      </c>
      <c r="E19" s="85"/>
      <c r="F19" s="85"/>
      <c r="G19" s="221">
        <f>IF(OR(VLOOKUP('Hide - Control'!A$3,'All practice data'!A:CA,C19+4,FALSE)=" ",VLOOKUP('Hide - Control'!A$3,'All practice data'!A:CA,C19+52,FALSE)=0)," n/a",VLOOKUP('Hide - Control'!A$3,'All practice data'!A:CA,C19+4,FALSE))</f>
        <v>196</v>
      </c>
      <c r="H19" s="218">
        <f>IF(OR(VLOOKUP('Hide - Control'!A$3,'All practice data'!A:CA,C19+30,FALSE)=" ",VLOOKUP('Hide - Control'!A$3,'All practice data'!A:CA,C19+52,FALSE)=0)," n/a",VLOOKUP('Hide - Control'!A$3,'All practice data'!A:CA,C19+30,FALSE))</f>
        <v>0.712727</v>
      </c>
      <c r="I19" s="120">
        <f>IF(OR(LEFT(H19,1)=" ",VLOOKUP('Hide - Control'!A$3,'All practice data'!A:CA,C19+52,FALSE)=0)," n/a",+((2*G19+1.96^2-1.96*SQRT(1.96^2+4*G19*(1-G19/(VLOOKUP('Hide - Control'!A$3,'All practice data'!A:CA,C19+52,FALSE)))))/(2*(((VLOOKUP('Hide - Control'!A$3,'All practice data'!A:CA,C19+52,FALSE)))+1.96^2))))</f>
        <v>0.6566045225064859</v>
      </c>
      <c r="J19" s="120">
        <f>IF(OR(LEFT(H19,1)=" ",VLOOKUP('Hide - Control'!A$3,'All practice data'!A:CA,C19+52,FALSE)=0)," n/a",+((2*G19+1.96^2+1.96*SQRT(1.96^2+4*G19*(1-G19/(VLOOKUP('Hide - Control'!A$3,'All practice data'!A:CA,C19+52,FALSE)))))/(2*((VLOOKUP('Hide - Control'!A$3,'All practice data'!A:CA,C19+52,FALSE))+1.96^2))))</f>
        <v>0.7629885367787858</v>
      </c>
      <c r="K19" s="218">
        <f>IF('Hide - Calculation'!N13="","",'Hide - Calculation'!N13)</f>
        <v>0.6983161171642847</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1</v>
      </c>
      <c r="AB19" s="234" t="s">
        <v>48</v>
      </c>
      <c r="AC19" s="131" t="s">
        <v>519</v>
      </c>
    </row>
    <row r="20" spans="2:29" s="63" customFormat="1" ht="33.75" customHeight="1">
      <c r="B20" s="306"/>
      <c r="C20" s="137">
        <v>8</v>
      </c>
      <c r="D20" s="132" t="s">
        <v>497</v>
      </c>
      <c r="E20" s="85"/>
      <c r="F20" s="85"/>
      <c r="G20" s="221">
        <f>IF(OR(VLOOKUP('Hide - Control'!A$3,'All practice data'!A:CA,C20+4,FALSE)=" ",VLOOKUP('Hide - Control'!A$3,'All practice data'!A:CA,C20+52,FALSE)=0)," n/a",VLOOKUP('Hide - Control'!A$3,'All practice data'!A:CA,C20+4,FALSE))</f>
        <v>693</v>
      </c>
      <c r="H20" s="218">
        <f>IF(OR(VLOOKUP('Hide - Control'!A$3,'All practice data'!A:CA,C20+30,FALSE)=" ",VLOOKUP('Hide - Control'!A$3,'All practice data'!A:CA,C20+52,FALSE)=0)," n/a",VLOOKUP('Hide - Control'!A$3,'All practice data'!A:CA,C20+30,FALSE))</f>
        <v>0.714433</v>
      </c>
      <c r="I20" s="120">
        <f>IF(OR(LEFT(H20,1)=" ",VLOOKUP('Hide - Control'!A$3,'All practice data'!A:CA,C20+52,FALSE)=0)," n/a",+((2*G20+1.96^2-1.96*SQRT(1.96^2+4*G20*(1-G20/(VLOOKUP('Hide - Control'!A$3,'All practice data'!A:CA,C20+52,FALSE)))))/(2*(((VLOOKUP('Hide - Control'!A$3,'All practice data'!A:CA,C20+52,FALSE)))+1.96^2))))</f>
        <v>0.6852053152501885</v>
      </c>
      <c r="J20" s="120">
        <f>IF(OR(LEFT(H20,1)=" ",VLOOKUP('Hide - Control'!A$3,'All practice data'!A:CA,C20+52,FALSE)=0)," n/a",+((2*G20+1.96^2+1.96*SQRT(1.96^2+4*G20*(1-G20/(VLOOKUP('Hide - Control'!A$3,'All practice data'!A:CA,C20+52,FALSE)))))/(2*((VLOOKUP('Hide - Control'!A$3,'All practice data'!A:CA,C20+52,FALSE))+1.96^2))))</f>
        <v>0.7419688781710004</v>
      </c>
      <c r="K20" s="218">
        <f>IF('Hide - Calculation'!N14="","",'Hide - Calculation'!N14)</f>
        <v>0.7226956068432776</v>
      </c>
      <c r="L20" s="155">
        <f>'Hide - Calculation'!O14</f>
        <v>0.7559681673907895</v>
      </c>
      <c r="M20" s="152">
        <f>IF(ISBLANK('Hide - Calculation'!K14),"",'Hide - Calculation'!U14)</f>
        <v>0.5882800221443176</v>
      </c>
      <c r="N20" s="160"/>
      <c r="O20" s="84"/>
      <c r="P20" s="84"/>
      <c r="Q20" s="84"/>
      <c r="R20" s="84"/>
      <c r="S20" s="84"/>
      <c r="T20" s="84"/>
      <c r="U20" s="84"/>
      <c r="V20" s="84"/>
      <c r="W20" s="84"/>
      <c r="X20" s="84"/>
      <c r="Y20" s="84"/>
      <c r="Z20" s="88"/>
      <c r="AA20" s="152">
        <f>IF(ISBLANK('Hide - Calculation'!K14),"",'Hide - Calculation'!T14)</f>
        <v>0.8334640264511108</v>
      </c>
      <c r="AB20" s="234" t="s">
        <v>48</v>
      </c>
      <c r="AC20" s="131" t="s">
        <v>521</v>
      </c>
    </row>
    <row r="21" spans="2:29" s="63" customFormat="1" ht="33.75" customHeight="1">
      <c r="B21" s="306"/>
      <c r="C21" s="137">
        <v>9</v>
      </c>
      <c r="D21" s="132" t="s">
        <v>498</v>
      </c>
      <c r="E21" s="85"/>
      <c r="F21" s="85"/>
      <c r="G21" s="221">
        <f>IF(OR(VLOOKUP('Hide - Control'!A$3,'All practice data'!A:CA,C21+4,FALSE)=" ",VLOOKUP('Hide - Control'!A$3,'All practice data'!A:CA,C21+52,FALSE)=0)," n/a",VLOOKUP('Hide - Control'!A$3,'All practice data'!A:CA,C21+4,FALSE))</f>
        <v>127</v>
      </c>
      <c r="H21" s="218">
        <f>IF(OR(VLOOKUP('Hide - Control'!A$3,'All practice data'!A:CA,C21+30,FALSE)=" ",VLOOKUP('Hide - Control'!A$3,'All practice data'!A:CA,C21+52,FALSE)=0)," n/a",VLOOKUP('Hide - Control'!A$3,'All practice data'!A:CA,C21+30,FALSE))</f>
        <v>0.479245</v>
      </c>
      <c r="I21" s="120">
        <f>IF(OR(LEFT(H21,1)=" ",VLOOKUP('Hide - Control'!A$3,'All practice data'!A:CA,C21+52,FALSE)=0)," n/a",+((2*G21+1.96^2-1.96*SQRT(1.96^2+4*G21*(1-G21/(VLOOKUP('Hide - Control'!A$3,'All practice data'!A:CA,C21+52,FALSE)))))/(2*(((VLOOKUP('Hide - Control'!A$3,'All practice data'!A:CA,C21+52,FALSE)))+1.96^2))))</f>
        <v>0.4198233799486659</v>
      </c>
      <c r="J21" s="120">
        <f>IF(OR(LEFT(H21,1)=" ",VLOOKUP('Hide - Control'!A$3,'All practice data'!A:CA,C21+52,FALSE)=0)," n/a",+((2*G21+1.96^2+1.96*SQRT(1.96^2+4*G21*(1-G21/(VLOOKUP('Hide - Control'!A$3,'All practice data'!A:CA,C21+52,FALSE)))))/(2*((VLOOKUP('Hide - Control'!A$3,'All practice data'!A:CA,C21+52,FALSE))+1.96^2))))</f>
        <v>0.5392603332861906</v>
      </c>
      <c r="K21" s="218">
        <f>IF('Hide - Calculation'!N15="","",'Hide - Calculation'!N15)</f>
        <v>0.4929620940856896</v>
      </c>
      <c r="L21" s="155">
        <f>'Hide - Calculation'!O15</f>
        <v>0.5147293797466616</v>
      </c>
      <c r="M21" s="152">
        <f>IF(ISBLANK('Hide - Calculation'!K15),"",'Hide - Calculation'!U15)</f>
        <v>0.30601099133491516</v>
      </c>
      <c r="N21" s="160"/>
      <c r="O21" s="84"/>
      <c r="P21" s="84"/>
      <c r="Q21" s="84"/>
      <c r="R21" s="84"/>
      <c r="S21" s="84"/>
      <c r="T21" s="84"/>
      <c r="U21" s="84"/>
      <c r="V21" s="84"/>
      <c r="W21" s="84"/>
      <c r="X21" s="84"/>
      <c r="Y21" s="84"/>
      <c r="Z21" s="88"/>
      <c r="AA21" s="152">
        <f>IF(ISBLANK('Hide - Calculation'!K15),"",'Hide - Calculation'!T15)</f>
        <v>0.6283050179481506</v>
      </c>
      <c r="AB21" s="234" t="s">
        <v>48</v>
      </c>
      <c r="AC21" s="131" t="s">
        <v>520</v>
      </c>
    </row>
    <row r="22" spans="2:29" s="63" customFormat="1" ht="33.75" customHeight="1" thickBot="1">
      <c r="B22" s="309"/>
      <c r="C22" s="180">
        <v>10</v>
      </c>
      <c r="D22" s="195" t="s">
        <v>499</v>
      </c>
      <c r="E22" s="182"/>
      <c r="F22" s="182"/>
      <c r="G22" s="222">
        <f>IF(OR(VLOOKUP('Hide - Control'!A$3,'All practice data'!A:CA,C22+4,FALSE)=" ",VLOOKUP('Hide - Control'!A$3,'All practice data'!A:CA,C22+52,FALSE)=0)," n/a",VLOOKUP('Hide - Control'!A$3,'All practice data'!A:CA,C22+4,FALSE))</f>
        <v>66</v>
      </c>
      <c r="H22" s="223">
        <f>IF(OR(VLOOKUP('Hide - Control'!A$3,'All practice data'!A:CA,C22+30,FALSE)=" ",VLOOKUP('Hide - Control'!A$3,'All practice data'!A:CA,C22+52,FALSE)=0)," n/a",VLOOKUP('Hide - Control'!A$3,'All practice data'!A:CA,C22+30,FALSE))</f>
        <v>0.478261</v>
      </c>
      <c r="I22" s="196">
        <f>IF(OR(LEFT(H22,1)=" ",VLOOKUP('Hide - Control'!A$3,'All practice data'!A:CA,C22+52,FALSE)=0)," n/a",+((2*G22+1.96^2-1.96*SQRT(1.96^2+4*G22*(1-G22/(VLOOKUP('Hide - Control'!A$3,'All practice data'!A:CA,C22+52,FALSE)))))/(2*(((VLOOKUP('Hide - Control'!A$3,'All practice data'!A:CA,C22+52,FALSE)))+1.96^2))))</f>
        <v>0.3966396690369733</v>
      </c>
      <c r="J22" s="196">
        <f>IF(OR(LEFT(H22,1)=" ",VLOOKUP('Hide - Control'!A$3,'All practice data'!A:CA,C22+52,FALSE)=0)," n/a",+((2*G22+1.96^2+1.96*SQRT(1.96^2+4*G22*(1-G22/(VLOOKUP('Hide - Control'!A$3,'All practice data'!A:CA,C22+52,FALSE)))))/(2*((VLOOKUP('Hide - Control'!A$3,'All practice data'!A:CA,C22+52,FALSE))+1.96^2))))</f>
        <v>0.5610596236952012</v>
      </c>
      <c r="K22" s="223">
        <f>IF('Hide - Calculation'!N16="","",'Hide - Calculation'!N16)</f>
        <v>0.49546544965186357</v>
      </c>
      <c r="L22" s="197">
        <f>'Hide - Calculation'!O16</f>
        <v>0.5752927626212945</v>
      </c>
      <c r="M22" s="198">
        <f>IF(ISBLANK('Hide - Calculation'!K16),"",'Hide - Calculation'!U16)</f>
        <v>0.32278499007225037</v>
      </c>
      <c r="N22" s="199"/>
      <c r="O22" s="91"/>
      <c r="P22" s="91"/>
      <c r="Q22" s="91"/>
      <c r="R22" s="91"/>
      <c r="S22" s="91"/>
      <c r="T22" s="91"/>
      <c r="U22" s="91"/>
      <c r="V22" s="91"/>
      <c r="W22" s="91"/>
      <c r="X22" s="91"/>
      <c r="Y22" s="91"/>
      <c r="Z22" s="188"/>
      <c r="AA22" s="198">
        <f>IF(ISBLANK('Hide - Calculation'!K16),"",'Hide - Calculation'!T16)</f>
        <v>0.6455699801445007</v>
      </c>
      <c r="AB22" s="235" t="s">
        <v>48</v>
      </c>
      <c r="AC22" s="189" t="s">
        <v>519</v>
      </c>
    </row>
    <row r="23" spans="2:29" s="63" customFormat="1" ht="33.75" customHeight="1">
      <c r="B23" s="308" t="s">
        <v>337</v>
      </c>
      <c r="C23" s="163">
        <v>11</v>
      </c>
      <c r="D23" s="179" t="s">
        <v>349</v>
      </c>
      <c r="E23" s="165"/>
      <c r="F23" s="165"/>
      <c r="G23" s="118">
        <f>IF(VLOOKUP('Hide - Control'!A$3,'All practice data'!A:CA,C23+4,FALSE)=" "," ",VLOOKUP('Hide - Control'!A$3,'All practice data'!A:CA,C23+4,FALSE))</f>
        <v>27</v>
      </c>
      <c r="H23" s="216">
        <f>IF(VLOOKUP('Hide - Control'!A$3,'All practice data'!A:CA,C23+30,FALSE)=" "," ",VLOOKUP('Hide - Control'!A$3,'All practice data'!A:CA,C23+30,FALSE))</f>
        <v>743.801652892562</v>
      </c>
      <c r="I23" s="215">
        <f>IF(LEFT(G23,1)=" "," n/a",IF(G23&lt;5,100000*VLOOKUP(G23,'Hide - Calculation'!AQ:AR,2,FALSE)/$E$8,100000*(G23*(1-1/(9*G23)-1.96/(3*SQRT(G23)))^3)/$E$8))</f>
        <v>490.05021416189174</v>
      </c>
      <c r="J23" s="215">
        <f>IF(LEFT(G23,1)=" "," n/a",IF(G23&lt;5,100000*VLOOKUP(G23,'Hide - Calculation'!AQ:AS,3,FALSE)/$E$8,100000*((G23+1)*(1-1/(9*(G23+1))+1.96/(3*SQRT(G23+1)))^3)/$E$8))</f>
        <v>1082.240702831362</v>
      </c>
      <c r="K23" s="216">
        <f>IF('Hide - Calculation'!N17="","",'Hide - Calculation'!N17)</f>
        <v>1461.745244532203</v>
      </c>
      <c r="L23" s="217">
        <f>'Hide - Calculation'!O17</f>
        <v>1812.1669120472948</v>
      </c>
      <c r="M23" s="170">
        <f>IF(ISBLANK('Hide - Calculation'!K17),"",'Hide - Calculation'!U17)</f>
        <v>249.03781127929688</v>
      </c>
      <c r="N23" s="171"/>
      <c r="O23" s="172"/>
      <c r="P23" s="172"/>
      <c r="Q23" s="172"/>
      <c r="R23" s="173"/>
      <c r="S23" s="173"/>
      <c r="T23" s="173"/>
      <c r="U23" s="173"/>
      <c r="V23" s="173"/>
      <c r="W23" s="173"/>
      <c r="X23" s="173"/>
      <c r="Y23" s="173"/>
      <c r="Z23" s="174"/>
      <c r="AA23" s="170">
        <f>IF(ISBLANK('Hide - Calculation'!K17),"",'Hide - Calculation'!T17)</f>
        <v>3056.42626953125</v>
      </c>
      <c r="AB23" s="233" t="s">
        <v>26</v>
      </c>
      <c r="AC23" s="175" t="s">
        <v>519</v>
      </c>
    </row>
    <row r="24" spans="2:29" s="63" customFormat="1" ht="33.75" customHeight="1">
      <c r="B24" s="306"/>
      <c r="C24" s="137">
        <v>12</v>
      </c>
      <c r="D24" s="147" t="s">
        <v>505</v>
      </c>
      <c r="E24" s="85"/>
      <c r="F24" s="85"/>
      <c r="G24" s="118">
        <f>IF(VLOOKUP('Hide - Control'!A$3,'All practice data'!A:CA,C24+4,FALSE)=" "," ",VLOOKUP('Hide - Control'!A$3,'All practice data'!A:CA,C24+4,FALSE))</f>
        <v>27</v>
      </c>
      <c r="H24" s="119">
        <f>IF(VLOOKUP('Hide - Control'!A$3,'All practice data'!A:CA,C24+30,FALSE)=" "," ",VLOOKUP('Hide - Control'!A$3,'All practice data'!A:CA,C24+30,FALSE))</f>
        <v>0.5072727585</v>
      </c>
      <c r="I24" s="212">
        <f>IF(LEFT(VLOOKUP('Hide - Control'!A$3,'All practice data'!A:CA,C24+44,FALSE),1)=" "," n/a",VLOOKUP('Hide - Control'!A$3,'All practice data'!A:CA,C24+44,FALSE))</f>
        <v>0.3342959595</v>
      </c>
      <c r="J24" s="212">
        <f>IF(LEFT(VLOOKUP('Hide - Control'!A$3,'All practice data'!A:CA,C24+45,FALSE),1)=" "," n/a",VLOOKUP('Hide - Control'!A$3,'All practice data'!A:CA,C24+45,FALSE))</f>
        <v>0.7380551909999999</v>
      </c>
      <c r="K24" s="152" t="s">
        <v>576</v>
      </c>
      <c r="L24" s="213">
        <v>1</v>
      </c>
      <c r="M24" s="152">
        <f>IF(ISBLANK('Hide - Calculation'!K18),"",'Hide - Calculation'!U18)</f>
        <v>0.15457291901111603</v>
      </c>
      <c r="N24" s="86"/>
      <c r="O24" s="87"/>
      <c r="P24" s="87"/>
      <c r="Q24" s="87"/>
      <c r="R24" s="84"/>
      <c r="S24" s="84"/>
      <c r="T24" s="84"/>
      <c r="U24" s="84"/>
      <c r="V24" s="84"/>
      <c r="W24" s="84"/>
      <c r="X24" s="84"/>
      <c r="Y24" s="84"/>
      <c r="Z24" s="88"/>
      <c r="AA24" s="152">
        <f>IF(ISBLANK('Hide - Calculation'!K18),"",'Hide - Calculation'!T18)</f>
        <v>1.6625511646270752</v>
      </c>
      <c r="AB24" s="234" t="s">
        <v>26</v>
      </c>
      <c r="AC24" s="131" t="s">
        <v>519</v>
      </c>
    </row>
    <row r="25" spans="2:29" s="63" customFormat="1" ht="33.75" customHeight="1">
      <c r="B25" s="306"/>
      <c r="C25" s="137">
        <v>13</v>
      </c>
      <c r="D25" s="147" t="s">
        <v>344</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0.10113735783027121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0.26923078298568726</v>
      </c>
      <c r="AB25" s="234" t="s">
        <v>26</v>
      </c>
      <c r="AC25" s="131" t="s">
        <v>519</v>
      </c>
    </row>
    <row r="26" spans="2:29" s="63" customFormat="1" ht="33.75" customHeight="1">
      <c r="B26" s="306"/>
      <c r="C26" s="137">
        <v>14</v>
      </c>
      <c r="D26" s="147" t="s">
        <v>488</v>
      </c>
      <c r="E26" s="85"/>
      <c r="F26" s="85"/>
      <c r="G26" s="121">
        <f>IF(VLOOKUP('Hide - Control'!A$3,'All practice data'!A:CA,C26+4,FALSE)=" "," ",VLOOKUP('Hide - Control'!A$3,'All practice data'!A:CA,C26+4,FALSE))</f>
        <v>7</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0.42625368731563423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0.8888888955116272</v>
      </c>
      <c r="AB26" s="234" t="s">
        <v>26</v>
      </c>
      <c r="AC26" s="131" t="s">
        <v>519</v>
      </c>
    </row>
    <row r="27" spans="2:29" s="63" customFormat="1" ht="33.75" customHeight="1">
      <c r="B27" s="306"/>
      <c r="C27" s="137">
        <v>15</v>
      </c>
      <c r="D27" s="147" t="s">
        <v>475</v>
      </c>
      <c r="E27" s="85"/>
      <c r="F27" s="85"/>
      <c r="G27" s="121">
        <f>IF(VLOOKUP('Hide - Control'!A$3,'All practice data'!A:CA,C27+4,FALSE)=" "," ",VLOOKUP('Hide - Control'!A$3,'All practice data'!A:CA,C27+4,FALSE))</f>
        <v>8</v>
      </c>
      <c r="H27" s="122">
        <f>IF(VLOOKUP('Hide - Control'!A$3,'All practice data'!A:CA,C27+30,FALSE)=" "," ",VLOOKUP('Hide - Control'!A$3,'All practice data'!A:CA,C27+30,FALSE))</f>
        <v>220.38567493112947</v>
      </c>
      <c r="I27" s="123">
        <f>IF(LEFT(G27,1)=" "," n/a",IF(G27&lt;5,100000*VLOOKUP(G27,'Hide - Calculation'!AQ:AR,2,FALSE)/$E$8,100000*(G27*(1-1/(9*G27)-1.96/(3*SQRT(G27)))^3)/$E$8))</f>
        <v>94.89345905398662</v>
      </c>
      <c r="J27" s="123">
        <f>IF(LEFT(G27,1)=" "," n/a",IF(G27&lt;5,100000*VLOOKUP(G27,'Hide - Calculation'!AQ:AS,3,FALSE)/$E$8,100000*((G27+1)*(1-1/(9*(G27+1))+1.96/(3*SQRT(G27+1)))^3)/$E$8))</f>
        <v>434.2743110738633</v>
      </c>
      <c r="K27" s="122">
        <f>IF('Hide - Calculation'!N21="","",'Hide - Calculation'!N21)</f>
        <v>355.78086354230874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737.7439575195312</v>
      </c>
      <c r="AB27" s="234" t="s">
        <v>26</v>
      </c>
      <c r="AC27" s="131" t="s">
        <v>519</v>
      </c>
    </row>
    <row r="28" spans="2:29" s="63" customFormat="1" ht="33.75" customHeight="1">
      <c r="B28" s="306"/>
      <c r="C28" s="137">
        <v>16</v>
      </c>
      <c r="D28" s="147" t="s">
        <v>476</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200.27060830598688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721.0503540039062</v>
      </c>
      <c r="AB28" s="234" t="s">
        <v>26</v>
      </c>
      <c r="AC28" s="131" t="s">
        <v>519</v>
      </c>
    </row>
    <row r="29" spans="2:29" s="63" customFormat="1" ht="33.75" customHeight="1">
      <c r="B29" s="306"/>
      <c r="C29" s="137">
        <v>17</v>
      </c>
      <c r="D29" s="147" t="s">
        <v>477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53.45665023748565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156.73980712890625</v>
      </c>
      <c r="AB29" s="234" t="s">
        <v>26</v>
      </c>
      <c r="AC29" s="131" t="s">
        <v>519</v>
      </c>
    </row>
    <row r="30" spans="2:29" s="63" customFormat="1" ht="33.75" customHeight="1" thickBot="1">
      <c r="B30" s="309"/>
      <c r="C30" s="180">
        <v>18</v>
      </c>
      <c r="D30" s="181" t="s">
        <v>478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300.7895726281489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822.884033203125</v>
      </c>
      <c r="AB30" s="235" t="s">
        <v>26</v>
      </c>
      <c r="AC30" s="189" t="s">
        <v>519</v>
      </c>
    </row>
    <row r="31" spans="2:29" s="63" customFormat="1" ht="33.75" customHeight="1">
      <c r="B31" s="304" t="s">
        <v>346</v>
      </c>
      <c r="C31" s="163">
        <v>19</v>
      </c>
      <c r="D31" s="164" t="s">
        <v>350</v>
      </c>
      <c r="E31" s="165"/>
      <c r="F31" s="165"/>
      <c r="G31" s="166">
        <f>IF(VLOOKUP('Hide - Control'!A$3,'All practice data'!A:CA,C31+4,FALSE)=" "," ",VLOOKUP('Hide - Control'!A$3,'All practice data'!A:CA,C31+4,FALSE))</f>
        <v>21</v>
      </c>
      <c r="H31" s="167">
        <f>IF(VLOOKUP('Hide - Control'!A$3,'All practice data'!A:CA,C31+30,FALSE)=" "," ",VLOOKUP('Hide - Control'!A$3,'All practice data'!A:CA,C31+30,FALSE))</f>
        <v>578.5123966942149</v>
      </c>
      <c r="I31" s="168">
        <f>IF(LEFT(G31,1)=" "," n/a",IF(G31&lt;5,100000*VLOOKUP(G31,'Hide - Calculation'!AQ:AR,2,FALSE)/$E$8,100000*(G31*(1-1/(9*G31)-1.96/(3*SQRT(G31)))^3)/$E$8))</f>
        <v>357.96905405650585</v>
      </c>
      <c r="J31" s="168">
        <f>IF(LEFT(G31,1)=" "," n/a",IF(G31&lt;5,100000*VLOOKUP(G31,'Hide - Calculation'!AQ:AS,3,FALSE)/$E$8,100000*((G31+1)*(1-1/(9*(G31+1))+1.96/(3*SQRT(G31+1)))^3)/$E$8))</f>
        <v>884.3652232533258</v>
      </c>
      <c r="K31" s="167">
        <f>IF('Hide - Calculation'!N25="","",'Hide - Calculation'!N25)</f>
        <v>700.8192423478979</v>
      </c>
      <c r="L31" s="169">
        <f>'Hide - Calculation'!O25</f>
        <v>562.6134400960308</v>
      </c>
      <c r="M31" s="170">
        <f>IF(ISBLANK('Hide - Calculation'!K25),"",'Hide - Calculation'!U25)</f>
        <v>215.74972534179688</v>
      </c>
      <c r="N31" s="171"/>
      <c r="O31" s="172"/>
      <c r="P31" s="172"/>
      <c r="Q31" s="172"/>
      <c r="R31" s="173"/>
      <c r="S31" s="173"/>
      <c r="T31" s="173"/>
      <c r="U31" s="173"/>
      <c r="V31" s="173"/>
      <c r="W31" s="173"/>
      <c r="X31" s="173"/>
      <c r="Y31" s="173"/>
      <c r="Z31" s="174"/>
      <c r="AA31" s="170">
        <f>IF(ISBLANK('Hide - Calculation'!K25),"",'Hide - Calculation'!T25)</f>
        <v>1547.8056640625</v>
      </c>
      <c r="AB31" s="233" t="s">
        <v>47</v>
      </c>
      <c r="AC31" s="175" t="s">
        <v>519</v>
      </c>
    </row>
    <row r="32" spans="2:29" s="63" customFormat="1" ht="33.75" customHeight="1">
      <c r="B32" s="305"/>
      <c r="C32" s="137">
        <v>20</v>
      </c>
      <c r="D32" s="132" t="s">
        <v>351</v>
      </c>
      <c r="E32" s="85"/>
      <c r="F32" s="85"/>
      <c r="G32" s="121">
        <f>IF(VLOOKUP('Hide - Control'!A$3,'All practice data'!A:CA,C32+4,FALSE)=" "," ",VLOOKUP('Hide - Control'!A$3,'All practice data'!A:CA,C32+4,FALSE))</f>
        <v>18</v>
      </c>
      <c r="H32" s="122">
        <f>IF(VLOOKUP('Hide - Control'!A$3,'All practice data'!A:CA,C32+30,FALSE)=" "," ",VLOOKUP('Hide - Control'!A$3,'All practice data'!A:CA,C32+30,FALSE))</f>
        <v>495.8677685950413</v>
      </c>
      <c r="I32" s="123">
        <f>IF(LEFT(G32,1)=" "," n/a",IF(G32&lt;5,100000*VLOOKUP(G32,'Hide - Calculation'!AQ:AR,2,FALSE)/$E$8,100000*(G32*(1-1/(9*G32)-1.96/(3*SQRT(G32)))^3)/$E$8))</f>
        <v>293.7296690821128</v>
      </c>
      <c r="J32" s="123">
        <f>IF(LEFT(G32,1)=" "," n/a",IF(G32&lt;5,100000*VLOOKUP(G32,'Hide - Calculation'!AQ:AS,3,FALSE)/$E$8,100000*((G32+1)*(1-1/(9*(G32+1))+1.96/(3*SQRT(G32+1)))^3)/$E$8))</f>
        <v>783.7312777063232</v>
      </c>
      <c r="K32" s="122">
        <f>IF('Hide - Calculation'!N26="","",'Hide - Calculation'!N26)</f>
        <v>269.3294387563272</v>
      </c>
      <c r="L32" s="156">
        <f>'Hide - Calculation'!O26</f>
        <v>405.57105879375996</v>
      </c>
      <c r="M32" s="148">
        <f>IF(ISBLANK('Hide - Calculation'!K26),"",'Hide - Calculation'!U26)</f>
        <v>109.28961944580078</v>
      </c>
      <c r="N32" s="86"/>
      <c r="O32" s="87"/>
      <c r="P32" s="87"/>
      <c r="Q32" s="87"/>
      <c r="R32" s="84"/>
      <c r="S32" s="84"/>
      <c r="T32" s="84"/>
      <c r="U32" s="84"/>
      <c r="V32" s="84"/>
      <c r="W32" s="84"/>
      <c r="X32" s="84"/>
      <c r="Y32" s="84"/>
      <c r="Z32" s="88"/>
      <c r="AA32" s="148">
        <f>IF(ISBLANK('Hide - Calculation'!K26),"",'Hide - Calculation'!T26)</f>
        <v>647.0880737304688</v>
      </c>
      <c r="AB32" s="234" t="s">
        <v>47</v>
      </c>
      <c r="AC32" s="131" t="s">
        <v>519</v>
      </c>
    </row>
    <row r="33" spans="2:29" s="63" customFormat="1" ht="33.75" customHeight="1">
      <c r="B33" s="305"/>
      <c r="C33" s="137">
        <v>21</v>
      </c>
      <c r="D33" s="132" t="s">
        <v>353</v>
      </c>
      <c r="E33" s="85"/>
      <c r="F33" s="85"/>
      <c r="G33" s="121">
        <f>IF(VLOOKUP('Hide - Control'!A$3,'All practice data'!A:CA,C33+4,FALSE)=" "," ",VLOOKUP('Hide - Control'!A$3,'All practice data'!A:CA,C33+4,FALSE))</f>
        <v>35</v>
      </c>
      <c r="H33" s="122">
        <f>IF(VLOOKUP('Hide - Control'!A$3,'All practice data'!A:CA,C33+30,FALSE)=" "," ",VLOOKUP('Hide - Control'!A$3,'All practice data'!A:CA,C33+30,FALSE))</f>
        <v>964.1873278236915</v>
      </c>
      <c r="I33" s="123">
        <f>IF(LEFT(G33,1)=" "," n/a",IF(G33&lt;5,100000*VLOOKUP(G33,'Hide - Calculation'!AQ:AR,2,FALSE)/$E$8,100000*(G33*(1-1/(9*G33)-1.96/(3*SQRT(G33)))^3)/$E$8))</f>
        <v>671.4887896744088</v>
      </c>
      <c r="J33" s="123">
        <f>IF(LEFT(G33,1)=" "," n/a",IF(G33&lt;5,100000*VLOOKUP(G33,'Hide - Calculation'!AQ:AS,3,FALSE)/$E$8,100000*((G33+1)*(1-1/(9*(G33+1))+1.96/(3*SQRT(G33+1)))^3)/$E$8))</f>
        <v>1340.9992709384044</v>
      </c>
      <c r="K33" s="122">
        <f>IF('Hide - Calculation'!N27="","",'Hide - Calculation'!N27)</f>
        <v>1119.2646001877376</v>
      </c>
      <c r="L33" s="156">
        <f>'Hide - Calculation'!O27</f>
        <v>1059.3522061277838</v>
      </c>
      <c r="M33" s="148">
        <f>IF(ISBLANK('Hide - Calculation'!K27),"",'Hide - Calculation'!U27)</f>
        <v>446.5947265625</v>
      </c>
      <c r="N33" s="86"/>
      <c r="O33" s="87"/>
      <c r="P33" s="87"/>
      <c r="Q33" s="87"/>
      <c r="R33" s="84"/>
      <c r="S33" s="84"/>
      <c r="T33" s="84"/>
      <c r="U33" s="84"/>
      <c r="V33" s="84"/>
      <c r="W33" s="84"/>
      <c r="X33" s="84"/>
      <c r="Y33" s="84"/>
      <c r="Z33" s="88"/>
      <c r="AA33" s="148">
        <f>IF(ISBLANK('Hide - Calculation'!K27),"",'Hide - Calculation'!T27)</f>
        <v>2547.02197265625</v>
      </c>
      <c r="AB33" s="234" t="s">
        <v>47</v>
      </c>
      <c r="AC33" s="131" t="s">
        <v>519</v>
      </c>
    </row>
    <row r="34" spans="2:29" s="63" customFormat="1" ht="33.75" customHeight="1">
      <c r="B34" s="305"/>
      <c r="C34" s="137">
        <v>22</v>
      </c>
      <c r="D34" s="132" t="s">
        <v>352</v>
      </c>
      <c r="E34" s="85"/>
      <c r="F34" s="85"/>
      <c r="G34" s="118">
        <f>IF(VLOOKUP('Hide - Control'!A$3,'All practice data'!A:CA,C34+4,FALSE)=" "," ",VLOOKUP('Hide - Control'!A$3,'All practice data'!A:CA,C34+4,FALSE))</f>
        <v>17</v>
      </c>
      <c r="H34" s="122">
        <f>IF(VLOOKUP('Hide - Control'!A$3,'All practice data'!A:CA,C34+30,FALSE)=" "," ",VLOOKUP('Hide - Control'!A$3,'All practice data'!A:CA,C34+30,FALSE))</f>
        <v>468.3195592286501</v>
      </c>
      <c r="I34" s="123">
        <f>IF(LEFT(G34,1)=" "," n/a",IF(G34&lt;5,100000*VLOOKUP(G34,'Hide - Calculation'!AQ:AR,2,FALSE)/$E$8,100000*(G34*(1-1/(9*G34)-1.96/(3*SQRT(G34)))^3)/$E$8))</f>
        <v>272.65491934371084</v>
      </c>
      <c r="J34" s="123">
        <f>IF(LEFT(G34,1)=" "," n/a",IF(G34&lt;5,100000*VLOOKUP(G34,'Hide - Calculation'!AQ:AS,3,FALSE)/$E$8,100000*((G34+1)*(1-1/(9*(G34+1))+1.96/(3*SQRT(G34+1)))^3)/$E$8))</f>
        <v>749.8708186670772</v>
      </c>
      <c r="K34" s="122">
        <f>IF('Hide - Calculation'!N28="","",'Hide - Calculation'!N28)</f>
        <v>515.3834939164286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1042.3052978515625</v>
      </c>
      <c r="AB34" s="234" t="s">
        <v>47</v>
      </c>
      <c r="AC34" s="131" t="s">
        <v>519</v>
      </c>
    </row>
    <row r="35" spans="2:29" s="63" customFormat="1" ht="33.75" customHeight="1">
      <c r="B35" s="305"/>
      <c r="C35" s="137">
        <v>23</v>
      </c>
      <c r="D35" s="138" t="s">
        <v>479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480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575</v>
      </c>
      <c r="C39" s="244"/>
      <c r="D39" s="244"/>
      <c r="E39" s="303" t="s">
        <v>580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504</v>
      </c>
      <c r="BE2" s="341"/>
      <c r="BF2" s="341"/>
      <c r="BG2" s="341"/>
      <c r="BH2" s="341"/>
      <c r="BI2" s="341"/>
      <c r="BJ2" s="342"/>
    </row>
    <row r="3" spans="1:82" s="72" customFormat="1" ht="76.5" customHeight="1">
      <c r="A3" s="266" t="s">
        <v>276</v>
      </c>
      <c r="B3" s="275" t="s">
        <v>277</v>
      </c>
      <c r="C3" s="276" t="s">
        <v>49</v>
      </c>
      <c r="D3" s="274" t="s">
        <v>489</v>
      </c>
      <c r="E3" s="267" t="s">
        <v>361</v>
      </c>
      <c r="F3" s="267" t="s">
        <v>472</v>
      </c>
      <c r="G3" s="267" t="s">
        <v>363</v>
      </c>
      <c r="H3" s="267" t="s">
        <v>364</v>
      </c>
      <c r="I3" s="267" t="s">
        <v>365</v>
      </c>
      <c r="J3" s="267" t="s">
        <v>513</v>
      </c>
      <c r="K3" s="267" t="s">
        <v>514</v>
      </c>
      <c r="L3" s="267" t="s">
        <v>515</v>
      </c>
      <c r="M3" s="267" t="s">
        <v>366</v>
      </c>
      <c r="N3" s="267" t="s">
        <v>367</v>
      </c>
      <c r="O3" s="267" t="s">
        <v>368</v>
      </c>
      <c r="P3" s="267" t="s">
        <v>503</v>
      </c>
      <c r="Q3" s="267" t="s">
        <v>369</v>
      </c>
      <c r="R3" s="267" t="s">
        <v>370</v>
      </c>
      <c r="S3" s="267" t="s">
        <v>371</v>
      </c>
      <c r="T3" s="267" t="s">
        <v>372</v>
      </c>
      <c r="U3" s="267" t="s">
        <v>373</v>
      </c>
      <c r="V3" s="267" t="s">
        <v>374</v>
      </c>
      <c r="W3" s="267" t="s">
        <v>375</v>
      </c>
      <c r="X3" s="267" t="s">
        <v>376</v>
      </c>
      <c r="Y3" s="267" t="s">
        <v>377</v>
      </c>
      <c r="Z3" s="267" t="s">
        <v>378</v>
      </c>
      <c r="AA3" s="267" t="s">
        <v>379</v>
      </c>
      <c r="AB3" s="267" t="s">
        <v>380</v>
      </c>
      <c r="AC3" s="267" t="s">
        <v>381</v>
      </c>
      <c r="AD3" s="268" t="s">
        <v>382</v>
      </c>
      <c r="AE3" s="268" t="s">
        <v>361</v>
      </c>
      <c r="AF3" s="269" t="s">
        <v>362</v>
      </c>
      <c r="AG3" s="268" t="s">
        <v>363</v>
      </c>
      <c r="AH3" s="268" t="s">
        <v>364</v>
      </c>
      <c r="AI3" s="268" t="s">
        <v>365</v>
      </c>
      <c r="AJ3" s="268" t="s">
        <v>513</v>
      </c>
      <c r="AK3" s="268" t="s">
        <v>514</v>
      </c>
      <c r="AL3" s="268" t="s">
        <v>515</v>
      </c>
      <c r="AM3" s="268" t="s">
        <v>366</v>
      </c>
      <c r="AN3" s="268" t="s">
        <v>367</v>
      </c>
      <c r="AO3" s="268" t="s">
        <v>368</v>
      </c>
      <c r="AP3" s="268" t="s">
        <v>503</v>
      </c>
      <c r="AQ3" s="268" t="s">
        <v>369</v>
      </c>
      <c r="AR3" s="268" t="s">
        <v>370</v>
      </c>
      <c r="AS3" s="268" t="s">
        <v>371</v>
      </c>
      <c r="AT3" s="268" t="s">
        <v>372</v>
      </c>
      <c r="AU3" s="268" t="s">
        <v>373</v>
      </c>
      <c r="AV3" s="268" t="s">
        <v>374</v>
      </c>
      <c r="AW3" s="268" t="s">
        <v>375</v>
      </c>
      <c r="AX3" s="268" t="s">
        <v>376</v>
      </c>
      <c r="AY3" s="270" t="s">
        <v>377</v>
      </c>
      <c r="AZ3" s="271" t="s">
        <v>378</v>
      </c>
      <c r="BA3" s="271" t="s">
        <v>379</v>
      </c>
      <c r="BB3" s="271" t="s">
        <v>380</v>
      </c>
      <c r="BC3" s="272" t="s">
        <v>381</v>
      </c>
      <c r="BD3" s="273" t="s">
        <v>501</v>
      </c>
      <c r="BE3" s="273" t="s">
        <v>502</v>
      </c>
      <c r="BF3" s="273" t="s">
        <v>509</v>
      </c>
      <c r="BG3" s="273" t="s">
        <v>510</v>
      </c>
      <c r="BH3" s="273" t="s">
        <v>508</v>
      </c>
      <c r="BI3" s="273" t="s">
        <v>511</v>
      </c>
      <c r="BJ3" s="273" t="s">
        <v>512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316</v>
      </c>
      <c r="C4" s="79" t="s">
        <v>156</v>
      </c>
      <c r="D4" s="99">
        <v>3630</v>
      </c>
      <c r="E4" s="99">
        <v>361</v>
      </c>
      <c r="F4" s="99" t="s">
        <v>359</v>
      </c>
      <c r="G4" s="99">
        <v>12</v>
      </c>
      <c r="H4" s="99" t="s">
        <v>579</v>
      </c>
      <c r="I4" s="99">
        <v>45</v>
      </c>
      <c r="J4" s="99">
        <v>200</v>
      </c>
      <c r="K4" s="99">
        <v>196</v>
      </c>
      <c r="L4" s="99">
        <v>693</v>
      </c>
      <c r="M4" s="99">
        <v>127</v>
      </c>
      <c r="N4" s="99">
        <v>66</v>
      </c>
      <c r="O4" s="99">
        <v>27</v>
      </c>
      <c r="P4" s="159">
        <v>27</v>
      </c>
      <c r="Q4" s="99" t="s">
        <v>579</v>
      </c>
      <c r="R4" s="99">
        <v>7</v>
      </c>
      <c r="S4" s="99">
        <v>8</v>
      </c>
      <c r="T4" s="99" t="s">
        <v>579</v>
      </c>
      <c r="U4" s="99" t="s">
        <v>579</v>
      </c>
      <c r="V4" s="99" t="s">
        <v>579</v>
      </c>
      <c r="W4" s="99">
        <v>21</v>
      </c>
      <c r="X4" s="99">
        <v>18</v>
      </c>
      <c r="Y4" s="99">
        <v>35</v>
      </c>
      <c r="Z4" s="99">
        <v>17</v>
      </c>
      <c r="AA4" s="99" t="s">
        <v>579</v>
      </c>
      <c r="AB4" s="99" t="s">
        <v>579</v>
      </c>
      <c r="AC4" s="99" t="s">
        <v>579</v>
      </c>
      <c r="AD4" s="98" t="s">
        <v>336</v>
      </c>
      <c r="AE4" s="100">
        <v>0.09944903581267217</v>
      </c>
      <c r="AF4" s="100">
        <v>0.16</v>
      </c>
      <c r="AG4" s="98">
        <v>330.57851239669424</v>
      </c>
      <c r="AH4" s="98" t="s">
        <v>579</v>
      </c>
      <c r="AI4" s="100">
        <v>0.012</v>
      </c>
      <c r="AJ4" s="100">
        <v>0.706714</v>
      </c>
      <c r="AK4" s="100">
        <v>0.712727</v>
      </c>
      <c r="AL4" s="100">
        <v>0.714433</v>
      </c>
      <c r="AM4" s="100">
        <v>0.479245</v>
      </c>
      <c r="AN4" s="100">
        <v>0.478261</v>
      </c>
      <c r="AO4" s="98">
        <v>743.801652892562</v>
      </c>
      <c r="AP4" s="158">
        <v>0.5072727585</v>
      </c>
      <c r="AQ4" s="100" t="s">
        <v>579</v>
      </c>
      <c r="AR4" s="100" t="s">
        <v>579</v>
      </c>
      <c r="AS4" s="98">
        <v>220.38567493112947</v>
      </c>
      <c r="AT4" s="98" t="s">
        <v>579</v>
      </c>
      <c r="AU4" s="98" t="s">
        <v>579</v>
      </c>
      <c r="AV4" s="98" t="s">
        <v>579</v>
      </c>
      <c r="AW4" s="98">
        <v>578.5123966942149</v>
      </c>
      <c r="AX4" s="98">
        <v>495.8677685950413</v>
      </c>
      <c r="AY4" s="98">
        <v>964.1873278236915</v>
      </c>
      <c r="AZ4" s="98">
        <v>468.3195592286501</v>
      </c>
      <c r="BA4" s="100" t="s">
        <v>579</v>
      </c>
      <c r="BB4" s="100" t="s">
        <v>579</v>
      </c>
      <c r="BC4" s="100" t="s">
        <v>579</v>
      </c>
      <c r="BD4" s="158">
        <v>0.3342959595</v>
      </c>
      <c r="BE4" s="158">
        <v>0.7380551909999999</v>
      </c>
      <c r="BF4" s="162">
        <v>283</v>
      </c>
      <c r="BG4" s="162">
        <v>275</v>
      </c>
      <c r="BH4" s="162">
        <v>970</v>
      </c>
      <c r="BI4" s="162">
        <v>265</v>
      </c>
      <c r="BJ4" s="162">
        <v>138</v>
      </c>
      <c r="BK4" s="97"/>
      <c r="BL4" s="97"/>
      <c r="BM4" s="97"/>
      <c r="BN4" s="97"/>
    </row>
    <row r="5" spans="1:66" ht="12.75">
      <c r="A5" s="79" t="s">
        <v>554</v>
      </c>
      <c r="B5" s="79" t="s">
        <v>318</v>
      </c>
      <c r="C5" s="79" t="s">
        <v>156</v>
      </c>
      <c r="D5" s="99">
        <v>1934</v>
      </c>
      <c r="E5" s="99">
        <v>413</v>
      </c>
      <c r="F5" s="99" t="s">
        <v>358</v>
      </c>
      <c r="G5" s="99">
        <v>13</v>
      </c>
      <c r="H5" s="99" t="s">
        <v>579</v>
      </c>
      <c r="I5" s="99">
        <v>35</v>
      </c>
      <c r="J5" s="99">
        <v>171</v>
      </c>
      <c r="K5" s="99" t="s">
        <v>579</v>
      </c>
      <c r="L5" s="99">
        <v>350</v>
      </c>
      <c r="M5" s="99">
        <v>127</v>
      </c>
      <c r="N5" s="99">
        <v>67</v>
      </c>
      <c r="O5" s="99">
        <v>16</v>
      </c>
      <c r="P5" s="159">
        <v>16</v>
      </c>
      <c r="Q5" s="99" t="s">
        <v>579</v>
      </c>
      <c r="R5" s="99">
        <v>7</v>
      </c>
      <c r="S5" s="99" t="s">
        <v>579</v>
      </c>
      <c r="T5" s="99" t="s">
        <v>579</v>
      </c>
      <c r="U5" s="99" t="s">
        <v>579</v>
      </c>
      <c r="V5" s="99" t="s">
        <v>579</v>
      </c>
      <c r="W5" s="99">
        <v>17</v>
      </c>
      <c r="X5" s="99">
        <v>6</v>
      </c>
      <c r="Y5" s="99">
        <v>19</v>
      </c>
      <c r="Z5" s="99">
        <v>10</v>
      </c>
      <c r="AA5" s="99" t="s">
        <v>579</v>
      </c>
      <c r="AB5" s="99" t="s">
        <v>579</v>
      </c>
      <c r="AC5" s="99" t="s">
        <v>579</v>
      </c>
      <c r="AD5" s="98" t="s">
        <v>336</v>
      </c>
      <c r="AE5" s="100">
        <v>0.21354705274043434</v>
      </c>
      <c r="AF5" s="100">
        <v>0.12</v>
      </c>
      <c r="AG5" s="98">
        <v>672.1820062047569</v>
      </c>
      <c r="AH5" s="98" t="s">
        <v>579</v>
      </c>
      <c r="AI5" s="100">
        <v>0.018000000000000002</v>
      </c>
      <c r="AJ5" s="100">
        <v>0.681275</v>
      </c>
      <c r="AK5" s="100" t="s">
        <v>579</v>
      </c>
      <c r="AL5" s="100">
        <v>0.777778</v>
      </c>
      <c r="AM5" s="100">
        <v>0.505976</v>
      </c>
      <c r="AN5" s="100">
        <v>0.544715</v>
      </c>
      <c r="AO5" s="98">
        <v>827.300930713547</v>
      </c>
      <c r="AP5" s="158">
        <v>0.3920685577</v>
      </c>
      <c r="AQ5" s="100" t="s">
        <v>579</v>
      </c>
      <c r="AR5" s="100" t="s">
        <v>579</v>
      </c>
      <c r="AS5" s="98" t="s">
        <v>579</v>
      </c>
      <c r="AT5" s="98" t="s">
        <v>579</v>
      </c>
      <c r="AU5" s="98" t="s">
        <v>579</v>
      </c>
      <c r="AV5" s="98" t="s">
        <v>579</v>
      </c>
      <c r="AW5" s="98">
        <v>879.0072388831437</v>
      </c>
      <c r="AX5" s="98">
        <v>310.2378490175801</v>
      </c>
      <c r="AY5" s="98">
        <v>982.4198552223371</v>
      </c>
      <c r="AZ5" s="98">
        <v>517.063081695967</v>
      </c>
      <c r="BA5" s="100" t="s">
        <v>579</v>
      </c>
      <c r="BB5" s="100" t="s">
        <v>579</v>
      </c>
      <c r="BC5" s="100" t="s">
        <v>579</v>
      </c>
      <c r="BD5" s="158">
        <v>0.2241010666</v>
      </c>
      <c r="BE5" s="158">
        <v>0.6366947936999999</v>
      </c>
      <c r="BF5" s="162">
        <v>251</v>
      </c>
      <c r="BG5" s="162" t="s">
        <v>579</v>
      </c>
      <c r="BH5" s="162">
        <v>450</v>
      </c>
      <c r="BI5" s="162">
        <v>251</v>
      </c>
      <c r="BJ5" s="162">
        <v>123</v>
      </c>
      <c r="BK5" s="97"/>
      <c r="BL5" s="97"/>
      <c r="BM5" s="97"/>
      <c r="BN5" s="97"/>
    </row>
    <row r="6" spans="1:66" ht="12.75">
      <c r="A6" s="79" t="s">
        <v>564</v>
      </c>
      <c r="B6" s="79" t="s">
        <v>328</v>
      </c>
      <c r="C6" s="79" t="s">
        <v>156</v>
      </c>
      <c r="D6" s="99">
        <v>5490</v>
      </c>
      <c r="E6" s="99">
        <v>470</v>
      </c>
      <c r="F6" s="99" t="s">
        <v>358</v>
      </c>
      <c r="G6" s="99" t="s">
        <v>579</v>
      </c>
      <c r="H6" s="99" t="s">
        <v>579</v>
      </c>
      <c r="I6" s="99">
        <v>42</v>
      </c>
      <c r="J6" s="99">
        <v>253</v>
      </c>
      <c r="K6" s="99">
        <v>253</v>
      </c>
      <c r="L6" s="99">
        <v>1151</v>
      </c>
      <c r="M6" s="99">
        <v>112</v>
      </c>
      <c r="N6" s="99">
        <v>65</v>
      </c>
      <c r="O6" s="99">
        <v>33</v>
      </c>
      <c r="P6" s="159">
        <v>33</v>
      </c>
      <c r="Q6" s="99" t="s">
        <v>579</v>
      </c>
      <c r="R6" s="99">
        <v>11</v>
      </c>
      <c r="S6" s="99">
        <v>8</v>
      </c>
      <c r="T6" s="99" t="s">
        <v>579</v>
      </c>
      <c r="U6" s="99" t="s">
        <v>579</v>
      </c>
      <c r="V6" s="99" t="s">
        <v>579</v>
      </c>
      <c r="W6" s="99">
        <v>22</v>
      </c>
      <c r="X6" s="99">
        <v>6</v>
      </c>
      <c r="Y6" s="99">
        <v>49</v>
      </c>
      <c r="Z6" s="99" t="s">
        <v>579</v>
      </c>
      <c r="AA6" s="99" t="s">
        <v>579</v>
      </c>
      <c r="AB6" s="99" t="s">
        <v>579</v>
      </c>
      <c r="AC6" s="99" t="s">
        <v>579</v>
      </c>
      <c r="AD6" s="98" t="s">
        <v>336</v>
      </c>
      <c r="AE6" s="100">
        <v>0.08561020036429873</v>
      </c>
      <c r="AF6" s="100">
        <v>0.09</v>
      </c>
      <c r="AG6" s="98" t="s">
        <v>579</v>
      </c>
      <c r="AH6" s="98" t="s">
        <v>579</v>
      </c>
      <c r="AI6" s="100">
        <v>0.008</v>
      </c>
      <c r="AJ6" s="100">
        <v>0.606715</v>
      </c>
      <c r="AK6" s="100">
        <v>0.621622</v>
      </c>
      <c r="AL6" s="100">
        <v>0.761243</v>
      </c>
      <c r="AM6" s="100">
        <v>0.306011</v>
      </c>
      <c r="AN6" s="100">
        <v>0.328283</v>
      </c>
      <c r="AO6" s="98">
        <v>601.0928961748634</v>
      </c>
      <c r="AP6" s="158">
        <v>0.4265629959</v>
      </c>
      <c r="AQ6" s="100" t="s">
        <v>579</v>
      </c>
      <c r="AR6" s="100" t="s">
        <v>579</v>
      </c>
      <c r="AS6" s="98">
        <v>145.71948998178507</v>
      </c>
      <c r="AT6" s="98" t="s">
        <v>579</v>
      </c>
      <c r="AU6" s="98" t="s">
        <v>579</v>
      </c>
      <c r="AV6" s="98" t="s">
        <v>579</v>
      </c>
      <c r="AW6" s="98">
        <v>400.72859744990893</v>
      </c>
      <c r="AX6" s="98">
        <v>109.2896174863388</v>
      </c>
      <c r="AY6" s="98">
        <v>892.5318761384335</v>
      </c>
      <c r="AZ6" s="98" t="s">
        <v>579</v>
      </c>
      <c r="BA6" s="100" t="s">
        <v>579</v>
      </c>
      <c r="BB6" s="100" t="s">
        <v>579</v>
      </c>
      <c r="BC6" s="100" t="s">
        <v>579</v>
      </c>
      <c r="BD6" s="158">
        <v>0.29362634660000003</v>
      </c>
      <c r="BE6" s="158">
        <v>0.5990530396</v>
      </c>
      <c r="BF6" s="162">
        <v>417</v>
      </c>
      <c r="BG6" s="162">
        <v>407</v>
      </c>
      <c r="BH6" s="162">
        <v>1512</v>
      </c>
      <c r="BI6" s="162">
        <v>366</v>
      </c>
      <c r="BJ6" s="162">
        <v>198</v>
      </c>
      <c r="BK6" s="97"/>
      <c r="BL6" s="97"/>
      <c r="BM6" s="97"/>
      <c r="BN6" s="97"/>
    </row>
    <row r="7" spans="1:66" ht="12.75">
      <c r="A7" s="79" t="s">
        <v>567</v>
      </c>
      <c r="B7" s="79" t="s">
        <v>331</v>
      </c>
      <c r="C7" s="79" t="s">
        <v>156</v>
      </c>
      <c r="D7" s="99">
        <v>3928</v>
      </c>
      <c r="E7" s="99">
        <v>491</v>
      </c>
      <c r="F7" s="99" t="s">
        <v>358</v>
      </c>
      <c r="G7" s="99">
        <v>21</v>
      </c>
      <c r="H7" s="99">
        <v>9</v>
      </c>
      <c r="I7" s="99">
        <v>57</v>
      </c>
      <c r="J7" s="99">
        <v>305</v>
      </c>
      <c r="K7" s="99" t="s">
        <v>579</v>
      </c>
      <c r="L7" s="99">
        <v>803</v>
      </c>
      <c r="M7" s="99">
        <v>157</v>
      </c>
      <c r="N7" s="99">
        <v>89</v>
      </c>
      <c r="O7" s="99">
        <v>56</v>
      </c>
      <c r="P7" s="159">
        <v>56</v>
      </c>
      <c r="Q7" s="99">
        <v>10</v>
      </c>
      <c r="R7" s="99">
        <v>18</v>
      </c>
      <c r="S7" s="99">
        <v>10</v>
      </c>
      <c r="T7" s="99">
        <v>12</v>
      </c>
      <c r="U7" s="99" t="s">
        <v>579</v>
      </c>
      <c r="V7" s="99">
        <v>9</v>
      </c>
      <c r="W7" s="99">
        <v>35</v>
      </c>
      <c r="X7" s="99" t="s">
        <v>579</v>
      </c>
      <c r="Y7" s="99">
        <v>31</v>
      </c>
      <c r="Z7" s="99">
        <v>32</v>
      </c>
      <c r="AA7" s="99" t="s">
        <v>579</v>
      </c>
      <c r="AB7" s="99" t="s">
        <v>579</v>
      </c>
      <c r="AC7" s="99" t="s">
        <v>579</v>
      </c>
      <c r="AD7" s="98" t="s">
        <v>336</v>
      </c>
      <c r="AE7" s="100">
        <v>0.125</v>
      </c>
      <c r="AF7" s="100">
        <v>0.11</v>
      </c>
      <c r="AG7" s="98">
        <v>534.623217922607</v>
      </c>
      <c r="AH7" s="98">
        <v>229.1242362525458</v>
      </c>
      <c r="AI7" s="100">
        <v>0.015</v>
      </c>
      <c r="AJ7" s="100">
        <v>0.69161</v>
      </c>
      <c r="AK7" s="100" t="s">
        <v>579</v>
      </c>
      <c r="AL7" s="100">
        <v>0.772859</v>
      </c>
      <c r="AM7" s="100">
        <v>0.438547</v>
      </c>
      <c r="AN7" s="100">
        <v>0.473404</v>
      </c>
      <c r="AO7" s="98">
        <v>1425.661914460285</v>
      </c>
      <c r="AP7" s="158">
        <v>0.8398735809</v>
      </c>
      <c r="AQ7" s="100">
        <v>0.17857142857142858</v>
      </c>
      <c r="AR7" s="100">
        <v>0.5555555555555556</v>
      </c>
      <c r="AS7" s="98">
        <v>254.5824847250509</v>
      </c>
      <c r="AT7" s="98">
        <v>305.4989816700611</v>
      </c>
      <c r="AU7" s="98" t="s">
        <v>579</v>
      </c>
      <c r="AV7" s="98">
        <v>229.1242362525458</v>
      </c>
      <c r="AW7" s="98">
        <v>891.0386965376782</v>
      </c>
      <c r="AX7" s="98" t="s">
        <v>579</v>
      </c>
      <c r="AY7" s="98">
        <v>789.2057026476579</v>
      </c>
      <c r="AZ7" s="98">
        <v>814.6639511201629</v>
      </c>
      <c r="BA7" s="100" t="s">
        <v>579</v>
      </c>
      <c r="BB7" s="100" t="s">
        <v>579</v>
      </c>
      <c r="BC7" s="100" t="s">
        <v>579</v>
      </c>
      <c r="BD7" s="158">
        <v>0.6344314957</v>
      </c>
      <c r="BE7" s="158">
        <v>1.090645676</v>
      </c>
      <c r="BF7" s="162">
        <v>441</v>
      </c>
      <c r="BG7" s="162" t="s">
        <v>579</v>
      </c>
      <c r="BH7" s="162">
        <v>1039</v>
      </c>
      <c r="BI7" s="162">
        <v>358</v>
      </c>
      <c r="BJ7" s="162">
        <v>188</v>
      </c>
      <c r="BK7" s="97"/>
      <c r="BL7" s="97"/>
      <c r="BM7" s="97"/>
      <c r="BN7" s="97"/>
    </row>
    <row r="8" spans="1:66" ht="12.75">
      <c r="A8" s="79" t="s">
        <v>583</v>
      </c>
      <c r="B8" s="79" t="s">
        <v>296</v>
      </c>
      <c r="C8" s="79" t="s">
        <v>156</v>
      </c>
      <c r="D8" s="99">
        <v>11058</v>
      </c>
      <c r="E8" s="99">
        <v>1654</v>
      </c>
      <c r="F8" s="99" t="s">
        <v>358</v>
      </c>
      <c r="G8" s="99">
        <v>54</v>
      </c>
      <c r="H8" s="99">
        <v>37</v>
      </c>
      <c r="I8" s="99">
        <v>145</v>
      </c>
      <c r="J8" s="99">
        <v>756</v>
      </c>
      <c r="K8" s="99">
        <v>15</v>
      </c>
      <c r="L8" s="99">
        <v>2092</v>
      </c>
      <c r="M8" s="99">
        <v>471</v>
      </c>
      <c r="N8" s="99">
        <v>238</v>
      </c>
      <c r="O8" s="99">
        <v>109</v>
      </c>
      <c r="P8" s="159">
        <v>109</v>
      </c>
      <c r="Q8" s="99">
        <v>15</v>
      </c>
      <c r="R8" s="99">
        <v>47</v>
      </c>
      <c r="S8" s="99">
        <v>37</v>
      </c>
      <c r="T8" s="99">
        <v>17</v>
      </c>
      <c r="U8" s="99">
        <v>11</v>
      </c>
      <c r="V8" s="99">
        <v>15</v>
      </c>
      <c r="W8" s="99">
        <v>84</v>
      </c>
      <c r="X8" s="99">
        <v>31</v>
      </c>
      <c r="Y8" s="99">
        <v>120</v>
      </c>
      <c r="Z8" s="99">
        <v>74</v>
      </c>
      <c r="AA8" s="99" t="s">
        <v>579</v>
      </c>
      <c r="AB8" s="99" t="s">
        <v>579</v>
      </c>
      <c r="AC8" s="99" t="s">
        <v>579</v>
      </c>
      <c r="AD8" s="98" t="s">
        <v>336</v>
      </c>
      <c r="AE8" s="100">
        <v>0.14957496834870682</v>
      </c>
      <c r="AF8" s="100">
        <v>0.11</v>
      </c>
      <c r="AG8" s="98">
        <v>488.33423765599565</v>
      </c>
      <c r="AH8" s="98">
        <v>334.5993850605896</v>
      </c>
      <c r="AI8" s="100">
        <v>0.013000000000000001</v>
      </c>
      <c r="AJ8" s="100">
        <v>0.68231</v>
      </c>
      <c r="AK8" s="100">
        <v>0.6</v>
      </c>
      <c r="AL8" s="100">
        <v>0.713506</v>
      </c>
      <c r="AM8" s="100">
        <v>0.510293</v>
      </c>
      <c r="AN8" s="100">
        <v>0.497908</v>
      </c>
      <c r="AO8" s="98">
        <v>985.7117019352505</v>
      </c>
      <c r="AP8" s="158">
        <v>0.5624872971</v>
      </c>
      <c r="AQ8" s="100">
        <v>0.13761467889908258</v>
      </c>
      <c r="AR8" s="100">
        <v>0.3191489361702128</v>
      </c>
      <c r="AS8" s="98">
        <v>334.5993850605896</v>
      </c>
      <c r="AT8" s="98">
        <v>153.73485259540604</v>
      </c>
      <c r="AU8" s="98">
        <v>99.47549285585097</v>
      </c>
      <c r="AV8" s="98">
        <v>135.6483993488877</v>
      </c>
      <c r="AW8" s="98">
        <v>759.631036353771</v>
      </c>
      <c r="AX8" s="98">
        <v>280.34002532103455</v>
      </c>
      <c r="AY8" s="98">
        <v>1085.1871947911015</v>
      </c>
      <c r="AZ8" s="98">
        <v>669.1987701211792</v>
      </c>
      <c r="BA8" s="100" t="s">
        <v>579</v>
      </c>
      <c r="BB8" s="100" t="s">
        <v>579</v>
      </c>
      <c r="BC8" s="100" t="s">
        <v>579</v>
      </c>
      <c r="BD8" s="158">
        <v>0.4618605804</v>
      </c>
      <c r="BE8" s="158">
        <v>0.6785270690999999</v>
      </c>
      <c r="BF8" s="162">
        <v>1108</v>
      </c>
      <c r="BG8" s="162">
        <v>25</v>
      </c>
      <c r="BH8" s="162">
        <v>2932</v>
      </c>
      <c r="BI8" s="162">
        <v>923</v>
      </c>
      <c r="BJ8" s="162">
        <v>478</v>
      </c>
      <c r="BK8" s="97"/>
      <c r="BL8" s="97"/>
      <c r="BM8" s="97"/>
      <c r="BN8" s="97"/>
    </row>
    <row r="9" spans="1:66" ht="12.75">
      <c r="A9" s="79" t="s">
        <v>527</v>
      </c>
      <c r="B9" s="79" t="s">
        <v>288</v>
      </c>
      <c r="C9" s="79" t="s">
        <v>156</v>
      </c>
      <c r="D9" s="99">
        <v>3988</v>
      </c>
      <c r="E9" s="99">
        <v>739</v>
      </c>
      <c r="F9" s="99" t="s">
        <v>356</v>
      </c>
      <c r="G9" s="99">
        <v>19</v>
      </c>
      <c r="H9" s="99">
        <v>12</v>
      </c>
      <c r="I9" s="99">
        <v>63</v>
      </c>
      <c r="J9" s="99">
        <v>304</v>
      </c>
      <c r="K9" s="99">
        <v>276</v>
      </c>
      <c r="L9" s="99">
        <v>755</v>
      </c>
      <c r="M9" s="99">
        <v>126</v>
      </c>
      <c r="N9" s="99">
        <v>77</v>
      </c>
      <c r="O9" s="99">
        <v>73</v>
      </c>
      <c r="P9" s="159">
        <v>73</v>
      </c>
      <c r="Q9" s="99">
        <v>10</v>
      </c>
      <c r="R9" s="99">
        <v>19</v>
      </c>
      <c r="S9" s="99">
        <v>25</v>
      </c>
      <c r="T9" s="99">
        <v>7</v>
      </c>
      <c r="U9" s="99" t="s">
        <v>579</v>
      </c>
      <c r="V9" s="99">
        <v>10</v>
      </c>
      <c r="W9" s="99">
        <v>27</v>
      </c>
      <c r="X9" s="99">
        <v>15</v>
      </c>
      <c r="Y9" s="99">
        <v>72</v>
      </c>
      <c r="Z9" s="99">
        <v>25</v>
      </c>
      <c r="AA9" s="99" t="s">
        <v>579</v>
      </c>
      <c r="AB9" s="99" t="s">
        <v>579</v>
      </c>
      <c r="AC9" s="99" t="s">
        <v>579</v>
      </c>
      <c r="AD9" s="98" t="s">
        <v>336</v>
      </c>
      <c r="AE9" s="100">
        <v>0.18530591775325977</v>
      </c>
      <c r="AF9" s="100">
        <v>0.21</v>
      </c>
      <c r="AG9" s="98">
        <v>476.4292878635908</v>
      </c>
      <c r="AH9" s="98">
        <v>300.90270812437313</v>
      </c>
      <c r="AI9" s="100">
        <v>0.016</v>
      </c>
      <c r="AJ9" s="100">
        <v>0.703704</v>
      </c>
      <c r="AK9" s="100">
        <v>0.674817</v>
      </c>
      <c r="AL9" s="100">
        <v>0.753493</v>
      </c>
      <c r="AM9" s="100">
        <v>0.377246</v>
      </c>
      <c r="AN9" s="100">
        <v>0.413978</v>
      </c>
      <c r="AO9" s="98">
        <v>1830.49147442327</v>
      </c>
      <c r="AP9" s="158">
        <v>0.9346983337</v>
      </c>
      <c r="AQ9" s="100">
        <v>0.136986301369863</v>
      </c>
      <c r="AR9" s="100">
        <v>0.5263157894736842</v>
      </c>
      <c r="AS9" s="98">
        <v>626.8806419257774</v>
      </c>
      <c r="AT9" s="98">
        <v>175.52657973921765</v>
      </c>
      <c r="AU9" s="98" t="s">
        <v>579</v>
      </c>
      <c r="AV9" s="98">
        <v>250.75225677031094</v>
      </c>
      <c r="AW9" s="98">
        <v>677.0310932798395</v>
      </c>
      <c r="AX9" s="98">
        <v>376.1283851554664</v>
      </c>
      <c r="AY9" s="98">
        <v>1805.4162487462388</v>
      </c>
      <c r="AZ9" s="98">
        <v>626.8806419257774</v>
      </c>
      <c r="BA9" s="100" t="s">
        <v>579</v>
      </c>
      <c r="BB9" s="100" t="s">
        <v>579</v>
      </c>
      <c r="BC9" s="100" t="s">
        <v>579</v>
      </c>
      <c r="BD9" s="158">
        <v>0.7326542664</v>
      </c>
      <c r="BE9" s="158">
        <v>1.175242844</v>
      </c>
      <c r="BF9" s="162">
        <v>432</v>
      </c>
      <c r="BG9" s="162">
        <v>409</v>
      </c>
      <c r="BH9" s="162">
        <v>1002</v>
      </c>
      <c r="BI9" s="162">
        <v>334</v>
      </c>
      <c r="BJ9" s="162">
        <v>186</v>
      </c>
      <c r="BK9" s="97"/>
      <c r="BL9" s="97"/>
      <c r="BM9" s="97"/>
      <c r="BN9" s="97"/>
    </row>
    <row r="10" spans="1:66" ht="12.75">
      <c r="A10" s="79" t="s">
        <v>522</v>
      </c>
      <c r="B10" s="79" t="s">
        <v>282</v>
      </c>
      <c r="C10" s="79" t="s">
        <v>156</v>
      </c>
      <c r="D10" s="99">
        <v>8205</v>
      </c>
      <c r="E10" s="99">
        <v>1395</v>
      </c>
      <c r="F10" s="99" t="s">
        <v>360</v>
      </c>
      <c r="G10" s="99">
        <v>30</v>
      </c>
      <c r="H10" s="99">
        <v>13</v>
      </c>
      <c r="I10" s="99">
        <v>152</v>
      </c>
      <c r="J10" s="99">
        <v>681</v>
      </c>
      <c r="K10" s="99">
        <v>651</v>
      </c>
      <c r="L10" s="99">
        <v>1587</v>
      </c>
      <c r="M10" s="99">
        <v>408</v>
      </c>
      <c r="N10" s="99">
        <v>213</v>
      </c>
      <c r="O10" s="99">
        <v>111</v>
      </c>
      <c r="P10" s="159">
        <v>111</v>
      </c>
      <c r="Q10" s="99">
        <v>12</v>
      </c>
      <c r="R10" s="99">
        <v>27</v>
      </c>
      <c r="S10" s="99">
        <v>35</v>
      </c>
      <c r="T10" s="99">
        <v>21</v>
      </c>
      <c r="U10" s="99" t="s">
        <v>579</v>
      </c>
      <c r="V10" s="99">
        <v>17</v>
      </c>
      <c r="W10" s="99">
        <v>68</v>
      </c>
      <c r="X10" s="99">
        <v>16</v>
      </c>
      <c r="Y10" s="99">
        <v>116</v>
      </c>
      <c r="Z10" s="99">
        <v>22</v>
      </c>
      <c r="AA10" s="99" t="s">
        <v>579</v>
      </c>
      <c r="AB10" s="99" t="s">
        <v>579</v>
      </c>
      <c r="AC10" s="99" t="s">
        <v>579</v>
      </c>
      <c r="AD10" s="98" t="s">
        <v>336</v>
      </c>
      <c r="AE10" s="100">
        <v>0.170018281535649</v>
      </c>
      <c r="AF10" s="100">
        <v>0.08</v>
      </c>
      <c r="AG10" s="98">
        <v>365.6307129798903</v>
      </c>
      <c r="AH10" s="98">
        <v>158.43997562461914</v>
      </c>
      <c r="AI10" s="100">
        <v>0.019</v>
      </c>
      <c r="AJ10" s="100">
        <v>0.756667</v>
      </c>
      <c r="AK10" s="100">
        <v>0.744</v>
      </c>
      <c r="AL10" s="100">
        <v>0.766667</v>
      </c>
      <c r="AM10" s="100">
        <v>0.519084</v>
      </c>
      <c r="AN10" s="100">
        <v>0.529851</v>
      </c>
      <c r="AO10" s="98">
        <v>1352.8336380255942</v>
      </c>
      <c r="AP10" s="158">
        <v>0.7296145629999999</v>
      </c>
      <c r="AQ10" s="100">
        <v>0.10810810810810811</v>
      </c>
      <c r="AR10" s="100">
        <v>0.4444444444444444</v>
      </c>
      <c r="AS10" s="98">
        <v>426.56916514320534</v>
      </c>
      <c r="AT10" s="98">
        <v>255.94149908592323</v>
      </c>
      <c r="AU10" s="98" t="s">
        <v>579</v>
      </c>
      <c r="AV10" s="98">
        <v>207.19073735527118</v>
      </c>
      <c r="AW10" s="98">
        <v>828.7629494210847</v>
      </c>
      <c r="AX10" s="98">
        <v>195.00304692260818</v>
      </c>
      <c r="AY10" s="98">
        <v>1413.7720901889093</v>
      </c>
      <c r="AZ10" s="98">
        <v>268.1291895185862</v>
      </c>
      <c r="BA10" s="100" t="s">
        <v>579</v>
      </c>
      <c r="BB10" s="100" t="s">
        <v>579</v>
      </c>
      <c r="BC10" s="100" t="s">
        <v>579</v>
      </c>
      <c r="BD10" s="158">
        <v>0.6002120209</v>
      </c>
      <c r="BE10" s="158">
        <v>0.8786441039999999</v>
      </c>
      <c r="BF10" s="162">
        <v>900</v>
      </c>
      <c r="BG10" s="162">
        <v>875</v>
      </c>
      <c r="BH10" s="162">
        <v>2070</v>
      </c>
      <c r="BI10" s="162">
        <v>786</v>
      </c>
      <c r="BJ10" s="162">
        <v>402</v>
      </c>
      <c r="BK10" s="97"/>
      <c r="BL10" s="97"/>
      <c r="BM10" s="97"/>
      <c r="BN10" s="97"/>
    </row>
    <row r="11" spans="1:66" ht="12.75">
      <c r="A11" s="79" t="s">
        <v>535</v>
      </c>
      <c r="B11" s="79" t="s">
        <v>297</v>
      </c>
      <c r="C11" s="79" t="s">
        <v>156</v>
      </c>
      <c r="D11" s="99">
        <v>3262</v>
      </c>
      <c r="E11" s="99">
        <v>578</v>
      </c>
      <c r="F11" s="99" t="s">
        <v>360</v>
      </c>
      <c r="G11" s="99">
        <v>13</v>
      </c>
      <c r="H11" s="99">
        <v>8</v>
      </c>
      <c r="I11" s="99">
        <v>55</v>
      </c>
      <c r="J11" s="99">
        <v>275</v>
      </c>
      <c r="K11" s="99" t="s">
        <v>579</v>
      </c>
      <c r="L11" s="99">
        <v>648</v>
      </c>
      <c r="M11" s="99">
        <v>193</v>
      </c>
      <c r="N11" s="99">
        <v>97</v>
      </c>
      <c r="O11" s="99">
        <v>35</v>
      </c>
      <c r="P11" s="159">
        <v>35</v>
      </c>
      <c r="Q11" s="99" t="s">
        <v>579</v>
      </c>
      <c r="R11" s="99">
        <v>13</v>
      </c>
      <c r="S11" s="99">
        <v>16</v>
      </c>
      <c r="T11" s="99" t="s">
        <v>579</v>
      </c>
      <c r="U11" s="99" t="s">
        <v>579</v>
      </c>
      <c r="V11" s="99" t="s">
        <v>579</v>
      </c>
      <c r="W11" s="99">
        <v>20</v>
      </c>
      <c r="X11" s="99">
        <v>6</v>
      </c>
      <c r="Y11" s="99">
        <v>38</v>
      </c>
      <c r="Z11" s="99">
        <v>34</v>
      </c>
      <c r="AA11" s="99" t="s">
        <v>579</v>
      </c>
      <c r="AB11" s="99" t="s">
        <v>579</v>
      </c>
      <c r="AC11" s="99" t="s">
        <v>579</v>
      </c>
      <c r="AD11" s="98" t="s">
        <v>336</v>
      </c>
      <c r="AE11" s="100">
        <v>0.1771919068056407</v>
      </c>
      <c r="AF11" s="100">
        <v>0.07</v>
      </c>
      <c r="AG11" s="98">
        <v>398.52851011649295</v>
      </c>
      <c r="AH11" s="98">
        <v>245.2483139178418</v>
      </c>
      <c r="AI11" s="100">
        <v>0.017</v>
      </c>
      <c r="AJ11" s="100">
        <v>0.670732</v>
      </c>
      <c r="AK11" s="100" t="s">
        <v>579</v>
      </c>
      <c r="AL11" s="100">
        <v>0.795092</v>
      </c>
      <c r="AM11" s="100">
        <v>0.507895</v>
      </c>
      <c r="AN11" s="100">
        <v>0.477833</v>
      </c>
      <c r="AO11" s="98">
        <v>1072.961373390558</v>
      </c>
      <c r="AP11" s="158">
        <v>0.5543068314</v>
      </c>
      <c r="AQ11" s="100" t="s">
        <v>579</v>
      </c>
      <c r="AR11" s="100" t="s">
        <v>579</v>
      </c>
      <c r="AS11" s="98">
        <v>490.4966278356836</v>
      </c>
      <c r="AT11" s="98" t="s">
        <v>579</v>
      </c>
      <c r="AU11" s="98" t="s">
        <v>579</v>
      </c>
      <c r="AV11" s="98" t="s">
        <v>579</v>
      </c>
      <c r="AW11" s="98">
        <v>613.1207847946046</v>
      </c>
      <c r="AX11" s="98">
        <v>183.93623543838137</v>
      </c>
      <c r="AY11" s="98">
        <v>1164.9294911097486</v>
      </c>
      <c r="AZ11" s="98">
        <v>1042.3053341508278</v>
      </c>
      <c r="BA11" s="100" t="s">
        <v>579</v>
      </c>
      <c r="BB11" s="100" t="s">
        <v>579</v>
      </c>
      <c r="BC11" s="100" t="s">
        <v>579</v>
      </c>
      <c r="BD11" s="158">
        <v>0.386095047</v>
      </c>
      <c r="BE11" s="158">
        <v>0.7709066772</v>
      </c>
      <c r="BF11" s="162">
        <v>410</v>
      </c>
      <c r="BG11" s="162" t="s">
        <v>579</v>
      </c>
      <c r="BH11" s="162">
        <v>815</v>
      </c>
      <c r="BI11" s="162">
        <v>380</v>
      </c>
      <c r="BJ11" s="162">
        <v>203</v>
      </c>
      <c r="BK11" s="97"/>
      <c r="BL11" s="97"/>
      <c r="BM11" s="97"/>
      <c r="BN11" s="97"/>
    </row>
    <row r="12" spans="1:66" ht="12.75">
      <c r="A12" s="79" t="s">
        <v>543</v>
      </c>
      <c r="B12" s="79" t="s">
        <v>307</v>
      </c>
      <c r="C12" s="79" t="s">
        <v>156</v>
      </c>
      <c r="D12" s="99">
        <v>8045</v>
      </c>
      <c r="E12" s="99">
        <v>702</v>
      </c>
      <c r="F12" s="99" t="s">
        <v>359</v>
      </c>
      <c r="G12" s="99">
        <v>16</v>
      </c>
      <c r="H12" s="99">
        <v>9</v>
      </c>
      <c r="I12" s="99">
        <v>61</v>
      </c>
      <c r="J12" s="99">
        <v>315</v>
      </c>
      <c r="K12" s="99">
        <v>21</v>
      </c>
      <c r="L12" s="99">
        <v>1351</v>
      </c>
      <c r="M12" s="99">
        <v>172</v>
      </c>
      <c r="N12" s="99">
        <v>101</v>
      </c>
      <c r="O12" s="99">
        <v>70</v>
      </c>
      <c r="P12" s="159">
        <v>70</v>
      </c>
      <c r="Q12" s="99">
        <v>7</v>
      </c>
      <c r="R12" s="99">
        <v>18</v>
      </c>
      <c r="S12" s="99">
        <v>14</v>
      </c>
      <c r="T12" s="99">
        <v>9</v>
      </c>
      <c r="U12" s="99">
        <v>9</v>
      </c>
      <c r="V12" s="99" t="s">
        <v>579</v>
      </c>
      <c r="W12" s="99">
        <v>46</v>
      </c>
      <c r="X12" s="99">
        <v>15</v>
      </c>
      <c r="Y12" s="99">
        <v>93</v>
      </c>
      <c r="Z12" s="99">
        <v>39</v>
      </c>
      <c r="AA12" s="99" t="s">
        <v>579</v>
      </c>
      <c r="AB12" s="99" t="s">
        <v>579</v>
      </c>
      <c r="AC12" s="99" t="s">
        <v>579</v>
      </c>
      <c r="AD12" s="98" t="s">
        <v>336</v>
      </c>
      <c r="AE12" s="100">
        <v>0.0872591671845867</v>
      </c>
      <c r="AF12" s="100">
        <v>0.17</v>
      </c>
      <c r="AG12" s="98">
        <v>198.88129272840274</v>
      </c>
      <c r="AH12" s="98">
        <v>111.87072715972654</v>
      </c>
      <c r="AI12" s="100">
        <v>0.008</v>
      </c>
      <c r="AJ12" s="100">
        <v>0.545927</v>
      </c>
      <c r="AK12" s="100">
        <v>0.75</v>
      </c>
      <c r="AL12" s="100">
        <v>0.698914</v>
      </c>
      <c r="AM12" s="100">
        <v>0.373102</v>
      </c>
      <c r="AN12" s="100">
        <v>0.388462</v>
      </c>
      <c r="AO12" s="98">
        <v>870.105655686762</v>
      </c>
      <c r="AP12" s="158">
        <v>0.6374336243</v>
      </c>
      <c r="AQ12" s="100">
        <v>0.1</v>
      </c>
      <c r="AR12" s="100">
        <v>0.3888888888888889</v>
      </c>
      <c r="AS12" s="98">
        <v>174.0211311373524</v>
      </c>
      <c r="AT12" s="98">
        <v>111.87072715972654</v>
      </c>
      <c r="AU12" s="98">
        <v>111.87072715972654</v>
      </c>
      <c r="AV12" s="98" t="s">
        <v>579</v>
      </c>
      <c r="AW12" s="98">
        <v>571.7837165941579</v>
      </c>
      <c r="AX12" s="98">
        <v>186.45121193287756</v>
      </c>
      <c r="AY12" s="98">
        <v>1155.997513983841</v>
      </c>
      <c r="AZ12" s="98">
        <v>484.77315102548164</v>
      </c>
      <c r="BA12" s="101" t="s">
        <v>579</v>
      </c>
      <c r="BB12" s="101" t="s">
        <v>579</v>
      </c>
      <c r="BC12" s="101" t="s">
        <v>579</v>
      </c>
      <c r="BD12" s="158">
        <v>0.4969107819</v>
      </c>
      <c r="BE12" s="158">
        <v>0.8053590393000001</v>
      </c>
      <c r="BF12" s="162">
        <v>577</v>
      </c>
      <c r="BG12" s="162">
        <v>28</v>
      </c>
      <c r="BH12" s="162">
        <v>1933</v>
      </c>
      <c r="BI12" s="162">
        <v>461</v>
      </c>
      <c r="BJ12" s="162">
        <v>260</v>
      </c>
      <c r="BK12" s="97"/>
      <c r="BL12" s="97"/>
      <c r="BM12" s="97"/>
      <c r="BN12" s="97"/>
    </row>
    <row r="13" spans="1:66" ht="12.75">
      <c r="A13" s="79" t="s">
        <v>553</v>
      </c>
      <c r="B13" s="79" t="s">
        <v>317</v>
      </c>
      <c r="C13" s="79" t="s">
        <v>156</v>
      </c>
      <c r="D13" s="99">
        <v>11913</v>
      </c>
      <c r="E13" s="99">
        <v>1509</v>
      </c>
      <c r="F13" s="99" t="s">
        <v>360</v>
      </c>
      <c r="G13" s="99">
        <v>36</v>
      </c>
      <c r="H13" s="99">
        <v>28</v>
      </c>
      <c r="I13" s="99">
        <v>179</v>
      </c>
      <c r="J13" s="99">
        <v>910</v>
      </c>
      <c r="K13" s="99">
        <v>852</v>
      </c>
      <c r="L13" s="99">
        <v>2427</v>
      </c>
      <c r="M13" s="99">
        <v>473</v>
      </c>
      <c r="N13" s="99">
        <v>253</v>
      </c>
      <c r="O13" s="99">
        <v>211</v>
      </c>
      <c r="P13" s="159">
        <v>211</v>
      </c>
      <c r="Q13" s="99">
        <v>34</v>
      </c>
      <c r="R13" s="99">
        <v>65</v>
      </c>
      <c r="S13" s="99">
        <v>45</v>
      </c>
      <c r="T13" s="99">
        <v>33</v>
      </c>
      <c r="U13" s="99" t="s">
        <v>579</v>
      </c>
      <c r="V13" s="99">
        <v>59</v>
      </c>
      <c r="W13" s="99">
        <v>94</v>
      </c>
      <c r="X13" s="99">
        <v>62</v>
      </c>
      <c r="Y13" s="99">
        <v>143</v>
      </c>
      <c r="Z13" s="99">
        <v>61</v>
      </c>
      <c r="AA13" s="99" t="s">
        <v>579</v>
      </c>
      <c r="AB13" s="99" t="s">
        <v>579</v>
      </c>
      <c r="AC13" s="99" t="s">
        <v>579</v>
      </c>
      <c r="AD13" s="98" t="s">
        <v>336</v>
      </c>
      <c r="AE13" s="100">
        <v>0.1266683455049106</v>
      </c>
      <c r="AF13" s="100">
        <v>0.06</v>
      </c>
      <c r="AG13" s="98">
        <v>302.1908839083354</v>
      </c>
      <c r="AH13" s="98">
        <v>235.03735415092757</v>
      </c>
      <c r="AI13" s="100">
        <v>0.015</v>
      </c>
      <c r="AJ13" s="100">
        <v>0.731511</v>
      </c>
      <c r="AK13" s="100">
        <v>0.725724</v>
      </c>
      <c r="AL13" s="100">
        <v>0.773176</v>
      </c>
      <c r="AM13" s="100">
        <v>0.513015</v>
      </c>
      <c r="AN13" s="100">
        <v>0.520576</v>
      </c>
      <c r="AO13" s="98">
        <v>1771.1743473516326</v>
      </c>
      <c r="AP13" s="158">
        <v>1.048395004</v>
      </c>
      <c r="AQ13" s="100">
        <v>0.16113744075829384</v>
      </c>
      <c r="AR13" s="100">
        <v>0.5230769230769231</v>
      </c>
      <c r="AS13" s="98">
        <v>377.7386048854193</v>
      </c>
      <c r="AT13" s="98">
        <v>277.0083102493075</v>
      </c>
      <c r="AU13" s="98" t="s">
        <v>579</v>
      </c>
      <c r="AV13" s="98">
        <v>495.25728196088306</v>
      </c>
      <c r="AW13" s="98">
        <v>789.0539746495425</v>
      </c>
      <c r="AX13" s="98">
        <v>520.439855619911</v>
      </c>
      <c r="AY13" s="98">
        <v>1200.3693444136657</v>
      </c>
      <c r="AZ13" s="98">
        <v>512.0456644002351</v>
      </c>
      <c r="BA13" s="100" t="s">
        <v>579</v>
      </c>
      <c r="BB13" s="100" t="s">
        <v>579</v>
      </c>
      <c r="BC13" s="100" t="s">
        <v>579</v>
      </c>
      <c r="BD13" s="158">
        <v>0.9116989136</v>
      </c>
      <c r="BE13" s="158">
        <v>1.199803848</v>
      </c>
      <c r="BF13" s="162">
        <v>1244</v>
      </c>
      <c r="BG13" s="162">
        <v>1174</v>
      </c>
      <c r="BH13" s="162">
        <v>3139</v>
      </c>
      <c r="BI13" s="162">
        <v>922</v>
      </c>
      <c r="BJ13" s="162">
        <v>486</v>
      </c>
      <c r="BK13" s="97"/>
      <c r="BL13" s="97"/>
      <c r="BM13" s="97"/>
      <c r="BN13" s="97"/>
    </row>
    <row r="14" spans="1:66" ht="12.75">
      <c r="A14" s="79" t="s">
        <v>562</v>
      </c>
      <c r="B14" s="79" t="s">
        <v>326</v>
      </c>
      <c r="C14" s="79" t="s">
        <v>156</v>
      </c>
      <c r="D14" s="99">
        <v>11837</v>
      </c>
      <c r="E14" s="99">
        <v>820</v>
      </c>
      <c r="F14" s="99" t="s">
        <v>359</v>
      </c>
      <c r="G14" s="99">
        <v>28</v>
      </c>
      <c r="H14" s="99">
        <v>10</v>
      </c>
      <c r="I14" s="99">
        <v>86</v>
      </c>
      <c r="J14" s="99">
        <v>467</v>
      </c>
      <c r="K14" s="99">
        <v>12</v>
      </c>
      <c r="L14" s="99">
        <v>2333</v>
      </c>
      <c r="M14" s="99">
        <v>195</v>
      </c>
      <c r="N14" s="99">
        <v>114</v>
      </c>
      <c r="O14" s="99">
        <v>97</v>
      </c>
      <c r="P14" s="159">
        <v>97</v>
      </c>
      <c r="Q14" s="99">
        <v>8</v>
      </c>
      <c r="R14" s="99">
        <v>18</v>
      </c>
      <c r="S14" s="99">
        <v>24</v>
      </c>
      <c r="T14" s="99">
        <v>12</v>
      </c>
      <c r="U14" s="99" t="s">
        <v>579</v>
      </c>
      <c r="V14" s="99">
        <v>31</v>
      </c>
      <c r="W14" s="99">
        <v>39</v>
      </c>
      <c r="X14" s="99">
        <v>22</v>
      </c>
      <c r="Y14" s="99">
        <v>85</v>
      </c>
      <c r="Z14" s="99">
        <v>52</v>
      </c>
      <c r="AA14" s="99" t="s">
        <v>579</v>
      </c>
      <c r="AB14" s="99" t="s">
        <v>579</v>
      </c>
      <c r="AC14" s="99" t="s">
        <v>579</v>
      </c>
      <c r="AD14" s="98" t="s">
        <v>336</v>
      </c>
      <c r="AE14" s="100">
        <v>0.06927430936892794</v>
      </c>
      <c r="AF14" s="100">
        <v>0.16</v>
      </c>
      <c r="AG14" s="98">
        <v>236.54642223536368</v>
      </c>
      <c r="AH14" s="98">
        <v>84.48086508405846</v>
      </c>
      <c r="AI14" s="100">
        <v>0.006999999999999999</v>
      </c>
      <c r="AJ14" s="100">
        <v>0.559952</v>
      </c>
      <c r="AK14" s="100">
        <v>0.387097</v>
      </c>
      <c r="AL14" s="100">
        <v>0.696418</v>
      </c>
      <c r="AM14" s="100">
        <v>0.347594</v>
      </c>
      <c r="AN14" s="100">
        <v>0.363057</v>
      </c>
      <c r="AO14" s="98">
        <v>819.464391315367</v>
      </c>
      <c r="AP14" s="158">
        <v>0.6286653137</v>
      </c>
      <c r="AQ14" s="100">
        <v>0.08247422680412371</v>
      </c>
      <c r="AR14" s="100">
        <v>0.4444444444444444</v>
      </c>
      <c r="AS14" s="98">
        <v>202.7540762017403</v>
      </c>
      <c r="AT14" s="98">
        <v>101.37703810087015</v>
      </c>
      <c r="AU14" s="98" t="s">
        <v>579</v>
      </c>
      <c r="AV14" s="98">
        <v>261.89068176058123</v>
      </c>
      <c r="AW14" s="98">
        <v>329.475373827828</v>
      </c>
      <c r="AX14" s="98">
        <v>185.8579031849286</v>
      </c>
      <c r="AY14" s="98">
        <v>718.0873532144969</v>
      </c>
      <c r="AZ14" s="98">
        <v>439.300498437104</v>
      </c>
      <c r="BA14" s="100" t="s">
        <v>579</v>
      </c>
      <c r="BB14" s="100" t="s">
        <v>579</v>
      </c>
      <c r="BC14" s="100" t="s">
        <v>579</v>
      </c>
      <c r="BD14" s="158">
        <v>0.5098052216</v>
      </c>
      <c r="BE14" s="158">
        <v>0.7669183350000001</v>
      </c>
      <c r="BF14" s="162">
        <v>834</v>
      </c>
      <c r="BG14" s="162">
        <v>31</v>
      </c>
      <c r="BH14" s="162">
        <v>3350</v>
      </c>
      <c r="BI14" s="162">
        <v>561</v>
      </c>
      <c r="BJ14" s="162">
        <v>314</v>
      </c>
      <c r="BK14" s="97"/>
      <c r="BL14" s="97"/>
      <c r="BM14" s="97"/>
      <c r="BN14" s="97"/>
    </row>
    <row r="15" spans="1:66" ht="12.75">
      <c r="A15" s="79" t="s">
        <v>540</v>
      </c>
      <c r="B15" s="79" t="s">
        <v>302</v>
      </c>
      <c r="C15" s="79" t="s">
        <v>156</v>
      </c>
      <c r="D15" s="99">
        <v>8571</v>
      </c>
      <c r="E15" s="99">
        <v>1128</v>
      </c>
      <c r="F15" s="99" t="s">
        <v>356</v>
      </c>
      <c r="G15" s="99">
        <v>34</v>
      </c>
      <c r="H15" s="99">
        <v>18</v>
      </c>
      <c r="I15" s="99">
        <v>150</v>
      </c>
      <c r="J15" s="99">
        <v>609</v>
      </c>
      <c r="K15" s="99">
        <v>12</v>
      </c>
      <c r="L15" s="99">
        <v>1706</v>
      </c>
      <c r="M15" s="99">
        <v>291</v>
      </c>
      <c r="N15" s="99">
        <v>157</v>
      </c>
      <c r="O15" s="99">
        <v>165</v>
      </c>
      <c r="P15" s="159">
        <v>165</v>
      </c>
      <c r="Q15" s="99">
        <v>21</v>
      </c>
      <c r="R15" s="99">
        <v>41</v>
      </c>
      <c r="S15" s="99">
        <v>44</v>
      </c>
      <c r="T15" s="99">
        <v>15</v>
      </c>
      <c r="U15" s="99" t="s">
        <v>579</v>
      </c>
      <c r="V15" s="99">
        <v>37</v>
      </c>
      <c r="W15" s="99">
        <v>53</v>
      </c>
      <c r="X15" s="99">
        <v>28</v>
      </c>
      <c r="Y15" s="99">
        <v>139</v>
      </c>
      <c r="Z15" s="99">
        <v>66</v>
      </c>
      <c r="AA15" s="99" t="s">
        <v>579</v>
      </c>
      <c r="AB15" s="99" t="s">
        <v>579</v>
      </c>
      <c r="AC15" s="99" t="s">
        <v>579</v>
      </c>
      <c r="AD15" s="98" t="s">
        <v>336</v>
      </c>
      <c r="AE15" s="100">
        <v>0.13160658032901645</v>
      </c>
      <c r="AF15" s="100">
        <v>0.21</v>
      </c>
      <c r="AG15" s="98">
        <v>396.68650099171623</v>
      </c>
      <c r="AH15" s="98">
        <v>210.01050052502626</v>
      </c>
      <c r="AI15" s="100">
        <v>0.018000000000000002</v>
      </c>
      <c r="AJ15" s="100">
        <v>0.667032</v>
      </c>
      <c r="AK15" s="100">
        <v>0.631579</v>
      </c>
      <c r="AL15" s="100">
        <v>0.754533</v>
      </c>
      <c r="AM15" s="100">
        <v>0.400826</v>
      </c>
      <c r="AN15" s="100">
        <v>0.404639</v>
      </c>
      <c r="AO15" s="98">
        <v>1925.0962548127407</v>
      </c>
      <c r="AP15" s="158">
        <v>1.145058746</v>
      </c>
      <c r="AQ15" s="100">
        <v>0.12727272727272726</v>
      </c>
      <c r="AR15" s="100">
        <v>0.5121951219512195</v>
      </c>
      <c r="AS15" s="98">
        <v>513.3590012833974</v>
      </c>
      <c r="AT15" s="98">
        <v>175.00875043752188</v>
      </c>
      <c r="AU15" s="98" t="s">
        <v>579</v>
      </c>
      <c r="AV15" s="98">
        <v>431.6882510792206</v>
      </c>
      <c r="AW15" s="98">
        <v>618.3642515459106</v>
      </c>
      <c r="AX15" s="98">
        <v>326.6830008167075</v>
      </c>
      <c r="AY15" s="98">
        <v>1621.7477540543694</v>
      </c>
      <c r="AZ15" s="98">
        <v>770.0385019250963</v>
      </c>
      <c r="BA15" s="100" t="s">
        <v>579</v>
      </c>
      <c r="BB15" s="100" t="s">
        <v>579</v>
      </c>
      <c r="BC15" s="100" t="s">
        <v>579</v>
      </c>
      <c r="BD15" s="158">
        <v>0.9770051574999999</v>
      </c>
      <c r="BE15" s="158">
        <v>1.333721313</v>
      </c>
      <c r="BF15" s="162">
        <v>913</v>
      </c>
      <c r="BG15" s="162">
        <v>19</v>
      </c>
      <c r="BH15" s="162">
        <v>2261</v>
      </c>
      <c r="BI15" s="162">
        <v>726</v>
      </c>
      <c r="BJ15" s="162">
        <v>388</v>
      </c>
      <c r="BK15" s="97"/>
      <c r="BL15" s="97"/>
      <c r="BM15" s="97"/>
      <c r="BN15" s="97"/>
    </row>
    <row r="16" spans="1:66" ht="12.75">
      <c r="A16" s="79" t="s">
        <v>585</v>
      </c>
      <c r="B16" s="79" t="s">
        <v>305</v>
      </c>
      <c r="C16" s="79" t="s">
        <v>156</v>
      </c>
      <c r="D16" s="99">
        <v>5117</v>
      </c>
      <c r="E16" s="99">
        <v>930</v>
      </c>
      <c r="F16" s="99" t="s">
        <v>360</v>
      </c>
      <c r="G16" s="99">
        <v>23</v>
      </c>
      <c r="H16" s="99">
        <v>8</v>
      </c>
      <c r="I16" s="99">
        <v>90</v>
      </c>
      <c r="J16" s="99">
        <v>491</v>
      </c>
      <c r="K16" s="99" t="s">
        <v>579</v>
      </c>
      <c r="L16" s="99">
        <v>1061</v>
      </c>
      <c r="M16" s="99">
        <v>309</v>
      </c>
      <c r="N16" s="99">
        <v>162</v>
      </c>
      <c r="O16" s="99">
        <v>106</v>
      </c>
      <c r="P16" s="159">
        <v>106</v>
      </c>
      <c r="Q16" s="99">
        <v>9</v>
      </c>
      <c r="R16" s="99">
        <v>19</v>
      </c>
      <c r="S16" s="99">
        <v>22</v>
      </c>
      <c r="T16" s="99">
        <v>23</v>
      </c>
      <c r="U16" s="99" t="s">
        <v>579</v>
      </c>
      <c r="V16" s="99">
        <v>18</v>
      </c>
      <c r="W16" s="99">
        <v>63</v>
      </c>
      <c r="X16" s="99">
        <v>20</v>
      </c>
      <c r="Y16" s="99">
        <v>75</v>
      </c>
      <c r="Z16" s="99">
        <v>19</v>
      </c>
      <c r="AA16" s="99" t="s">
        <v>579</v>
      </c>
      <c r="AB16" s="99" t="s">
        <v>579</v>
      </c>
      <c r="AC16" s="99" t="s">
        <v>579</v>
      </c>
      <c r="AD16" s="98" t="s">
        <v>336</v>
      </c>
      <c r="AE16" s="100">
        <v>0.18174711745163183</v>
      </c>
      <c r="AF16" s="100">
        <v>0.07</v>
      </c>
      <c r="AG16" s="98">
        <v>449.48211842876685</v>
      </c>
      <c r="AH16" s="98">
        <v>156.34160641000585</v>
      </c>
      <c r="AI16" s="100">
        <v>0.018000000000000002</v>
      </c>
      <c r="AJ16" s="100">
        <v>0.797078</v>
      </c>
      <c r="AK16" s="100" t="s">
        <v>579</v>
      </c>
      <c r="AL16" s="100">
        <v>0.833464</v>
      </c>
      <c r="AM16" s="100">
        <v>0.59309</v>
      </c>
      <c r="AN16" s="100">
        <v>0.61597</v>
      </c>
      <c r="AO16" s="98">
        <v>2071.5262849325777</v>
      </c>
      <c r="AP16" s="158">
        <v>1.063044739</v>
      </c>
      <c r="AQ16" s="100">
        <v>0.08490566037735849</v>
      </c>
      <c r="AR16" s="100">
        <v>0.47368421052631576</v>
      </c>
      <c r="AS16" s="98">
        <v>429.93941762751615</v>
      </c>
      <c r="AT16" s="98">
        <v>449.48211842876685</v>
      </c>
      <c r="AU16" s="98" t="s">
        <v>579</v>
      </c>
      <c r="AV16" s="98">
        <v>351.76861442251317</v>
      </c>
      <c r="AW16" s="98">
        <v>1231.190150478796</v>
      </c>
      <c r="AX16" s="98">
        <v>390.85401602501463</v>
      </c>
      <c r="AY16" s="98">
        <v>1465.702560093805</v>
      </c>
      <c r="AZ16" s="98">
        <v>371.3113152237639</v>
      </c>
      <c r="BA16" s="100" t="s">
        <v>579</v>
      </c>
      <c r="BB16" s="100" t="s">
        <v>579</v>
      </c>
      <c r="BC16" s="100" t="s">
        <v>579</v>
      </c>
      <c r="BD16" s="158">
        <v>0.8703339386000001</v>
      </c>
      <c r="BE16" s="158">
        <v>1.2857218929999998</v>
      </c>
      <c r="BF16" s="162">
        <v>616</v>
      </c>
      <c r="BG16" s="162" t="s">
        <v>579</v>
      </c>
      <c r="BH16" s="162">
        <v>1273</v>
      </c>
      <c r="BI16" s="162">
        <v>521</v>
      </c>
      <c r="BJ16" s="162">
        <v>263</v>
      </c>
      <c r="BK16" s="97"/>
      <c r="BL16" s="97"/>
      <c r="BM16" s="97"/>
      <c r="BN16" s="97"/>
    </row>
    <row r="17" spans="1:66" ht="12.75">
      <c r="A17" s="79" t="s">
        <v>582</v>
      </c>
      <c r="B17" s="79" t="s">
        <v>284</v>
      </c>
      <c r="C17" s="79" t="s">
        <v>156</v>
      </c>
      <c r="D17" s="99">
        <v>5104</v>
      </c>
      <c r="E17" s="99">
        <v>907</v>
      </c>
      <c r="F17" s="99" t="s">
        <v>360</v>
      </c>
      <c r="G17" s="99">
        <v>24</v>
      </c>
      <c r="H17" s="99">
        <v>10</v>
      </c>
      <c r="I17" s="99">
        <v>101</v>
      </c>
      <c r="J17" s="99">
        <v>519</v>
      </c>
      <c r="K17" s="99" t="s">
        <v>579</v>
      </c>
      <c r="L17" s="99">
        <v>1023</v>
      </c>
      <c r="M17" s="99">
        <v>348</v>
      </c>
      <c r="N17" s="99">
        <v>185</v>
      </c>
      <c r="O17" s="99">
        <v>156</v>
      </c>
      <c r="P17" s="159">
        <v>156</v>
      </c>
      <c r="Q17" s="99">
        <v>17</v>
      </c>
      <c r="R17" s="99">
        <v>31</v>
      </c>
      <c r="S17" s="99">
        <v>24</v>
      </c>
      <c r="T17" s="99">
        <v>24</v>
      </c>
      <c r="U17" s="99">
        <v>8</v>
      </c>
      <c r="V17" s="99">
        <v>42</v>
      </c>
      <c r="W17" s="99">
        <v>79</v>
      </c>
      <c r="X17" s="99">
        <v>13</v>
      </c>
      <c r="Y17" s="99">
        <v>130</v>
      </c>
      <c r="Z17" s="99">
        <v>35</v>
      </c>
      <c r="AA17" s="99" t="s">
        <v>579</v>
      </c>
      <c r="AB17" s="99" t="s">
        <v>579</v>
      </c>
      <c r="AC17" s="99" t="s">
        <v>579</v>
      </c>
      <c r="AD17" s="98" t="s">
        <v>336</v>
      </c>
      <c r="AE17" s="100">
        <v>0.17770376175548588</v>
      </c>
      <c r="AF17" s="100">
        <v>0.07</v>
      </c>
      <c r="AG17" s="98">
        <v>470.2194357366771</v>
      </c>
      <c r="AH17" s="98">
        <v>195.92476489028212</v>
      </c>
      <c r="AI17" s="100">
        <v>0.02</v>
      </c>
      <c r="AJ17" s="100">
        <v>0.783988</v>
      </c>
      <c r="AK17" s="100" t="s">
        <v>579</v>
      </c>
      <c r="AL17" s="100">
        <v>0.802983</v>
      </c>
      <c r="AM17" s="100">
        <v>0.574257</v>
      </c>
      <c r="AN17" s="100">
        <v>0.569231</v>
      </c>
      <c r="AO17" s="98">
        <v>3056.426332288401</v>
      </c>
      <c r="AP17" s="158">
        <v>1.583405151</v>
      </c>
      <c r="AQ17" s="100">
        <v>0.10897435897435898</v>
      </c>
      <c r="AR17" s="100">
        <v>0.5483870967741935</v>
      </c>
      <c r="AS17" s="98">
        <v>470.2194357366771</v>
      </c>
      <c r="AT17" s="98">
        <v>470.2194357366771</v>
      </c>
      <c r="AU17" s="98">
        <v>156.73981191222572</v>
      </c>
      <c r="AV17" s="98">
        <v>822.8840125391849</v>
      </c>
      <c r="AW17" s="98">
        <v>1547.805642633229</v>
      </c>
      <c r="AX17" s="98">
        <v>254.70219435736678</v>
      </c>
      <c r="AY17" s="98">
        <v>2547.0219435736676</v>
      </c>
      <c r="AZ17" s="98">
        <v>685.7366771159875</v>
      </c>
      <c r="BA17" s="100" t="s">
        <v>579</v>
      </c>
      <c r="BB17" s="100" t="s">
        <v>579</v>
      </c>
      <c r="BC17" s="100" t="s">
        <v>579</v>
      </c>
      <c r="BD17" s="158">
        <v>1.344681702</v>
      </c>
      <c r="BE17" s="158">
        <v>1.8522926330000002</v>
      </c>
      <c r="BF17" s="162">
        <v>662</v>
      </c>
      <c r="BG17" s="162" t="s">
        <v>579</v>
      </c>
      <c r="BH17" s="162">
        <v>1274</v>
      </c>
      <c r="BI17" s="162">
        <v>606</v>
      </c>
      <c r="BJ17" s="162">
        <v>325</v>
      </c>
      <c r="BK17" s="97"/>
      <c r="BL17" s="97"/>
      <c r="BM17" s="97"/>
      <c r="BN17" s="97"/>
    </row>
    <row r="18" spans="1:66" ht="12.75">
      <c r="A18" s="79" t="s">
        <v>568</v>
      </c>
      <c r="B18" s="79" t="s">
        <v>332</v>
      </c>
      <c r="C18" s="79" t="s">
        <v>156</v>
      </c>
      <c r="D18" s="99">
        <v>6619</v>
      </c>
      <c r="E18" s="99">
        <v>804</v>
      </c>
      <c r="F18" s="99" t="s">
        <v>356</v>
      </c>
      <c r="G18" s="99">
        <v>18</v>
      </c>
      <c r="H18" s="99">
        <v>14</v>
      </c>
      <c r="I18" s="99">
        <v>95</v>
      </c>
      <c r="J18" s="99">
        <v>278</v>
      </c>
      <c r="K18" s="99">
        <v>9</v>
      </c>
      <c r="L18" s="99">
        <v>1101</v>
      </c>
      <c r="M18" s="99">
        <v>175</v>
      </c>
      <c r="N18" s="99">
        <v>91</v>
      </c>
      <c r="O18" s="99">
        <v>125</v>
      </c>
      <c r="P18" s="159">
        <v>125</v>
      </c>
      <c r="Q18" s="99">
        <v>17</v>
      </c>
      <c r="R18" s="99">
        <v>25</v>
      </c>
      <c r="S18" s="99">
        <v>21</v>
      </c>
      <c r="T18" s="99">
        <v>21</v>
      </c>
      <c r="U18" s="99">
        <v>6</v>
      </c>
      <c r="V18" s="99">
        <v>27</v>
      </c>
      <c r="W18" s="99">
        <v>66</v>
      </c>
      <c r="X18" s="99">
        <v>23</v>
      </c>
      <c r="Y18" s="99">
        <v>80</v>
      </c>
      <c r="Z18" s="99">
        <v>41</v>
      </c>
      <c r="AA18" s="99" t="s">
        <v>579</v>
      </c>
      <c r="AB18" s="99" t="s">
        <v>579</v>
      </c>
      <c r="AC18" s="99" t="s">
        <v>579</v>
      </c>
      <c r="AD18" s="98" t="s">
        <v>336</v>
      </c>
      <c r="AE18" s="100">
        <v>0.12146849977337966</v>
      </c>
      <c r="AF18" s="100">
        <v>0.19</v>
      </c>
      <c r="AG18" s="98">
        <v>271.94440247771564</v>
      </c>
      <c r="AH18" s="98">
        <v>211.51231303822328</v>
      </c>
      <c r="AI18" s="100">
        <v>0.013999999999999999</v>
      </c>
      <c r="AJ18" s="100">
        <v>0.560484</v>
      </c>
      <c r="AK18" s="100">
        <v>0.5</v>
      </c>
      <c r="AL18" s="100">
        <v>0.685128</v>
      </c>
      <c r="AM18" s="100">
        <v>0.425791</v>
      </c>
      <c r="AN18" s="100">
        <v>0.419355</v>
      </c>
      <c r="AO18" s="98">
        <v>1888.5027949841365</v>
      </c>
      <c r="AP18" s="158">
        <v>1.234242249</v>
      </c>
      <c r="AQ18" s="100">
        <v>0.136</v>
      </c>
      <c r="AR18" s="100">
        <v>0.68</v>
      </c>
      <c r="AS18" s="98">
        <v>317.2684695573349</v>
      </c>
      <c r="AT18" s="98">
        <v>317.2684695573349</v>
      </c>
      <c r="AU18" s="98">
        <v>90.64813415923855</v>
      </c>
      <c r="AV18" s="98">
        <v>407.9166037165735</v>
      </c>
      <c r="AW18" s="98">
        <v>997.1294757516241</v>
      </c>
      <c r="AX18" s="98">
        <v>347.48451427708113</v>
      </c>
      <c r="AY18" s="98">
        <v>1208.6417887898474</v>
      </c>
      <c r="AZ18" s="98">
        <v>619.4289167547968</v>
      </c>
      <c r="BA18" s="100" t="s">
        <v>579</v>
      </c>
      <c r="BB18" s="100" t="s">
        <v>579</v>
      </c>
      <c r="BC18" s="100" t="s">
        <v>579</v>
      </c>
      <c r="BD18" s="158">
        <v>1.027372437</v>
      </c>
      <c r="BE18" s="158">
        <v>1.4705439759999999</v>
      </c>
      <c r="BF18" s="162">
        <v>496</v>
      </c>
      <c r="BG18" s="162">
        <v>18</v>
      </c>
      <c r="BH18" s="162">
        <v>1607</v>
      </c>
      <c r="BI18" s="162">
        <v>411</v>
      </c>
      <c r="BJ18" s="162">
        <v>217</v>
      </c>
      <c r="BK18" s="97"/>
      <c r="BL18" s="97"/>
      <c r="BM18" s="97"/>
      <c r="BN18" s="97"/>
    </row>
    <row r="19" spans="1:66" ht="12.75">
      <c r="A19" s="79" t="s">
        <v>548</v>
      </c>
      <c r="B19" s="79" t="s">
        <v>312</v>
      </c>
      <c r="C19" s="79" t="s">
        <v>156</v>
      </c>
      <c r="D19" s="99">
        <v>6730</v>
      </c>
      <c r="E19" s="99">
        <v>659</v>
      </c>
      <c r="F19" s="99" t="s">
        <v>356</v>
      </c>
      <c r="G19" s="99">
        <v>18</v>
      </c>
      <c r="H19" s="99" t="s">
        <v>579</v>
      </c>
      <c r="I19" s="99">
        <v>50</v>
      </c>
      <c r="J19" s="99">
        <v>331</v>
      </c>
      <c r="K19" s="99">
        <v>14</v>
      </c>
      <c r="L19" s="99">
        <v>1107</v>
      </c>
      <c r="M19" s="99">
        <v>167</v>
      </c>
      <c r="N19" s="99">
        <v>99</v>
      </c>
      <c r="O19" s="99">
        <v>40</v>
      </c>
      <c r="P19" s="159">
        <v>40</v>
      </c>
      <c r="Q19" s="99" t="s">
        <v>579</v>
      </c>
      <c r="R19" s="99" t="s">
        <v>579</v>
      </c>
      <c r="S19" s="99">
        <v>6</v>
      </c>
      <c r="T19" s="99" t="s">
        <v>579</v>
      </c>
      <c r="U19" s="99" t="s">
        <v>579</v>
      </c>
      <c r="V19" s="99">
        <v>10</v>
      </c>
      <c r="W19" s="99">
        <v>15</v>
      </c>
      <c r="X19" s="99">
        <v>10</v>
      </c>
      <c r="Y19" s="99">
        <v>39</v>
      </c>
      <c r="Z19" s="99">
        <v>31</v>
      </c>
      <c r="AA19" s="99" t="s">
        <v>579</v>
      </c>
      <c r="AB19" s="99" t="s">
        <v>579</v>
      </c>
      <c r="AC19" s="99" t="s">
        <v>579</v>
      </c>
      <c r="AD19" s="98" t="s">
        <v>336</v>
      </c>
      <c r="AE19" s="100">
        <v>0.09791976225854383</v>
      </c>
      <c r="AF19" s="100">
        <v>0.18</v>
      </c>
      <c r="AG19" s="98">
        <v>267.4591381872214</v>
      </c>
      <c r="AH19" s="98" t="s">
        <v>579</v>
      </c>
      <c r="AI19" s="100">
        <v>0.006999999999999999</v>
      </c>
      <c r="AJ19" s="100">
        <v>0.600726</v>
      </c>
      <c r="AK19" s="100">
        <v>0.666667</v>
      </c>
      <c r="AL19" s="100">
        <v>0.626131</v>
      </c>
      <c r="AM19" s="100">
        <v>0.420655</v>
      </c>
      <c r="AN19" s="100">
        <v>0.428571</v>
      </c>
      <c r="AO19" s="98">
        <v>594.3536404160476</v>
      </c>
      <c r="AP19" s="158">
        <v>0.4162395477</v>
      </c>
      <c r="AQ19" s="100" t="s">
        <v>579</v>
      </c>
      <c r="AR19" s="100" t="s">
        <v>579</v>
      </c>
      <c r="AS19" s="98">
        <v>89.15304606240713</v>
      </c>
      <c r="AT19" s="98" t="s">
        <v>579</v>
      </c>
      <c r="AU19" s="98" t="s">
        <v>579</v>
      </c>
      <c r="AV19" s="98">
        <v>148.5884101040119</v>
      </c>
      <c r="AW19" s="98">
        <v>222.88261515601783</v>
      </c>
      <c r="AX19" s="98">
        <v>148.5884101040119</v>
      </c>
      <c r="AY19" s="98">
        <v>579.4947994056464</v>
      </c>
      <c r="AZ19" s="98">
        <v>460.62407132243686</v>
      </c>
      <c r="BA19" s="100" t="s">
        <v>579</v>
      </c>
      <c r="BB19" s="100" t="s">
        <v>579</v>
      </c>
      <c r="BC19" s="100" t="s">
        <v>579</v>
      </c>
      <c r="BD19" s="158">
        <v>0.2973676491</v>
      </c>
      <c r="BE19" s="158">
        <v>0.5668001175</v>
      </c>
      <c r="BF19" s="162">
        <v>551</v>
      </c>
      <c r="BG19" s="162">
        <v>21</v>
      </c>
      <c r="BH19" s="162">
        <v>1768</v>
      </c>
      <c r="BI19" s="162">
        <v>397</v>
      </c>
      <c r="BJ19" s="162">
        <v>231</v>
      </c>
      <c r="BK19" s="97"/>
      <c r="BL19" s="97"/>
      <c r="BM19" s="97"/>
      <c r="BN19" s="97"/>
    </row>
    <row r="20" spans="1:66" ht="12.75">
      <c r="A20" s="79" t="s">
        <v>530</v>
      </c>
      <c r="B20" s="79" t="s">
        <v>291</v>
      </c>
      <c r="C20" s="79" t="s">
        <v>156</v>
      </c>
      <c r="D20" s="99">
        <v>11175</v>
      </c>
      <c r="E20" s="99">
        <v>973</v>
      </c>
      <c r="F20" s="99" t="s">
        <v>360</v>
      </c>
      <c r="G20" s="99">
        <v>33</v>
      </c>
      <c r="H20" s="99">
        <v>11</v>
      </c>
      <c r="I20" s="99">
        <v>100</v>
      </c>
      <c r="J20" s="99">
        <v>578</v>
      </c>
      <c r="K20" s="99">
        <v>528</v>
      </c>
      <c r="L20" s="99">
        <v>2497</v>
      </c>
      <c r="M20" s="99">
        <v>313</v>
      </c>
      <c r="N20" s="99">
        <v>183</v>
      </c>
      <c r="O20" s="99">
        <v>122</v>
      </c>
      <c r="P20" s="159">
        <v>122</v>
      </c>
      <c r="Q20" s="99">
        <v>13</v>
      </c>
      <c r="R20" s="99">
        <v>25</v>
      </c>
      <c r="S20" s="99">
        <v>37</v>
      </c>
      <c r="T20" s="99">
        <v>15</v>
      </c>
      <c r="U20" s="99" t="s">
        <v>579</v>
      </c>
      <c r="V20" s="99">
        <v>37</v>
      </c>
      <c r="W20" s="99">
        <v>40</v>
      </c>
      <c r="X20" s="99">
        <v>18</v>
      </c>
      <c r="Y20" s="99">
        <v>57</v>
      </c>
      <c r="Z20" s="99">
        <v>46</v>
      </c>
      <c r="AA20" s="99" t="s">
        <v>579</v>
      </c>
      <c r="AB20" s="99" t="s">
        <v>579</v>
      </c>
      <c r="AC20" s="99" t="s">
        <v>579</v>
      </c>
      <c r="AD20" s="98" t="s">
        <v>336</v>
      </c>
      <c r="AE20" s="100">
        <v>0.08706935123042506</v>
      </c>
      <c r="AF20" s="100">
        <v>0.05</v>
      </c>
      <c r="AG20" s="98">
        <v>295.3020134228188</v>
      </c>
      <c r="AH20" s="98">
        <v>98.43400447427292</v>
      </c>
      <c r="AI20" s="100">
        <v>0.009000000000000001</v>
      </c>
      <c r="AJ20" s="100">
        <v>0.688915</v>
      </c>
      <c r="AK20" s="100">
        <v>0.657534</v>
      </c>
      <c r="AL20" s="100">
        <v>0.672502</v>
      </c>
      <c r="AM20" s="100">
        <v>0.481538</v>
      </c>
      <c r="AN20" s="100">
        <v>0.498638</v>
      </c>
      <c r="AO20" s="98">
        <v>1091.7225950782997</v>
      </c>
      <c r="AP20" s="158">
        <v>0.747766571</v>
      </c>
      <c r="AQ20" s="100">
        <v>0.10655737704918032</v>
      </c>
      <c r="AR20" s="100">
        <v>0.52</v>
      </c>
      <c r="AS20" s="98">
        <v>331.096196868009</v>
      </c>
      <c r="AT20" s="98">
        <v>134.2281879194631</v>
      </c>
      <c r="AU20" s="98" t="s">
        <v>579</v>
      </c>
      <c r="AV20" s="98">
        <v>331.096196868009</v>
      </c>
      <c r="AW20" s="98">
        <v>357.94183445190157</v>
      </c>
      <c r="AX20" s="98">
        <v>161.0738255033557</v>
      </c>
      <c r="AY20" s="98">
        <v>510.06711409395973</v>
      </c>
      <c r="AZ20" s="98">
        <v>411.6331096196868</v>
      </c>
      <c r="BA20" s="100" t="s">
        <v>579</v>
      </c>
      <c r="BB20" s="100" t="s">
        <v>579</v>
      </c>
      <c r="BC20" s="100" t="s">
        <v>579</v>
      </c>
      <c r="BD20" s="158">
        <v>0.6209749603</v>
      </c>
      <c r="BE20" s="158">
        <v>0.8928343964</v>
      </c>
      <c r="BF20" s="162">
        <v>839</v>
      </c>
      <c r="BG20" s="162">
        <v>803</v>
      </c>
      <c r="BH20" s="162">
        <v>3713</v>
      </c>
      <c r="BI20" s="162">
        <v>650</v>
      </c>
      <c r="BJ20" s="162">
        <v>367</v>
      </c>
      <c r="BK20" s="97"/>
      <c r="BL20" s="97"/>
      <c r="BM20" s="97"/>
      <c r="BN20" s="97"/>
    </row>
    <row r="21" spans="1:66" ht="12.75">
      <c r="A21" s="79" t="s">
        <v>541</v>
      </c>
      <c r="B21" s="79" t="s">
        <v>518</v>
      </c>
      <c r="C21" s="79" t="s">
        <v>156</v>
      </c>
      <c r="D21" s="99">
        <v>6008</v>
      </c>
      <c r="E21" s="99">
        <v>391</v>
      </c>
      <c r="F21" s="99" t="s">
        <v>360</v>
      </c>
      <c r="G21" s="99">
        <v>21</v>
      </c>
      <c r="H21" s="99" t="s">
        <v>579</v>
      </c>
      <c r="I21" s="99">
        <v>51</v>
      </c>
      <c r="J21" s="99">
        <v>252</v>
      </c>
      <c r="K21" s="99">
        <v>233</v>
      </c>
      <c r="L21" s="99">
        <v>1309</v>
      </c>
      <c r="M21" s="99">
        <v>150</v>
      </c>
      <c r="N21" s="99">
        <v>95</v>
      </c>
      <c r="O21" s="99">
        <v>105</v>
      </c>
      <c r="P21" s="159">
        <v>105</v>
      </c>
      <c r="Q21" s="99" t="s">
        <v>579</v>
      </c>
      <c r="R21" s="99">
        <v>16</v>
      </c>
      <c r="S21" s="99">
        <v>22</v>
      </c>
      <c r="T21" s="99">
        <v>7</v>
      </c>
      <c r="U21" s="99" t="s">
        <v>579</v>
      </c>
      <c r="V21" s="99">
        <v>30</v>
      </c>
      <c r="W21" s="99">
        <v>21</v>
      </c>
      <c r="X21" s="99">
        <v>19</v>
      </c>
      <c r="Y21" s="99">
        <v>71</v>
      </c>
      <c r="Z21" s="99">
        <v>28</v>
      </c>
      <c r="AA21" s="99" t="s">
        <v>579</v>
      </c>
      <c r="AB21" s="99" t="s">
        <v>579</v>
      </c>
      <c r="AC21" s="99" t="s">
        <v>579</v>
      </c>
      <c r="AD21" s="98" t="s">
        <v>336</v>
      </c>
      <c r="AE21" s="100">
        <v>0.06507989347536618</v>
      </c>
      <c r="AF21" s="100">
        <v>0.07</v>
      </c>
      <c r="AG21" s="98">
        <v>349.5339547270306</v>
      </c>
      <c r="AH21" s="98" t="s">
        <v>579</v>
      </c>
      <c r="AI21" s="100">
        <v>0.008</v>
      </c>
      <c r="AJ21" s="100">
        <v>0.649485</v>
      </c>
      <c r="AK21" s="100">
        <v>0.64011</v>
      </c>
      <c r="AL21" s="100">
        <v>0.702253</v>
      </c>
      <c r="AM21" s="100">
        <v>0.471698</v>
      </c>
      <c r="AN21" s="100">
        <v>0.510753</v>
      </c>
      <c r="AO21" s="98">
        <v>1747.6697736351532</v>
      </c>
      <c r="AP21" s="158">
        <v>1.338721924</v>
      </c>
      <c r="AQ21" s="100" t="s">
        <v>579</v>
      </c>
      <c r="AR21" s="100" t="s">
        <v>579</v>
      </c>
      <c r="AS21" s="98">
        <v>366.1784287616511</v>
      </c>
      <c r="AT21" s="98">
        <v>116.51131824234355</v>
      </c>
      <c r="AU21" s="98" t="s">
        <v>579</v>
      </c>
      <c r="AV21" s="98">
        <v>499.33422103861517</v>
      </c>
      <c r="AW21" s="98">
        <v>349.5339547270306</v>
      </c>
      <c r="AX21" s="98">
        <v>316.2450066577896</v>
      </c>
      <c r="AY21" s="98">
        <v>1181.7576564580559</v>
      </c>
      <c r="AZ21" s="98">
        <v>466.0452729693742</v>
      </c>
      <c r="BA21" s="100" t="s">
        <v>579</v>
      </c>
      <c r="BB21" s="100" t="s">
        <v>579</v>
      </c>
      <c r="BC21" s="100" t="s">
        <v>579</v>
      </c>
      <c r="BD21" s="158">
        <v>1.094941864</v>
      </c>
      <c r="BE21" s="158">
        <v>1.620604553</v>
      </c>
      <c r="BF21" s="162">
        <v>388</v>
      </c>
      <c r="BG21" s="162">
        <v>364</v>
      </c>
      <c r="BH21" s="162">
        <v>1864</v>
      </c>
      <c r="BI21" s="162">
        <v>318</v>
      </c>
      <c r="BJ21" s="162">
        <v>186</v>
      </c>
      <c r="BK21" s="97"/>
      <c r="BL21" s="97"/>
      <c r="BM21" s="97"/>
      <c r="BN21" s="97"/>
    </row>
    <row r="22" spans="1:66" ht="12.75">
      <c r="A22" s="79" t="s">
        <v>546</v>
      </c>
      <c r="B22" s="79" t="s">
        <v>310</v>
      </c>
      <c r="C22" s="79" t="s">
        <v>156</v>
      </c>
      <c r="D22" s="99">
        <v>3375</v>
      </c>
      <c r="E22" s="99">
        <v>455</v>
      </c>
      <c r="F22" s="99" t="s">
        <v>356</v>
      </c>
      <c r="G22" s="99">
        <v>7</v>
      </c>
      <c r="H22" s="99" t="s">
        <v>579</v>
      </c>
      <c r="I22" s="99">
        <v>44</v>
      </c>
      <c r="J22" s="99">
        <v>184</v>
      </c>
      <c r="K22" s="99">
        <v>165</v>
      </c>
      <c r="L22" s="99">
        <v>453</v>
      </c>
      <c r="M22" s="99">
        <v>100</v>
      </c>
      <c r="N22" s="99">
        <v>51</v>
      </c>
      <c r="O22" s="99">
        <v>70</v>
      </c>
      <c r="P22" s="159">
        <v>70</v>
      </c>
      <c r="Q22" s="99">
        <v>8</v>
      </c>
      <c r="R22" s="99">
        <v>9</v>
      </c>
      <c r="S22" s="99">
        <v>12</v>
      </c>
      <c r="T22" s="99">
        <v>11</v>
      </c>
      <c r="U22" s="99" t="s">
        <v>579</v>
      </c>
      <c r="V22" s="99">
        <v>6</v>
      </c>
      <c r="W22" s="99">
        <v>14</v>
      </c>
      <c r="X22" s="99">
        <v>9</v>
      </c>
      <c r="Y22" s="99">
        <v>27</v>
      </c>
      <c r="Z22" s="99">
        <v>12</v>
      </c>
      <c r="AA22" s="99" t="s">
        <v>579</v>
      </c>
      <c r="AB22" s="99" t="s">
        <v>579</v>
      </c>
      <c r="AC22" s="99" t="s">
        <v>579</v>
      </c>
      <c r="AD22" s="98" t="s">
        <v>336</v>
      </c>
      <c r="AE22" s="100">
        <v>0.1348148148148148</v>
      </c>
      <c r="AF22" s="100">
        <v>0.18</v>
      </c>
      <c r="AG22" s="98">
        <v>207.40740740740742</v>
      </c>
      <c r="AH22" s="98" t="s">
        <v>579</v>
      </c>
      <c r="AI22" s="100">
        <v>0.013000000000000001</v>
      </c>
      <c r="AJ22" s="100">
        <v>0.645614</v>
      </c>
      <c r="AK22" s="100">
        <v>0.611111</v>
      </c>
      <c r="AL22" s="100">
        <v>0.616327</v>
      </c>
      <c r="AM22" s="100">
        <v>0.342466</v>
      </c>
      <c r="AN22" s="100">
        <v>0.322785</v>
      </c>
      <c r="AO22" s="98">
        <v>2074.074074074074</v>
      </c>
      <c r="AP22" s="158">
        <v>1.339113312</v>
      </c>
      <c r="AQ22" s="100">
        <v>0.11428571428571428</v>
      </c>
      <c r="AR22" s="100">
        <v>0.8888888888888888</v>
      </c>
      <c r="AS22" s="98">
        <v>355.55555555555554</v>
      </c>
      <c r="AT22" s="98">
        <v>325.9259259259259</v>
      </c>
      <c r="AU22" s="98" t="s">
        <v>579</v>
      </c>
      <c r="AV22" s="98">
        <v>177.77777777777777</v>
      </c>
      <c r="AW22" s="98">
        <v>414.81481481481484</v>
      </c>
      <c r="AX22" s="98">
        <v>266.6666666666667</v>
      </c>
      <c r="AY22" s="98">
        <v>800</v>
      </c>
      <c r="AZ22" s="98">
        <v>355.55555555555554</v>
      </c>
      <c r="BA22" s="100" t="s">
        <v>579</v>
      </c>
      <c r="BB22" s="100" t="s">
        <v>579</v>
      </c>
      <c r="BC22" s="100" t="s">
        <v>579</v>
      </c>
      <c r="BD22" s="158">
        <v>1.043904495</v>
      </c>
      <c r="BE22" s="158">
        <v>1.691889038</v>
      </c>
      <c r="BF22" s="162">
        <v>285</v>
      </c>
      <c r="BG22" s="162">
        <v>270</v>
      </c>
      <c r="BH22" s="162">
        <v>735</v>
      </c>
      <c r="BI22" s="162">
        <v>292</v>
      </c>
      <c r="BJ22" s="162">
        <v>158</v>
      </c>
      <c r="BK22" s="97"/>
      <c r="BL22" s="97"/>
      <c r="BM22" s="97"/>
      <c r="BN22" s="97"/>
    </row>
    <row r="23" spans="1:66" ht="12.75">
      <c r="A23" s="79" t="s">
        <v>551</v>
      </c>
      <c r="B23" s="79" t="s">
        <v>315</v>
      </c>
      <c r="C23" s="79" t="s">
        <v>156</v>
      </c>
      <c r="D23" s="99">
        <v>8052</v>
      </c>
      <c r="E23" s="99">
        <v>1071</v>
      </c>
      <c r="F23" s="99" t="s">
        <v>360</v>
      </c>
      <c r="G23" s="99">
        <v>23</v>
      </c>
      <c r="H23" s="99">
        <v>13</v>
      </c>
      <c r="I23" s="99">
        <v>122</v>
      </c>
      <c r="J23" s="99">
        <v>589</v>
      </c>
      <c r="K23" s="99">
        <v>580</v>
      </c>
      <c r="L23" s="99">
        <v>1702</v>
      </c>
      <c r="M23" s="99">
        <v>365</v>
      </c>
      <c r="N23" s="99">
        <v>193</v>
      </c>
      <c r="O23" s="99">
        <v>122</v>
      </c>
      <c r="P23" s="159">
        <v>122</v>
      </c>
      <c r="Q23" s="99">
        <v>11</v>
      </c>
      <c r="R23" s="99">
        <v>26</v>
      </c>
      <c r="S23" s="99">
        <v>19</v>
      </c>
      <c r="T23" s="99">
        <v>20</v>
      </c>
      <c r="U23" s="99">
        <v>7</v>
      </c>
      <c r="V23" s="99">
        <v>21</v>
      </c>
      <c r="W23" s="99">
        <v>65</v>
      </c>
      <c r="X23" s="99">
        <v>20</v>
      </c>
      <c r="Y23" s="99">
        <v>100</v>
      </c>
      <c r="Z23" s="99">
        <v>37</v>
      </c>
      <c r="AA23" s="99" t="s">
        <v>579</v>
      </c>
      <c r="AB23" s="99" t="s">
        <v>579</v>
      </c>
      <c r="AC23" s="99" t="s">
        <v>579</v>
      </c>
      <c r="AD23" s="98" t="s">
        <v>336</v>
      </c>
      <c r="AE23" s="100">
        <v>0.13301043219076006</v>
      </c>
      <c r="AF23" s="100">
        <v>0.08</v>
      </c>
      <c r="AG23" s="98">
        <v>285.6433184302037</v>
      </c>
      <c r="AH23" s="98">
        <v>161.45057128663686</v>
      </c>
      <c r="AI23" s="100">
        <v>0.015</v>
      </c>
      <c r="AJ23" s="100">
        <v>0.709639</v>
      </c>
      <c r="AK23" s="100">
        <v>0.723192</v>
      </c>
      <c r="AL23" s="100">
        <v>0.707692</v>
      </c>
      <c r="AM23" s="100">
        <v>0.527457</v>
      </c>
      <c r="AN23" s="100">
        <v>0.561047</v>
      </c>
      <c r="AO23" s="98">
        <v>1515.1515151515152</v>
      </c>
      <c r="AP23" s="158">
        <v>0.8989772034000001</v>
      </c>
      <c r="AQ23" s="100">
        <v>0.09016393442622951</v>
      </c>
      <c r="AR23" s="100">
        <v>0.4230769230769231</v>
      </c>
      <c r="AS23" s="98">
        <v>235.96621957277694</v>
      </c>
      <c r="AT23" s="98">
        <v>248.38549428713364</v>
      </c>
      <c r="AU23" s="98">
        <v>86.93492300049677</v>
      </c>
      <c r="AV23" s="98">
        <v>260.8047690014903</v>
      </c>
      <c r="AW23" s="98">
        <v>807.2528564331843</v>
      </c>
      <c r="AX23" s="98">
        <v>248.38549428713364</v>
      </c>
      <c r="AY23" s="98">
        <v>1241.9274714356682</v>
      </c>
      <c r="AZ23" s="98">
        <v>459.5131644311972</v>
      </c>
      <c r="BA23" s="100" t="s">
        <v>579</v>
      </c>
      <c r="BB23" s="100" t="s">
        <v>579</v>
      </c>
      <c r="BC23" s="100" t="s">
        <v>579</v>
      </c>
      <c r="BD23" s="158">
        <v>0.7465462494</v>
      </c>
      <c r="BE23" s="158">
        <v>1.073380051</v>
      </c>
      <c r="BF23" s="162">
        <v>830</v>
      </c>
      <c r="BG23" s="162">
        <v>802</v>
      </c>
      <c r="BH23" s="162">
        <v>2405</v>
      </c>
      <c r="BI23" s="162">
        <v>692</v>
      </c>
      <c r="BJ23" s="162">
        <v>344</v>
      </c>
      <c r="BK23" s="97"/>
      <c r="BL23" s="97"/>
      <c r="BM23" s="97"/>
      <c r="BN23" s="97"/>
    </row>
    <row r="24" spans="1:66" ht="12.75">
      <c r="A24" s="79" t="s">
        <v>570</v>
      </c>
      <c r="B24" s="79" t="s">
        <v>334</v>
      </c>
      <c r="C24" s="79" t="s">
        <v>156</v>
      </c>
      <c r="D24" s="99">
        <v>10280</v>
      </c>
      <c r="E24" s="99">
        <v>770</v>
      </c>
      <c r="F24" s="99" t="s">
        <v>356</v>
      </c>
      <c r="G24" s="99">
        <v>30</v>
      </c>
      <c r="H24" s="99">
        <v>14</v>
      </c>
      <c r="I24" s="99">
        <v>98</v>
      </c>
      <c r="J24" s="99">
        <v>426</v>
      </c>
      <c r="K24" s="99">
        <v>396</v>
      </c>
      <c r="L24" s="99">
        <v>1929</v>
      </c>
      <c r="M24" s="99">
        <v>185</v>
      </c>
      <c r="N24" s="99">
        <v>93</v>
      </c>
      <c r="O24" s="99">
        <v>134</v>
      </c>
      <c r="P24" s="159">
        <v>134</v>
      </c>
      <c r="Q24" s="99">
        <v>8</v>
      </c>
      <c r="R24" s="99">
        <v>23</v>
      </c>
      <c r="S24" s="99">
        <v>59</v>
      </c>
      <c r="T24" s="99">
        <v>10</v>
      </c>
      <c r="U24" s="99" t="s">
        <v>579</v>
      </c>
      <c r="V24" s="99">
        <v>29</v>
      </c>
      <c r="W24" s="99">
        <v>68</v>
      </c>
      <c r="X24" s="99">
        <v>24</v>
      </c>
      <c r="Y24" s="99">
        <v>103</v>
      </c>
      <c r="Z24" s="99">
        <v>49</v>
      </c>
      <c r="AA24" s="99" t="s">
        <v>579</v>
      </c>
      <c r="AB24" s="99" t="s">
        <v>579</v>
      </c>
      <c r="AC24" s="99" t="s">
        <v>579</v>
      </c>
      <c r="AD24" s="98" t="s">
        <v>336</v>
      </c>
      <c r="AE24" s="100">
        <v>0.07490272373540856</v>
      </c>
      <c r="AF24" s="100">
        <v>0.2</v>
      </c>
      <c r="AG24" s="98">
        <v>291.8287937743191</v>
      </c>
      <c r="AH24" s="98">
        <v>136.18677042801556</v>
      </c>
      <c r="AI24" s="100">
        <v>0.01</v>
      </c>
      <c r="AJ24" s="100">
        <v>0.605114</v>
      </c>
      <c r="AK24" s="100">
        <v>0.589286</v>
      </c>
      <c r="AL24" s="100">
        <v>0.721391</v>
      </c>
      <c r="AM24" s="100">
        <v>0.367063</v>
      </c>
      <c r="AN24" s="100">
        <v>0.359073</v>
      </c>
      <c r="AO24" s="98">
        <v>1303.5019455252918</v>
      </c>
      <c r="AP24" s="158">
        <v>1.0079039</v>
      </c>
      <c r="AQ24" s="100">
        <v>0.05970149253731343</v>
      </c>
      <c r="AR24" s="100">
        <v>0.34782608695652173</v>
      </c>
      <c r="AS24" s="98">
        <v>573.9299610894942</v>
      </c>
      <c r="AT24" s="98">
        <v>97.27626459143968</v>
      </c>
      <c r="AU24" s="98" t="s">
        <v>579</v>
      </c>
      <c r="AV24" s="98">
        <v>282.1011673151751</v>
      </c>
      <c r="AW24" s="98">
        <v>661.4785992217899</v>
      </c>
      <c r="AX24" s="98">
        <v>233.46303501945525</v>
      </c>
      <c r="AY24" s="98">
        <v>1001.9455252918287</v>
      </c>
      <c r="AZ24" s="98">
        <v>476.6536964980545</v>
      </c>
      <c r="BA24" s="100" t="s">
        <v>579</v>
      </c>
      <c r="BB24" s="100" t="s">
        <v>579</v>
      </c>
      <c r="BC24" s="100" t="s">
        <v>579</v>
      </c>
      <c r="BD24" s="158">
        <v>0.8444824219</v>
      </c>
      <c r="BE24" s="158">
        <v>1.193723679</v>
      </c>
      <c r="BF24" s="162">
        <v>704</v>
      </c>
      <c r="BG24" s="162">
        <v>672</v>
      </c>
      <c r="BH24" s="162">
        <v>2674</v>
      </c>
      <c r="BI24" s="162">
        <v>504</v>
      </c>
      <c r="BJ24" s="162">
        <v>259</v>
      </c>
      <c r="BK24" s="97"/>
      <c r="BL24" s="97"/>
      <c r="BM24" s="97"/>
      <c r="BN24" s="97"/>
    </row>
    <row r="25" spans="1:66" ht="12.75">
      <c r="A25" s="79" t="s">
        <v>544</v>
      </c>
      <c r="B25" s="79" t="s">
        <v>308</v>
      </c>
      <c r="C25" s="79" t="s">
        <v>156</v>
      </c>
      <c r="D25" s="99">
        <v>5685</v>
      </c>
      <c r="E25" s="99">
        <v>929</v>
      </c>
      <c r="F25" s="99" t="s">
        <v>360</v>
      </c>
      <c r="G25" s="99">
        <v>8</v>
      </c>
      <c r="H25" s="99">
        <v>16</v>
      </c>
      <c r="I25" s="99">
        <v>59</v>
      </c>
      <c r="J25" s="99">
        <v>558</v>
      </c>
      <c r="K25" s="99">
        <v>539</v>
      </c>
      <c r="L25" s="99">
        <v>1093</v>
      </c>
      <c r="M25" s="99">
        <v>329</v>
      </c>
      <c r="N25" s="99">
        <v>173</v>
      </c>
      <c r="O25" s="99">
        <v>58</v>
      </c>
      <c r="P25" s="159">
        <v>58</v>
      </c>
      <c r="Q25" s="99">
        <v>9</v>
      </c>
      <c r="R25" s="99">
        <v>31</v>
      </c>
      <c r="S25" s="99">
        <v>16</v>
      </c>
      <c r="T25" s="99" t="s">
        <v>579</v>
      </c>
      <c r="U25" s="99" t="s">
        <v>579</v>
      </c>
      <c r="V25" s="99">
        <v>15</v>
      </c>
      <c r="W25" s="99">
        <v>48</v>
      </c>
      <c r="X25" s="99">
        <v>13</v>
      </c>
      <c r="Y25" s="99">
        <v>79</v>
      </c>
      <c r="Z25" s="99">
        <v>32</v>
      </c>
      <c r="AA25" s="99" t="s">
        <v>579</v>
      </c>
      <c r="AB25" s="99" t="s">
        <v>579</v>
      </c>
      <c r="AC25" s="99" t="s">
        <v>579</v>
      </c>
      <c r="AD25" s="98" t="s">
        <v>336</v>
      </c>
      <c r="AE25" s="100">
        <v>0.16341248900615654</v>
      </c>
      <c r="AF25" s="100">
        <v>0.08</v>
      </c>
      <c r="AG25" s="98">
        <v>140.7211961301671</v>
      </c>
      <c r="AH25" s="98">
        <v>281.4423922603342</v>
      </c>
      <c r="AI25" s="100">
        <v>0.01</v>
      </c>
      <c r="AJ25" s="100">
        <v>0.740053</v>
      </c>
      <c r="AK25" s="100">
        <v>0.735334</v>
      </c>
      <c r="AL25" s="100">
        <v>0.715314</v>
      </c>
      <c r="AM25" s="100">
        <v>0.515674</v>
      </c>
      <c r="AN25" s="100">
        <v>0.504373</v>
      </c>
      <c r="AO25" s="98">
        <v>1020.2286719437116</v>
      </c>
      <c r="AP25" s="158">
        <v>0.5373113632</v>
      </c>
      <c r="AQ25" s="100">
        <v>0.15517241379310345</v>
      </c>
      <c r="AR25" s="100">
        <v>0.2903225806451613</v>
      </c>
      <c r="AS25" s="98">
        <v>281.4423922603342</v>
      </c>
      <c r="AT25" s="98" t="s">
        <v>579</v>
      </c>
      <c r="AU25" s="98" t="s">
        <v>579</v>
      </c>
      <c r="AV25" s="98">
        <v>263.85224274406335</v>
      </c>
      <c r="AW25" s="98">
        <v>844.3271767810027</v>
      </c>
      <c r="AX25" s="98">
        <v>228.67194371152155</v>
      </c>
      <c r="AY25" s="98">
        <v>1389.6218117854003</v>
      </c>
      <c r="AZ25" s="98">
        <v>562.8847845206684</v>
      </c>
      <c r="BA25" s="100" t="s">
        <v>579</v>
      </c>
      <c r="BB25" s="100" t="s">
        <v>579</v>
      </c>
      <c r="BC25" s="100" t="s">
        <v>579</v>
      </c>
      <c r="BD25" s="158">
        <v>0.40800304410000005</v>
      </c>
      <c r="BE25" s="158">
        <v>0.6945995331</v>
      </c>
      <c r="BF25" s="162">
        <v>754</v>
      </c>
      <c r="BG25" s="162">
        <v>733</v>
      </c>
      <c r="BH25" s="162">
        <v>1528</v>
      </c>
      <c r="BI25" s="162">
        <v>638</v>
      </c>
      <c r="BJ25" s="162">
        <v>343</v>
      </c>
      <c r="BK25" s="97"/>
      <c r="BL25" s="97"/>
      <c r="BM25" s="97"/>
      <c r="BN25" s="97"/>
    </row>
    <row r="26" spans="1:66" ht="12.75">
      <c r="A26" s="79" t="s">
        <v>584</v>
      </c>
      <c r="B26" s="79" t="s">
        <v>304</v>
      </c>
      <c r="C26" s="79" t="s">
        <v>156</v>
      </c>
      <c r="D26" s="99">
        <v>5035</v>
      </c>
      <c r="E26" s="99">
        <v>876</v>
      </c>
      <c r="F26" s="99" t="s">
        <v>360</v>
      </c>
      <c r="G26" s="99">
        <v>26</v>
      </c>
      <c r="H26" s="99">
        <v>17</v>
      </c>
      <c r="I26" s="99">
        <v>118</v>
      </c>
      <c r="J26" s="99">
        <v>524</v>
      </c>
      <c r="K26" s="99">
        <v>150</v>
      </c>
      <c r="L26" s="99">
        <v>974</v>
      </c>
      <c r="M26" s="99">
        <v>345</v>
      </c>
      <c r="N26" s="99">
        <v>192</v>
      </c>
      <c r="O26" s="99">
        <v>58</v>
      </c>
      <c r="P26" s="159">
        <v>58</v>
      </c>
      <c r="Q26" s="99" t="s">
        <v>579</v>
      </c>
      <c r="R26" s="99">
        <v>16</v>
      </c>
      <c r="S26" s="99">
        <v>17</v>
      </c>
      <c r="T26" s="99">
        <v>7</v>
      </c>
      <c r="U26" s="99" t="s">
        <v>579</v>
      </c>
      <c r="V26" s="99">
        <v>10</v>
      </c>
      <c r="W26" s="99">
        <v>51</v>
      </c>
      <c r="X26" s="99">
        <v>10</v>
      </c>
      <c r="Y26" s="99">
        <v>77</v>
      </c>
      <c r="Z26" s="99">
        <v>30</v>
      </c>
      <c r="AA26" s="99" t="s">
        <v>579</v>
      </c>
      <c r="AB26" s="99" t="s">
        <v>579</v>
      </c>
      <c r="AC26" s="99" t="s">
        <v>579</v>
      </c>
      <c r="AD26" s="98" t="s">
        <v>336</v>
      </c>
      <c r="AE26" s="100">
        <v>0.17398212512413108</v>
      </c>
      <c r="AF26" s="100">
        <v>0.07</v>
      </c>
      <c r="AG26" s="98">
        <v>516.3853028798411</v>
      </c>
      <c r="AH26" s="98">
        <v>337.63654419066535</v>
      </c>
      <c r="AI26" s="100">
        <v>0.023</v>
      </c>
      <c r="AJ26" s="100">
        <v>0.784431</v>
      </c>
      <c r="AK26" s="100">
        <v>0.852273</v>
      </c>
      <c r="AL26" s="100">
        <v>0.7792</v>
      </c>
      <c r="AM26" s="100">
        <v>0.596886</v>
      </c>
      <c r="AN26" s="100">
        <v>0.571429</v>
      </c>
      <c r="AO26" s="98">
        <v>1151.9364448857993</v>
      </c>
      <c r="AP26" s="158">
        <v>0.5960258484</v>
      </c>
      <c r="AQ26" s="100" t="s">
        <v>579</v>
      </c>
      <c r="AR26" s="100" t="s">
        <v>579</v>
      </c>
      <c r="AS26" s="98">
        <v>337.63654419066535</v>
      </c>
      <c r="AT26" s="98">
        <v>139.0268123138034</v>
      </c>
      <c r="AU26" s="98" t="s">
        <v>579</v>
      </c>
      <c r="AV26" s="98">
        <v>198.60973187686196</v>
      </c>
      <c r="AW26" s="98">
        <v>1012.909632571996</v>
      </c>
      <c r="AX26" s="98">
        <v>198.60973187686196</v>
      </c>
      <c r="AY26" s="98">
        <v>1529.294935451837</v>
      </c>
      <c r="AZ26" s="98">
        <v>595.8291956305859</v>
      </c>
      <c r="BA26" s="101" t="s">
        <v>579</v>
      </c>
      <c r="BB26" s="101" t="s">
        <v>579</v>
      </c>
      <c r="BC26" s="101" t="s">
        <v>579</v>
      </c>
      <c r="BD26" s="158">
        <v>0.4525874329</v>
      </c>
      <c r="BE26" s="158">
        <v>0.7705016326999999</v>
      </c>
      <c r="BF26" s="162">
        <v>668</v>
      </c>
      <c r="BG26" s="162">
        <v>176</v>
      </c>
      <c r="BH26" s="162">
        <v>1250</v>
      </c>
      <c r="BI26" s="162">
        <v>578</v>
      </c>
      <c r="BJ26" s="162">
        <v>336</v>
      </c>
      <c r="BK26" s="97"/>
      <c r="BL26" s="97"/>
      <c r="BM26" s="97"/>
      <c r="BN26" s="97"/>
    </row>
    <row r="27" spans="1:66" ht="12.75">
      <c r="A27" s="79" t="s">
        <v>557</v>
      </c>
      <c r="B27" s="79" t="s">
        <v>321</v>
      </c>
      <c r="C27" s="79" t="s">
        <v>156</v>
      </c>
      <c r="D27" s="99">
        <v>3487</v>
      </c>
      <c r="E27" s="99">
        <v>541</v>
      </c>
      <c r="F27" s="99" t="s">
        <v>358</v>
      </c>
      <c r="G27" s="99">
        <v>7</v>
      </c>
      <c r="H27" s="99">
        <v>6</v>
      </c>
      <c r="I27" s="99">
        <v>37</v>
      </c>
      <c r="J27" s="99">
        <v>330</v>
      </c>
      <c r="K27" s="99" t="s">
        <v>579</v>
      </c>
      <c r="L27" s="99">
        <v>736</v>
      </c>
      <c r="M27" s="99">
        <v>205</v>
      </c>
      <c r="N27" s="99">
        <v>102</v>
      </c>
      <c r="O27" s="99">
        <v>26</v>
      </c>
      <c r="P27" s="159">
        <v>26</v>
      </c>
      <c r="Q27" s="99">
        <v>7</v>
      </c>
      <c r="R27" s="99">
        <v>18</v>
      </c>
      <c r="S27" s="99">
        <v>9</v>
      </c>
      <c r="T27" s="99" t="s">
        <v>579</v>
      </c>
      <c r="U27" s="99" t="s">
        <v>579</v>
      </c>
      <c r="V27" s="99" t="s">
        <v>579</v>
      </c>
      <c r="W27" s="99">
        <v>34</v>
      </c>
      <c r="X27" s="99">
        <v>14</v>
      </c>
      <c r="Y27" s="99">
        <v>26</v>
      </c>
      <c r="Z27" s="99">
        <v>16</v>
      </c>
      <c r="AA27" s="99" t="s">
        <v>579</v>
      </c>
      <c r="AB27" s="99" t="s">
        <v>579</v>
      </c>
      <c r="AC27" s="99" t="s">
        <v>579</v>
      </c>
      <c r="AD27" s="98" t="s">
        <v>336</v>
      </c>
      <c r="AE27" s="100">
        <v>0.15514769142529394</v>
      </c>
      <c r="AF27" s="100">
        <v>0.1</v>
      </c>
      <c r="AG27" s="98">
        <v>200.7456266131345</v>
      </c>
      <c r="AH27" s="98">
        <v>172.06767995411528</v>
      </c>
      <c r="AI27" s="100">
        <v>0.011000000000000001</v>
      </c>
      <c r="AJ27" s="100">
        <v>0.703625</v>
      </c>
      <c r="AK27" s="100" t="s">
        <v>579</v>
      </c>
      <c r="AL27" s="100">
        <v>0.800871</v>
      </c>
      <c r="AM27" s="100">
        <v>0.584046</v>
      </c>
      <c r="AN27" s="100">
        <v>0.576271</v>
      </c>
      <c r="AO27" s="98">
        <v>745.6266131344996</v>
      </c>
      <c r="AP27" s="158">
        <v>0.3895801163</v>
      </c>
      <c r="AQ27" s="100">
        <v>0.2692307692307692</v>
      </c>
      <c r="AR27" s="100">
        <v>0.3888888888888889</v>
      </c>
      <c r="AS27" s="98">
        <v>258.1015199311729</v>
      </c>
      <c r="AT27" s="98" t="s">
        <v>579</v>
      </c>
      <c r="AU27" s="98" t="s">
        <v>579</v>
      </c>
      <c r="AV27" s="98" t="s">
        <v>579</v>
      </c>
      <c r="AW27" s="98">
        <v>975.0501864066533</v>
      </c>
      <c r="AX27" s="98">
        <v>401.491253226269</v>
      </c>
      <c r="AY27" s="98">
        <v>745.6266131344996</v>
      </c>
      <c r="AZ27" s="98">
        <v>458.8471465443074</v>
      </c>
      <c r="BA27" s="100" t="s">
        <v>579</v>
      </c>
      <c r="BB27" s="100" t="s">
        <v>579</v>
      </c>
      <c r="BC27" s="100" t="s">
        <v>579</v>
      </c>
      <c r="BD27" s="158">
        <v>0.2544866753</v>
      </c>
      <c r="BE27" s="158">
        <v>0.5708251572</v>
      </c>
      <c r="BF27" s="162">
        <v>469</v>
      </c>
      <c r="BG27" s="162" t="s">
        <v>579</v>
      </c>
      <c r="BH27" s="162">
        <v>919</v>
      </c>
      <c r="BI27" s="162">
        <v>351</v>
      </c>
      <c r="BJ27" s="162">
        <v>177</v>
      </c>
      <c r="BK27" s="97"/>
      <c r="BL27" s="97"/>
      <c r="BM27" s="97"/>
      <c r="BN27" s="97"/>
    </row>
    <row r="28" spans="1:66" ht="12.75">
      <c r="A28" s="79" t="s">
        <v>559</v>
      </c>
      <c r="B28" s="79" t="s">
        <v>323</v>
      </c>
      <c r="C28" s="79" t="s">
        <v>156</v>
      </c>
      <c r="D28" s="99">
        <v>7885</v>
      </c>
      <c r="E28" s="99">
        <v>780</v>
      </c>
      <c r="F28" s="99" t="s">
        <v>359</v>
      </c>
      <c r="G28" s="99">
        <v>29</v>
      </c>
      <c r="H28" s="99">
        <v>16</v>
      </c>
      <c r="I28" s="99">
        <v>94</v>
      </c>
      <c r="J28" s="99">
        <v>520</v>
      </c>
      <c r="K28" s="99">
        <v>15</v>
      </c>
      <c r="L28" s="99">
        <v>1622</v>
      </c>
      <c r="M28" s="99">
        <v>311</v>
      </c>
      <c r="N28" s="99">
        <v>177</v>
      </c>
      <c r="O28" s="99">
        <v>110</v>
      </c>
      <c r="P28" s="159">
        <v>110</v>
      </c>
      <c r="Q28" s="99">
        <v>14</v>
      </c>
      <c r="R28" s="99">
        <v>40</v>
      </c>
      <c r="S28" s="99">
        <v>49</v>
      </c>
      <c r="T28" s="99">
        <v>7</v>
      </c>
      <c r="U28" s="99" t="s">
        <v>579</v>
      </c>
      <c r="V28" s="99">
        <v>18</v>
      </c>
      <c r="W28" s="99">
        <v>67</v>
      </c>
      <c r="X28" s="99">
        <v>22</v>
      </c>
      <c r="Y28" s="99">
        <v>86</v>
      </c>
      <c r="Z28" s="99">
        <v>67</v>
      </c>
      <c r="AA28" s="99" t="s">
        <v>579</v>
      </c>
      <c r="AB28" s="99" t="s">
        <v>579</v>
      </c>
      <c r="AC28" s="99" t="s">
        <v>579</v>
      </c>
      <c r="AD28" s="98" t="s">
        <v>336</v>
      </c>
      <c r="AE28" s="100">
        <v>0.09892200380469246</v>
      </c>
      <c r="AF28" s="100">
        <v>0.15</v>
      </c>
      <c r="AG28" s="98">
        <v>367.7869372225745</v>
      </c>
      <c r="AH28" s="98">
        <v>202.91693088142043</v>
      </c>
      <c r="AI28" s="100">
        <v>0.012</v>
      </c>
      <c r="AJ28" s="100">
        <v>0.678851</v>
      </c>
      <c r="AK28" s="100">
        <v>0.625</v>
      </c>
      <c r="AL28" s="100">
        <v>0.743355</v>
      </c>
      <c r="AM28" s="100">
        <v>0.488226</v>
      </c>
      <c r="AN28" s="100">
        <v>0.516035</v>
      </c>
      <c r="AO28" s="98">
        <v>1395.0538998097654</v>
      </c>
      <c r="AP28" s="158">
        <v>0.9235601044</v>
      </c>
      <c r="AQ28" s="100">
        <v>0.12727272727272726</v>
      </c>
      <c r="AR28" s="100">
        <v>0.35</v>
      </c>
      <c r="AS28" s="98">
        <v>621.43310082435</v>
      </c>
      <c r="AT28" s="98">
        <v>88.77615726062143</v>
      </c>
      <c r="AU28" s="98" t="s">
        <v>579</v>
      </c>
      <c r="AV28" s="98">
        <v>228.28154724159796</v>
      </c>
      <c r="AW28" s="98">
        <v>849.714648065948</v>
      </c>
      <c r="AX28" s="98">
        <v>279.01077996195306</v>
      </c>
      <c r="AY28" s="98">
        <v>1090.6785034876348</v>
      </c>
      <c r="AZ28" s="98">
        <v>849.714648065948</v>
      </c>
      <c r="BA28" s="100" t="s">
        <v>579</v>
      </c>
      <c r="BB28" s="100" t="s">
        <v>579</v>
      </c>
      <c r="BC28" s="100" t="s">
        <v>579</v>
      </c>
      <c r="BD28" s="158">
        <v>0.7590541077</v>
      </c>
      <c r="BE28" s="158">
        <v>1.1131397250000001</v>
      </c>
      <c r="BF28" s="162">
        <v>766</v>
      </c>
      <c r="BG28" s="162">
        <v>24</v>
      </c>
      <c r="BH28" s="162">
        <v>2182</v>
      </c>
      <c r="BI28" s="162">
        <v>637</v>
      </c>
      <c r="BJ28" s="162">
        <v>343</v>
      </c>
      <c r="BK28" s="97"/>
      <c r="BL28" s="97"/>
      <c r="BM28" s="97"/>
      <c r="BN28" s="97"/>
    </row>
    <row r="29" spans="1:66" ht="12.75">
      <c r="A29" s="79" t="s">
        <v>539</v>
      </c>
      <c r="B29" s="79" t="s">
        <v>301</v>
      </c>
      <c r="C29" s="79" t="s">
        <v>156</v>
      </c>
      <c r="D29" s="99">
        <v>14023</v>
      </c>
      <c r="E29" s="99">
        <v>1841</v>
      </c>
      <c r="F29" s="99" t="s">
        <v>359</v>
      </c>
      <c r="G29" s="99">
        <v>43</v>
      </c>
      <c r="H29" s="99">
        <v>15</v>
      </c>
      <c r="I29" s="99">
        <v>192</v>
      </c>
      <c r="J29" s="99">
        <v>862</v>
      </c>
      <c r="K29" s="99">
        <v>12</v>
      </c>
      <c r="L29" s="99">
        <v>2434</v>
      </c>
      <c r="M29" s="99">
        <v>559</v>
      </c>
      <c r="N29" s="99">
        <v>284</v>
      </c>
      <c r="O29" s="99">
        <v>168</v>
      </c>
      <c r="P29" s="159">
        <v>168</v>
      </c>
      <c r="Q29" s="99">
        <v>23</v>
      </c>
      <c r="R29" s="99">
        <v>39</v>
      </c>
      <c r="S29" s="99">
        <v>37</v>
      </c>
      <c r="T29" s="99">
        <v>31</v>
      </c>
      <c r="U29" s="99" t="s">
        <v>579</v>
      </c>
      <c r="V29" s="99">
        <v>20</v>
      </c>
      <c r="W29" s="99">
        <v>82</v>
      </c>
      <c r="X29" s="99">
        <v>39</v>
      </c>
      <c r="Y29" s="99">
        <v>158</v>
      </c>
      <c r="Z29" s="99">
        <v>58</v>
      </c>
      <c r="AA29" s="99" t="s">
        <v>579</v>
      </c>
      <c r="AB29" s="99" t="s">
        <v>579</v>
      </c>
      <c r="AC29" s="99" t="s">
        <v>579</v>
      </c>
      <c r="AD29" s="98" t="s">
        <v>336</v>
      </c>
      <c r="AE29" s="100">
        <v>0.13128431861941098</v>
      </c>
      <c r="AF29" s="100">
        <v>0.14</v>
      </c>
      <c r="AG29" s="98">
        <v>306.63909291877627</v>
      </c>
      <c r="AH29" s="98">
        <v>106.96712543678242</v>
      </c>
      <c r="AI29" s="100">
        <v>0.013999999999999999</v>
      </c>
      <c r="AJ29" s="100">
        <v>0.649586</v>
      </c>
      <c r="AK29" s="100">
        <v>0.444444</v>
      </c>
      <c r="AL29" s="100">
        <v>0.694437</v>
      </c>
      <c r="AM29" s="100">
        <v>0.47737</v>
      </c>
      <c r="AN29" s="100">
        <v>0.465574</v>
      </c>
      <c r="AO29" s="98">
        <v>1198.0318048919632</v>
      </c>
      <c r="AP29" s="158">
        <v>0.7373403168</v>
      </c>
      <c r="AQ29" s="100">
        <v>0.13690476190476192</v>
      </c>
      <c r="AR29" s="100">
        <v>0.5897435897435898</v>
      </c>
      <c r="AS29" s="98">
        <v>263.85224274406335</v>
      </c>
      <c r="AT29" s="98">
        <v>221.06539256935037</v>
      </c>
      <c r="AU29" s="98" t="s">
        <v>579</v>
      </c>
      <c r="AV29" s="98">
        <v>142.62283391570992</v>
      </c>
      <c r="AW29" s="98">
        <v>584.7536190544106</v>
      </c>
      <c r="AX29" s="98">
        <v>278.1145261356343</v>
      </c>
      <c r="AY29" s="98">
        <v>1126.7203879341082</v>
      </c>
      <c r="AZ29" s="98">
        <v>413.6062183555587</v>
      </c>
      <c r="BA29" s="100" t="s">
        <v>579</v>
      </c>
      <c r="BB29" s="100" t="s">
        <v>579</v>
      </c>
      <c r="BC29" s="100" t="s">
        <v>579</v>
      </c>
      <c r="BD29" s="158">
        <v>0.630057106</v>
      </c>
      <c r="BE29" s="158">
        <v>0.8576543427</v>
      </c>
      <c r="BF29" s="162">
        <v>1327</v>
      </c>
      <c r="BG29" s="162">
        <v>27</v>
      </c>
      <c r="BH29" s="162">
        <v>3505</v>
      </c>
      <c r="BI29" s="162">
        <v>1171</v>
      </c>
      <c r="BJ29" s="162">
        <v>610</v>
      </c>
      <c r="BK29" s="97"/>
      <c r="BL29" s="97"/>
      <c r="BM29" s="97"/>
      <c r="BN29" s="97"/>
    </row>
    <row r="30" spans="1:66" ht="12.75">
      <c r="A30" s="79" t="s">
        <v>526</v>
      </c>
      <c r="B30" s="79" t="s">
        <v>287</v>
      </c>
      <c r="C30" s="79" t="s">
        <v>156</v>
      </c>
      <c r="D30" s="99">
        <v>4202</v>
      </c>
      <c r="E30" s="99">
        <v>509</v>
      </c>
      <c r="F30" s="99" t="s">
        <v>358</v>
      </c>
      <c r="G30" s="99">
        <v>16</v>
      </c>
      <c r="H30" s="99" t="s">
        <v>579</v>
      </c>
      <c r="I30" s="99">
        <v>51</v>
      </c>
      <c r="J30" s="99">
        <v>283</v>
      </c>
      <c r="K30" s="99">
        <v>8</v>
      </c>
      <c r="L30" s="99">
        <v>752</v>
      </c>
      <c r="M30" s="99">
        <v>195</v>
      </c>
      <c r="N30" s="99">
        <v>100</v>
      </c>
      <c r="O30" s="99">
        <v>89</v>
      </c>
      <c r="P30" s="159">
        <v>89</v>
      </c>
      <c r="Q30" s="99">
        <v>6</v>
      </c>
      <c r="R30" s="99">
        <v>14</v>
      </c>
      <c r="S30" s="99">
        <v>31</v>
      </c>
      <c r="T30" s="99">
        <v>11</v>
      </c>
      <c r="U30" s="99" t="s">
        <v>579</v>
      </c>
      <c r="V30" s="99">
        <v>24</v>
      </c>
      <c r="W30" s="99">
        <v>42</v>
      </c>
      <c r="X30" s="99" t="s">
        <v>579</v>
      </c>
      <c r="Y30" s="99">
        <v>38</v>
      </c>
      <c r="Z30" s="99">
        <v>26</v>
      </c>
      <c r="AA30" s="99" t="s">
        <v>579</v>
      </c>
      <c r="AB30" s="99" t="s">
        <v>579</v>
      </c>
      <c r="AC30" s="99" t="s">
        <v>579</v>
      </c>
      <c r="AD30" s="98" t="s">
        <v>336</v>
      </c>
      <c r="AE30" s="100">
        <v>0.12113279390766302</v>
      </c>
      <c r="AF30" s="100">
        <v>0.11</v>
      </c>
      <c r="AG30" s="98">
        <v>380.77106139933363</v>
      </c>
      <c r="AH30" s="98" t="s">
        <v>579</v>
      </c>
      <c r="AI30" s="100">
        <v>0.012</v>
      </c>
      <c r="AJ30" s="100">
        <v>0.643182</v>
      </c>
      <c r="AK30" s="100">
        <v>0.380952</v>
      </c>
      <c r="AL30" s="100">
        <v>0.689908</v>
      </c>
      <c r="AM30" s="100">
        <v>0.493671</v>
      </c>
      <c r="AN30" s="100">
        <v>0.546448</v>
      </c>
      <c r="AO30" s="98">
        <v>2118.039029033793</v>
      </c>
      <c r="AP30" s="158">
        <v>1.297194672</v>
      </c>
      <c r="AQ30" s="100">
        <v>0.06741573033707865</v>
      </c>
      <c r="AR30" s="100">
        <v>0.42857142857142855</v>
      </c>
      <c r="AS30" s="98">
        <v>737.743931461209</v>
      </c>
      <c r="AT30" s="98">
        <v>261.78010471204186</v>
      </c>
      <c r="AU30" s="98" t="s">
        <v>579</v>
      </c>
      <c r="AV30" s="98">
        <v>571.1565920990005</v>
      </c>
      <c r="AW30" s="98">
        <v>999.5240361732508</v>
      </c>
      <c r="AX30" s="98" t="s">
        <v>579</v>
      </c>
      <c r="AY30" s="98">
        <v>904.3312708234174</v>
      </c>
      <c r="AZ30" s="98">
        <v>618.7529747739172</v>
      </c>
      <c r="BA30" s="100" t="s">
        <v>579</v>
      </c>
      <c r="BB30" s="100" t="s">
        <v>579</v>
      </c>
      <c r="BC30" s="100" t="s">
        <v>579</v>
      </c>
      <c r="BD30" s="158">
        <v>1.0417538450000001</v>
      </c>
      <c r="BE30" s="158">
        <v>1.596309662</v>
      </c>
      <c r="BF30" s="162">
        <v>440</v>
      </c>
      <c r="BG30" s="162">
        <v>21</v>
      </c>
      <c r="BH30" s="162">
        <v>1090</v>
      </c>
      <c r="BI30" s="162">
        <v>395</v>
      </c>
      <c r="BJ30" s="162">
        <v>183</v>
      </c>
      <c r="BK30" s="97"/>
      <c r="BL30" s="97"/>
      <c r="BM30" s="97"/>
      <c r="BN30" s="97"/>
    </row>
    <row r="31" spans="1:66" ht="12.75">
      <c r="A31" s="79" t="s">
        <v>537</v>
      </c>
      <c r="B31" s="79" t="s">
        <v>299</v>
      </c>
      <c r="C31" s="79" t="s">
        <v>156</v>
      </c>
      <c r="D31" s="99">
        <v>7677</v>
      </c>
      <c r="E31" s="99">
        <v>1113</v>
      </c>
      <c r="F31" s="99" t="s">
        <v>360</v>
      </c>
      <c r="G31" s="99">
        <v>26</v>
      </c>
      <c r="H31" s="99">
        <v>11</v>
      </c>
      <c r="I31" s="99">
        <v>162</v>
      </c>
      <c r="J31" s="99">
        <v>537</v>
      </c>
      <c r="K31" s="99">
        <v>515</v>
      </c>
      <c r="L31" s="99">
        <v>1475</v>
      </c>
      <c r="M31" s="99">
        <v>378</v>
      </c>
      <c r="N31" s="99">
        <v>209</v>
      </c>
      <c r="O31" s="99">
        <v>72</v>
      </c>
      <c r="P31" s="159">
        <v>72</v>
      </c>
      <c r="Q31" s="99">
        <v>12</v>
      </c>
      <c r="R31" s="99">
        <v>30</v>
      </c>
      <c r="S31" s="99">
        <v>8</v>
      </c>
      <c r="T31" s="99">
        <v>12</v>
      </c>
      <c r="U31" s="99">
        <v>6</v>
      </c>
      <c r="V31" s="99">
        <v>6</v>
      </c>
      <c r="W31" s="99">
        <v>36</v>
      </c>
      <c r="X31" s="99">
        <v>22</v>
      </c>
      <c r="Y31" s="99">
        <v>64</v>
      </c>
      <c r="Z31" s="99">
        <v>32</v>
      </c>
      <c r="AA31" s="99" t="s">
        <v>579</v>
      </c>
      <c r="AB31" s="99" t="s">
        <v>579</v>
      </c>
      <c r="AC31" s="99" t="s">
        <v>579</v>
      </c>
      <c r="AD31" s="98" t="s">
        <v>336</v>
      </c>
      <c r="AE31" s="100">
        <v>0.1449785072293865</v>
      </c>
      <c r="AF31" s="100">
        <v>0.06</v>
      </c>
      <c r="AG31" s="98">
        <v>338.67396118275366</v>
      </c>
      <c r="AH31" s="98">
        <v>143.28513742347272</v>
      </c>
      <c r="AI31" s="100">
        <v>0.021</v>
      </c>
      <c r="AJ31" s="100">
        <v>0.686701</v>
      </c>
      <c r="AK31" s="100">
        <v>0.68484</v>
      </c>
      <c r="AL31" s="100">
        <v>0.690867</v>
      </c>
      <c r="AM31" s="100">
        <v>0.527933</v>
      </c>
      <c r="AN31" s="100">
        <v>0.534527</v>
      </c>
      <c r="AO31" s="98">
        <v>937.8663540445486</v>
      </c>
      <c r="AP31" s="158">
        <v>0.5305124664</v>
      </c>
      <c r="AQ31" s="100">
        <v>0.16666666666666666</v>
      </c>
      <c r="AR31" s="100">
        <v>0.4</v>
      </c>
      <c r="AS31" s="98">
        <v>104.20737267161651</v>
      </c>
      <c r="AT31" s="98">
        <v>156.31105900742477</v>
      </c>
      <c r="AU31" s="98">
        <v>78.15552950371239</v>
      </c>
      <c r="AV31" s="98">
        <v>78.15552950371239</v>
      </c>
      <c r="AW31" s="98">
        <v>468.9331770222743</v>
      </c>
      <c r="AX31" s="98">
        <v>286.57027484694544</v>
      </c>
      <c r="AY31" s="98">
        <v>833.6589813729321</v>
      </c>
      <c r="AZ31" s="98">
        <v>416.82949068646604</v>
      </c>
      <c r="BA31" s="100" t="s">
        <v>579</v>
      </c>
      <c r="BB31" s="100" t="s">
        <v>579</v>
      </c>
      <c r="BC31" s="100" t="s">
        <v>579</v>
      </c>
      <c r="BD31" s="158">
        <v>0.4150933456</v>
      </c>
      <c r="BE31" s="158">
        <v>0.6680926514</v>
      </c>
      <c r="BF31" s="162">
        <v>782</v>
      </c>
      <c r="BG31" s="162">
        <v>752</v>
      </c>
      <c r="BH31" s="162">
        <v>2135</v>
      </c>
      <c r="BI31" s="162">
        <v>716</v>
      </c>
      <c r="BJ31" s="162">
        <v>391</v>
      </c>
      <c r="BK31" s="97"/>
      <c r="BL31" s="97"/>
      <c r="BM31" s="97"/>
      <c r="BN31" s="97"/>
    </row>
    <row r="32" spans="1:66" ht="12.75">
      <c r="A32" s="79" t="s">
        <v>532</v>
      </c>
      <c r="B32" s="79" t="s">
        <v>293</v>
      </c>
      <c r="C32" s="79" t="s">
        <v>156</v>
      </c>
      <c r="D32" s="99">
        <v>10500</v>
      </c>
      <c r="E32" s="99">
        <v>1015</v>
      </c>
      <c r="F32" s="99" t="s">
        <v>360</v>
      </c>
      <c r="G32" s="99">
        <v>31</v>
      </c>
      <c r="H32" s="99">
        <v>24</v>
      </c>
      <c r="I32" s="99">
        <v>120</v>
      </c>
      <c r="J32" s="99">
        <v>557</v>
      </c>
      <c r="K32" s="99">
        <v>547</v>
      </c>
      <c r="L32" s="99">
        <v>2173</v>
      </c>
      <c r="M32" s="99">
        <v>352</v>
      </c>
      <c r="N32" s="99">
        <v>182</v>
      </c>
      <c r="O32" s="99">
        <v>123</v>
      </c>
      <c r="P32" s="159">
        <v>123</v>
      </c>
      <c r="Q32" s="99">
        <v>15</v>
      </c>
      <c r="R32" s="99">
        <v>27</v>
      </c>
      <c r="S32" s="99">
        <v>34</v>
      </c>
      <c r="T32" s="99">
        <v>23</v>
      </c>
      <c r="U32" s="99" t="s">
        <v>579</v>
      </c>
      <c r="V32" s="99">
        <v>25</v>
      </c>
      <c r="W32" s="99">
        <v>33</v>
      </c>
      <c r="X32" s="99">
        <v>20</v>
      </c>
      <c r="Y32" s="99">
        <v>103</v>
      </c>
      <c r="Z32" s="99">
        <v>36</v>
      </c>
      <c r="AA32" s="99" t="s">
        <v>579</v>
      </c>
      <c r="AB32" s="99" t="s">
        <v>579</v>
      </c>
      <c r="AC32" s="99" t="s">
        <v>579</v>
      </c>
      <c r="AD32" s="98" t="s">
        <v>336</v>
      </c>
      <c r="AE32" s="100">
        <v>0.09666666666666666</v>
      </c>
      <c r="AF32" s="100">
        <v>0.07</v>
      </c>
      <c r="AG32" s="98">
        <v>295.23809523809524</v>
      </c>
      <c r="AH32" s="98">
        <v>228.57142857142858</v>
      </c>
      <c r="AI32" s="100">
        <v>0.011000000000000001</v>
      </c>
      <c r="AJ32" s="100">
        <v>0.721503</v>
      </c>
      <c r="AK32" s="100">
        <v>0.717848</v>
      </c>
      <c r="AL32" s="100">
        <v>0.683548</v>
      </c>
      <c r="AM32" s="100">
        <v>0.505022</v>
      </c>
      <c r="AN32" s="100">
        <v>0.49863</v>
      </c>
      <c r="AO32" s="98">
        <v>1171.4285714285713</v>
      </c>
      <c r="AP32" s="158">
        <v>0.8059764099</v>
      </c>
      <c r="AQ32" s="100">
        <v>0.12195121951219512</v>
      </c>
      <c r="AR32" s="100">
        <v>0.5555555555555556</v>
      </c>
      <c r="AS32" s="98">
        <v>323.8095238095238</v>
      </c>
      <c r="AT32" s="98">
        <v>219.04761904761904</v>
      </c>
      <c r="AU32" s="98" t="s">
        <v>579</v>
      </c>
      <c r="AV32" s="98">
        <v>238.0952380952381</v>
      </c>
      <c r="AW32" s="98">
        <v>314.2857142857143</v>
      </c>
      <c r="AX32" s="98">
        <v>190.47619047619048</v>
      </c>
      <c r="AY32" s="98">
        <v>980.952380952381</v>
      </c>
      <c r="AZ32" s="98">
        <v>342.85714285714283</v>
      </c>
      <c r="BA32" s="100" t="s">
        <v>579</v>
      </c>
      <c r="BB32" s="100" t="s">
        <v>579</v>
      </c>
      <c r="BC32" s="100" t="s">
        <v>579</v>
      </c>
      <c r="BD32" s="158">
        <v>0.6698451996</v>
      </c>
      <c r="BE32" s="158">
        <v>0.9616439819</v>
      </c>
      <c r="BF32" s="162">
        <v>772</v>
      </c>
      <c r="BG32" s="162">
        <v>762</v>
      </c>
      <c r="BH32" s="162">
        <v>3179</v>
      </c>
      <c r="BI32" s="162">
        <v>697</v>
      </c>
      <c r="BJ32" s="162">
        <v>365</v>
      </c>
      <c r="BK32" s="97"/>
      <c r="BL32" s="97"/>
      <c r="BM32" s="97"/>
      <c r="BN32" s="97"/>
    </row>
    <row r="33" spans="1:66" ht="12.75">
      <c r="A33" s="79" t="s">
        <v>549</v>
      </c>
      <c r="B33" s="79" t="s">
        <v>313</v>
      </c>
      <c r="C33" s="79" t="s">
        <v>156</v>
      </c>
      <c r="D33" s="99">
        <v>5392</v>
      </c>
      <c r="E33" s="99">
        <v>451</v>
      </c>
      <c r="F33" s="99" t="s">
        <v>358</v>
      </c>
      <c r="G33" s="99">
        <v>8</v>
      </c>
      <c r="H33" s="99">
        <v>6</v>
      </c>
      <c r="I33" s="99">
        <v>41</v>
      </c>
      <c r="J33" s="99">
        <v>234</v>
      </c>
      <c r="K33" s="99">
        <v>231</v>
      </c>
      <c r="L33" s="99">
        <v>1129</v>
      </c>
      <c r="M33" s="99">
        <v>131</v>
      </c>
      <c r="N33" s="99">
        <v>71</v>
      </c>
      <c r="O33" s="99">
        <v>68</v>
      </c>
      <c r="P33" s="159">
        <v>68</v>
      </c>
      <c r="Q33" s="99" t="s">
        <v>579</v>
      </c>
      <c r="R33" s="99">
        <v>7</v>
      </c>
      <c r="S33" s="99">
        <v>14</v>
      </c>
      <c r="T33" s="99" t="s">
        <v>579</v>
      </c>
      <c r="U33" s="99" t="s">
        <v>579</v>
      </c>
      <c r="V33" s="99">
        <v>36</v>
      </c>
      <c r="W33" s="99">
        <v>23</v>
      </c>
      <c r="X33" s="99">
        <v>9</v>
      </c>
      <c r="Y33" s="99">
        <v>55</v>
      </c>
      <c r="Z33" s="99">
        <v>25</v>
      </c>
      <c r="AA33" s="99" t="s">
        <v>579</v>
      </c>
      <c r="AB33" s="99" t="s">
        <v>579</v>
      </c>
      <c r="AC33" s="99" t="s">
        <v>579</v>
      </c>
      <c r="AD33" s="98" t="s">
        <v>336</v>
      </c>
      <c r="AE33" s="100">
        <v>0.08364243323442136</v>
      </c>
      <c r="AF33" s="100">
        <v>0.12</v>
      </c>
      <c r="AG33" s="98">
        <v>148.3679525222552</v>
      </c>
      <c r="AH33" s="98">
        <v>111.27596439169139</v>
      </c>
      <c r="AI33" s="100">
        <v>0.008</v>
      </c>
      <c r="AJ33" s="100">
        <v>0.583541</v>
      </c>
      <c r="AK33" s="100">
        <v>0.601563</v>
      </c>
      <c r="AL33" s="100">
        <v>0.722791</v>
      </c>
      <c r="AM33" s="100">
        <v>0.366947</v>
      </c>
      <c r="AN33" s="100">
        <v>0.371728</v>
      </c>
      <c r="AO33" s="98">
        <v>1261.127596439169</v>
      </c>
      <c r="AP33" s="158">
        <v>0.9367672729000001</v>
      </c>
      <c r="AQ33" s="100" t="s">
        <v>579</v>
      </c>
      <c r="AR33" s="100" t="s">
        <v>579</v>
      </c>
      <c r="AS33" s="98">
        <v>259.6439169139466</v>
      </c>
      <c r="AT33" s="98" t="s">
        <v>579</v>
      </c>
      <c r="AU33" s="98" t="s">
        <v>579</v>
      </c>
      <c r="AV33" s="98">
        <v>667.6557863501483</v>
      </c>
      <c r="AW33" s="98">
        <v>426.55786350148367</v>
      </c>
      <c r="AX33" s="98">
        <v>166.91394658753708</v>
      </c>
      <c r="AY33" s="98">
        <v>1020.0296735905044</v>
      </c>
      <c r="AZ33" s="98">
        <v>463.6498516320475</v>
      </c>
      <c r="BA33" s="100" t="s">
        <v>579</v>
      </c>
      <c r="BB33" s="100" t="s">
        <v>579</v>
      </c>
      <c r="BC33" s="100" t="s">
        <v>579</v>
      </c>
      <c r="BD33" s="158">
        <v>0.7274364471</v>
      </c>
      <c r="BE33" s="158">
        <v>1.18757576</v>
      </c>
      <c r="BF33" s="162">
        <v>401</v>
      </c>
      <c r="BG33" s="162">
        <v>384</v>
      </c>
      <c r="BH33" s="162">
        <v>1562</v>
      </c>
      <c r="BI33" s="162">
        <v>357</v>
      </c>
      <c r="BJ33" s="162">
        <v>191</v>
      </c>
      <c r="BK33" s="97"/>
      <c r="BL33" s="97"/>
      <c r="BM33" s="97"/>
      <c r="BN33" s="97"/>
    </row>
    <row r="34" spans="1:66" ht="12.75">
      <c r="A34" s="79" t="s">
        <v>538</v>
      </c>
      <c r="B34" s="79" t="s">
        <v>300</v>
      </c>
      <c r="C34" s="79" t="s">
        <v>156</v>
      </c>
      <c r="D34" s="99">
        <v>9496</v>
      </c>
      <c r="E34" s="99">
        <v>1113</v>
      </c>
      <c r="F34" s="99" t="s">
        <v>356</v>
      </c>
      <c r="G34" s="99">
        <v>39</v>
      </c>
      <c r="H34" s="99">
        <v>11</v>
      </c>
      <c r="I34" s="99">
        <v>89</v>
      </c>
      <c r="J34" s="99">
        <v>662</v>
      </c>
      <c r="K34" s="99">
        <v>52</v>
      </c>
      <c r="L34" s="99">
        <v>1793</v>
      </c>
      <c r="M34" s="99">
        <v>300</v>
      </c>
      <c r="N34" s="99">
        <v>175</v>
      </c>
      <c r="O34" s="99">
        <v>201</v>
      </c>
      <c r="P34" s="159">
        <v>201</v>
      </c>
      <c r="Q34" s="99">
        <v>14</v>
      </c>
      <c r="R34" s="99">
        <v>24</v>
      </c>
      <c r="S34" s="99">
        <v>51</v>
      </c>
      <c r="T34" s="99">
        <v>22</v>
      </c>
      <c r="U34" s="99" t="s">
        <v>579</v>
      </c>
      <c r="V34" s="99">
        <v>27</v>
      </c>
      <c r="W34" s="99">
        <v>45</v>
      </c>
      <c r="X34" s="99">
        <v>26</v>
      </c>
      <c r="Y34" s="99">
        <v>119</v>
      </c>
      <c r="Z34" s="99">
        <v>51</v>
      </c>
      <c r="AA34" s="99" t="s">
        <v>579</v>
      </c>
      <c r="AB34" s="99" t="s">
        <v>579</v>
      </c>
      <c r="AC34" s="99" t="s">
        <v>579</v>
      </c>
      <c r="AD34" s="98" t="s">
        <v>336</v>
      </c>
      <c r="AE34" s="100">
        <v>0.1172072451558551</v>
      </c>
      <c r="AF34" s="100">
        <v>0.19</v>
      </c>
      <c r="AG34" s="98">
        <v>410.69924178601514</v>
      </c>
      <c r="AH34" s="98">
        <v>115.83824768323505</v>
      </c>
      <c r="AI34" s="100">
        <v>0.009000000000000001</v>
      </c>
      <c r="AJ34" s="100">
        <v>0.708021</v>
      </c>
      <c r="AK34" s="100">
        <v>0.547368</v>
      </c>
      <c r="AL34" s="100">
        <v>0.723567</v>
      </c>
      <c r="AM34" s="100">
        <v>0.421348</v>
      </c>
      <c r="AN34" s="100">
        <v>0.431034</v>
      </c>
      <c r="AO34" s="98">
        <v>2116.680707666386</v>
      </c>
      <c r="AP34" s="158">
        <v>1.3449298099999998</v>
      </c>
      <c r="AQ34" s="100">
        <v>0.06965174129353234</v>
      </c>
      <c r="AR34" s="100">
        <v>0.5833333333333334</v>
      </c>
      <c r="AS34" s="98">
        <v>537.0682392586352</v>
      </c>
      <c r="AT34" s="98">
        <v>231.6764953664701</v>
      </c>
      <c r="AU34" s="98" t="s">
        <v>579</v>
      </c>
      <c r="AV34" s="98">
        <v>284.3302443133951</v>
      </c>
      <c r="AW34" s="98">
        <v>473.8837405223252</v>
      </c>
      <c r="AX34" s="98">
        <v>273.79949452401013</v>
      </c>
      <c r="AY34" s="98">
        <v>1253.1592249368155</v>
      </c>
      <c r="AZ34" s="98">
        <v>537.0682392586352</v>
      </c>
      <c r="BA34" s="100" t="s">
        <v>579</v>
      </c>
      <c r="BB34" s="100" t="s">
        <v>579</v>
      </c>
      <c r="BC34" s="100" t="s">
        <v>579</v>
      </c>
      <c r="BD34" s="158">
        <v>1.165416107</v>
      </c>
      <c r="BE34" s="158">
        <v>1.5442674260000002</v>
      </c>
      <c r="BF34" s="162">
        <v>935</v>
      </c>
      <c r="BG34" s="162">
        <v>95</v>
      </c>
      <c r="BH34" s="162">
        <v>2478</v>
      </c>
      <c r="BI34" s="162">
        <v>712</v>
      </c>
      <c r="BJ34" s="162">
        <v>406</v>
      </c>
      <c r="BK34" s="97"/>
      <c r="BL34" s="97"/>
      <c r="BM34" s="97"/>
      <c r="BN34" s="97"/>
    </row>
    <row r="35" spans="1:66" ht="12.75">
      <c r="A35" s="79" t="s">
        <v>558</v>
      </c>
      <c r="B35" s="79" t="s">
        <v>322</v>
      </c>
      <c r="C35" s="79" t="s">
        <v>156</v>
      </c>
      <c r="D35" s="99">
        <v>9721</v>
      </c>
      <c r="E35" s="99">
        <v>1387</v>
      </c>
      <c r="F35" s="99" t="s">
        <v>358</v>
      </c>
      <c r="G35" s="99">
        <v>25</v>
      </c>
      <c r="H35" s="99">
        <v>25</v>
      </c>
      <c r="I35" s="99">
        <v>168</v>
      </c>
      <c r="J35" s="99">
        <v>750</v>
      </c>
      <c r="K35" s="99">
        <v>10</v>
      </c>
      <c r="L35" s="99">
        <v>2027</v>
      </c>
      <c r="M35" s="99">
        <v>547</v>
      </c>
      <c r="N35" s="99">
        <v>269</v>
      </c>
      <c r="O35" s="99">
        <v>75</v>
      </c>
      <c r="P35" s="159">
        <v>75</v>
      </c>
      <c r="Q35" s="99">
        <v>12</v>
      </c>
      <c r="R35" s="99">
        <v>54</v>
      </c>
      <c r="S35" s="99">
        <v>20</v>
      </c>
      <c r="T35" s="99" t="s">
        <v>579</v>
      </c>
      <c r="U35" s="99" t="s">
        <v>579</v>
      </c>
      <c r="V35" s="99">
        <v>26</v>
      </c>
      <c r="W35" s="99">
        <v>109</v>
      </c>
      <c r="X35" s="99">
        <v>21</v>
      </c>
      <c r="Y35" s="99">
        <v>116</v>
      </c>
      <c r="Z35" s="99">
        <v>60</v>
      </c>
      <c r="AA35" s="99" t="s">
        <v>579</v>
      </c>
      <c r="AB35" s="99" t="s">
        <v>579</v>
      </c>
      <c r="AC35" s="99" t="s">
        <v>579</v>
      </c>
      <c r="AD35" s="98" t="s">
        <v>336</v>
      </c>
      <c r="AE35" s="100">
        <v>0.14268079415697973</v>
      </c>
      <c r="AF35" s="100">
        <v>0.1</v>
      </c>
      <c r="AG35" s="98">
        <v>257.17518773788703</v>
      </c>
      <c r="AH35" s="98">
        <v>257.17518773788703</v>
      </c>
      <c r="AI35" s="100">
        <v>0.017</v>
      </c>
      <c r="AJ35" s="100">
        <v>0.630252</v>
      </c>
      <c r="AK35" s="100">
        <v>0.5</v>
      </c>
      <c r="AL35" s="100">
        <v>0.757191</v>
      </c>
      <c r="AM35" s="100">
        <v>0.578836</v>
      </c>
      <c r="AN35" s="100">
        <v>0.577253</v>
      </c>
      <c r="AO35" s="98">
        <v>771.5255632136611</v>
      </c>
      <c r="AP35" s="158">
        <v>0.4250647354</v>
      </c>
      <c r="AQ35" s="100">
        <v>0.16</v>
      </c>
      <c r="AR35" s="100">
        <v>0.2222222222222222</v>
      </c>
      <c r="AS35" s="98">
        <v>205.74015019030963</v>
      </c>
      <c r="AT35" s="98" t="s">
        <v>579</v>
      </c>
      <c r="AU35" s="98" t="s">
        <v>579</v>
      </c>
      <c r="AV35" s="98">
        <v>267.4621952474025</v>
      </c>
      <c r="AW35" s="98">
        <v>1121.2838185371875</v>
      </c>
      <c r="AX35" s="98">
        <v>216.02715769982512</v>
      </c>
      <c r="AY35" s="98">
        <v>1193.292871103796</v>
      </c>
      <c r="AZ35" s="98">
        <v>617.220450570929</v>
      </c>
      <c r="BA35" s="100" t="s">
        <v>579</v>
      </c>
      <c r="BB35" s="100" t="s">
        <v>579</v>
      </c>
      <c r="BC35" s="100" t="s">
        <v>579</v>
      </c>
      <c r="BD35" s="158">
        <v>0.3343403625</v>
      </c>
      <c r="BE35" s="158">
        <v>0.5328223038000001</v>
      </c>
      <c r="BF35" s="162">
        <v>1190</v>
      </c>
      <c r="BG35" s="162">
        <v>20</v>
      </c>
      <c r="BH35" s="162">
        <v>2677</v>
      </c>
      <c r="BI35" s="162">
        <v>945</v>
      </c>
      <c r="BJ35" s="162">
        <v>466</v>
      </c>
      <c r="BK35" s="97"/>
      <c r="BL35" s="97"/>
      <c r="BM35" s="97"/>
      <c r="BN35" s="97"/>
    </row>
    <row r="36" spans="1:66" ht="12.75">
      <c r="A36" s="79" t="s">
        <v>545</v>
      </c>
      <c r="B36" s="79" t="s">
        <v>309</v>
      </c>
      <c r="C36" s="79" t="s">
        <v>156</v>
      </c>
      <c r="D36" s="99">
        <v>9292</v>
      </c>
      <c r="E36" s="99">
        <v>1396</v>
      </c>
      <c r="F36" s="99" t="s">
        <v>358</v>
      </c>
      <c r="G36" s="99">
        <v>58</v>
      </c>
      <c r="H36" s="99">
        <v>12</v>
      </c>
      <c r="I36" s="99">
        <v>197</v>
      </c>
      <c r="J36" s="99">
        <v>868</v>
      </c>
      <c r="K36" s="99">
        <v>809</v>
      </c>
      <c r="L36" s="99">
        <v>1869</v>
      </c>
      <c r="M36" s="99">
        <v>495</v>
      </c>
      <c r="N36" s="99">
        <v>254</v>
      </c>
      <c r="O36" s="99">
        <v>273</v>
      </c>
      <c r="P36" s="159">
        <v>273</v>
      </c>
      <c r="Q36" s="99">
        <v>18</v>
      </c>
      <c r="R36" s="99">
        <v>43</v>
      </c>
      <c r="S36" s="99">
        <v>42</v>
      </c>
      <c r="T36" s="99">
        <v>67</v>
      </c>
      <c r="U36" s="99">
        <v>6</v>
      </c>
      <c r="V36" s="99">
        <v>40</v>
      </c>
      <c r="W36" s="99">
        <v>113</v>
      </c>
      <c r="X36" s="99">
        <v>28</v>
      </c>
      <c r="Y36" s="99">
        <v>155</v>
      </c>
      <c r="Z36" s="99">
        <v>46</v>
      </c>
      <c r="AA36" s="99" t="s">
        <v>579</v>
      </c>
      <c r="AB36" s="99" t="s">
        <v>579</v>
      </c>
      <c r="AC36" s="99" t="s">
        <v>579</v>
      </c>
      <c r="AD36" s="98" t="s">
        <v>336</v>
      </c>
      <c r="AE36" s="100">
        <v>0.15023676280671544</v>
      </c>
      <c r="AF36" s="100">
        <v>0.09</v>
      </c>
      <c r="AG36" s="98">
        <v>624.1928540680155</v>
      </c>
      <c r="AH36" s="98">
        <v>129.14334911752044</v>
      </c>
      <c r="AI36" s="100">
        <v>0.021</v>
      </c>
      <c r="AJ36" s="100">
        <v>0.763412</v>
      </c>
      <c r="AK36" s="100">
        <v>0.740842</v>
      </c>
      <c r="AL36" s="100">
        <v>0.786285</v>
      </c>
      <c r="AM36" s="100">
        <v>0.543956</v>
      </c>
      <c r="AN36" s="100">
        <v>0.532495</v>
      </c>
      <c r="AO36" s="98">
        <v>2938.0111924235903</v>
      </c>
      <c r="AP36" s="158">
        <v>1.611720123</v>
      </c>
      <c r="AQ36" s="100">
        <v>0.06593406593406594</v>
      </c>
      <c r="AR36" s="100">
        <v>0.4186046511627907</v>
      </c>
      <c r="AS36" s="98">
        <v>452.00172191132157</v>
      </c>
      <c r="AT36" s="98">
        <v>721.0503659061559</v>
      </c>
      <c r="AU36" s="98">
        <v>64.57167455876022</v>
      </c>
      <c r="AV36" s="98">
        <v>430.4778303917348</v>
      </c>
      <c r="AW36" s="98">
        <v>1216.0998708566508</v>
      </c>
      <c r="AX36" s="98">
        <v>301.3344812742144</v>
      </c>
      <c r="AY36" s="98">
        <v>1668.1015927679725</v>
      </c>
      <c r="AZ36" s="98">
        <v>495.0495049504951</v>
      </c>
      <c r="BA36" s="100" t="s">
        <v>579</v>
      </c>
      <c r="BB36" s="100" t="s">
        <v>579</v>
      </c>
      <c r="BC36" s="100" t="s">
        <v>579</v>
      </c>
      <c r="BD36" s="158">
        <v>1.4261856080000002</v>
      </c>
      <c r="BE36" s="158">
        <v>1.8146888730000001</v>
      </c>
      <c r="BF36" s="162">
        <v>1137</v>
      </c>
      <c r="BG36" s="162">
        <v>1092</v>
      </c>
      <c r="BH36" s="162">
        <v>2377</v>
      </c>
      <c r="BI36" s="162">
        <v>910</v>
      </c>
      <c r="BJ36" s="162">
        <v>477</v>
      </c>
      <c r="BK36" s="97"/>
      <c r="BL36" s="97"/>
      <c r="BM36" s="97"/>
      <c r="BN36" s="97"/>
    </row>
    <row r="37" spans="1:66" ht="12.75">
      <c r="A37" s="79" t="s">
        <v>536</v>
      </c>
      <c r="B37" s="79" t="s">
        <v>298</v>
      </c>
      <c r="C37" s="79" t="s">
        <v>156</v>
      </c>
      <c r="D37" s="99">
        <v>9646</v>
      </c>
      <c r="E37" s="99">
        <v>1048</v>
      </c>
      <c r="F37" s="99" t="s">
        <v>356</v>
      </c>
      <c r="G37" s="99">
        <v>21</v>
      </c>
      <c r="H37" s="99">
        <v>11</v>
      </c>
      <c r="I37" s="99">
        <v>132</v>
      </c>
      <c r="J37" s="99">
        <v>652</v>
      </c>
      <c r="K37" s="99">
        <v>12</v>
      </c>
      <c r="L37" s="99">
        <v>1917</v>
      </c>
      <c r="M37" s="99">
        <v>337</v>
      </c>
      <c r="N37" s="99">
        <v>176</v>
      </c>
      <c r="O37" s="99">
        <v>250</v>
      </c>
      <c r="P37" s="159">
        <v>250</v>
      </c>
      <c r="Q37" s="99">
        <v>15</v>
      </c>
      <c r="R37" s="99">
        <v>27</v>
      </c>
      <c r="S37" s="99">
        <v>62</v>
      </c>
      <c r="T37" s="99">
        <v>18</v>
      </c>
      <c r="U37" s="99" t="s">
        <v>579</v>
      </c>
      <c r="V37" s="99">
        <v>40</v>
      </c>
      <c r="W37" s="99">
        <v>38</v>
      </c>
      <c r="X37" s="99">
        <v>26</v>
      </c>
      <c r="Y37" s="99">
        <v>99</v>
      </c>
      <c r="Z37" s="99">
        <v>36</v>
      </c>
      <c r="AA37" s="99" t="s">
        <v>579</v>
      </c>
      <c r="AB37" s="99" t="s">
        <v>579</v>
      </c>
      <c r="AC37" s="99" t="s">
        <v>579</v>
      </c>
      <c r="AD37" s="98" t="s">
        <v>336</v>
      </c>
      <c r="AE37" s="100">
        <v>0.10864607091022185</v>
      </c>
      <c r="AF37" s="100">
        <v>0.18</v>
      </c>
      <c r="AG37" s="98">
        <v>217.70682148040638</v>
      </c>
      <c r="AH37" s="98">
        <v>114.03690648973668</v>
      </c>
      <c r="AI37" s="100">
        <v>0.013999999999999999</v>
      </c>
      <c r="AJ37" s="100">
        <v>0.657921</v>
      </c>
      <c r="AK37" s="100">
        <v>0.413793</v>
      </c>
      <c r="AL37" s="100">
        <v>0.778003</v>
      </c>
      <c r="AM37" s="100">
        <v>0.462277</v>
      </c>
      <c r="AN37" s="100">
        <v>0.468085</v>
      </c>
      <c r="AO37" s="98">
        <v>2591.747874766743</v>
      </c>
      <c r="AP37" s="158">
        <v>1.6625511169999998</v>
      </c>
      <c r="AQ37" s="100">
        <v>0.06</v>
      </c>
      <c r="AR37" s="100">
        <v>0.5555555555555556</v>
      </c>
      <c r="AS37" s="98">
        <v>642.7534729421521</v>
      </c>
      <c r="AT37" s="98">
        <v>186.60584698320548</v>
      </c>
      <c r="AU37" s="98" t="s">
        <v>579</v>
      </c>
      <c r="AV37" s="98">
        <v>414.67965996267884</v>
      </c>
      <c r="AW37" s="98">
        <v>393.9456769645449</v>
      </c>
      <c r="AX37" s="98">
        <v>269.54177897574124</v>
      </c>
      <c r="AY37" s="98">
        <v>1026.33215840763</v>
      </c>
      <c r="AZ37" s="98">
        <v>373.21169396641096</v>
      </c>
      <c r="BA37" s="100" t="s">
        <v>579</v>
      </c>
      <c r="BB37" s="100" t="s">
        <v>579</v>
      </c>
      <c r="BC37" s="100" t="s">
        <v>579</v>
      </c>
      <c r="BD37" s="158">
        <v>1.462832184</v>
      </c>
      <c r="BE37" s="158">
        <v>1.881926117</v>
      </c>
      <c r="BF37" s="162">
        <v>991</v>
      </c>
      <c r="BG37" s="162">
        <v>29</v>
      </c>
      <c r="BH37" s="162">
        <v>2464</v>
      </c>
      <c r="BI37" s="162">
        <v>729</v>
      </c>
      <c r="BJ37" s="162">
        <v>376</v>
      </c>
      <c r="BK37" s="97"/>
      <c r="BL37" s="97"/>
      <c r="BM37" s="97"/>
      <c r="BN37" s="97"/>
    </row>
    <row r="38" spans="1:66" ht="12.75">
      <c r="A38" s="79" t="s">
        <v>565</v>
      </c>
      <c r="B38" s="79" t="s">
        <v>329</v>
      </c>
      <c r="C38" s="79" t="s">
        <v>156</v>
      </c>
      <c r="D38" s="99">
        <v>5717</v>
      </c>
      <c r="E38" s="99">
        <v>777</v>
      </c>
      <c r="F38" s="99" t="s">
        <v>360</v>
      </c>
      <c r="G38" s="99">
        <v>12</v>
      </c>
      <c r="H38" s="99">
        <v>10</v>
      </c>
      <c r="I38" s="99">
        <v>112</v>
      </c>
      <c r="J38" s="99">
        <v>604</v>
      </c>
      <c r="K38" s="99">
        <v>588</v>
      </c>
      <c r="L38" s="99">
        <v>1135</v>
      </c>
      <c r="M38" s="99">
        <v>404</v>
      </c>
      <c r="N38" s="99">
        <v>204</v>
      </c>
      <c r="O38" s="99">
        <v>63</v>
      </c>
      <c r="P38" s="159">
        <v>63</v>
      </c>
      <c r="Q38" s="99">
        <v>9</v>
      </c>
      <c r="R38" s="99">
        <v>31</v>
      </c>
      <c r="S38" s="99">
        <v>12</v>
      </c>
      <c r="T38" s="99">
        <v>7</v>
      </c>
      <c r="U38" s="99" t="s">
        <v>579</v>
      </c>
      <c r="V38" s="99">
        <v>20</v>
      </c>
      <c r="W38" s="99">
        <v>49</v>
      </c>
      <c r="X38" s="99">
        <v>21</v>
      </c>
      <c r="Y38" s="99">
        <v>51</v>
      </c>
      <c r="Z38" s="99">
        <v>35</v>
      </c>
      <c r="AA38" s="99" t="s">
        <v>579</v>
      </c>
      <c r="AB38" s="99" t="s">
        <v>579</v>
      </c>
      <c r="AC38" s="99" t="s">
        <v>579</v>
      </c>
      <c r="AD38" s="98" t="s">
        <v>336</v>
      </c>
      <c r="AE38" s="100">
        <v>0.1359104425397936</v>
      </c>
      <c r="AF38" s="100">
        <v>0.05</v>
      </c>
      <c r="AG38" s="98">
        <v>209.90029735875459</v>
      </c>
      <c r="AH38" s="98">
        <v>174.91691446562882</v>
      </c>
      <c r="AI38" s="100">
        <v>0.02</v>
      </c>
      <c r="AJ38" s="100">
        <v>0.798942</v>
      </c>
      <c r="AK38" s="100">
        <v>0.780876</v>
      </c>
      <c r="AL38" s="100">
        <v>0.773688</v>
      </c>
      <c r="AM38" s="100">
        <v>0.628305</v>
      </c>
      <c r="AN38" s="100">
        <v>0.64557</v>
      </c>
      <c r="AO38" s="98">
        <v>1101.9765611334617</v>
      </c>
      <c r="AP38" s="158">
        <v>0.6165008926</v>
      </c>
      <c r="AQ38" s="100">
        <v>0.14285714285714285</v>
      </c>
      <c r="AR38" s="100">
        <v>0.2903225806451613</v>
      </c>
      <c r="AS38" s="98">
        <v>209.90029735875459</v>
      </c>
      <c r="AT38" s="98">
        <v>122.44184012594017</v>
      </c>
      <c r="AU38" s="98" t="s">
        <v>579</v>
      </c>
      <c r="AV38" s="98">
        <v>349.83382893125764</v>
      </c>
      <c r="AW38" s="98">
        <v>857.0928808815812</v>
      </c>
      <c r="AX38" s="98">
        <v>367.3255203778205</v>
      </c>
      <c r="AY38" s="98">
        <v>892.0762637747071</v>
      </c>
      <c r="AZ38" s="98">
        <v>612.209200629701</v>
      </c>
      <c r="BA38" s="100" t="s">
        <v>579</v>
      </c>
      <c r="BB38" s="100" t="s">
        <v>579</v>
      </c>
      <c r="BC38" s="100" t="s">
        <v>579</v>
      </c>
      <c r="BD38" s="158">
        <v>0.4737362289</v>
      </c>
      <c r="BE38" s="158">
        <v>0.7887724304</v>
      </c>
      <c r="BF38" s="162">
        <v>756</v>
      </c>
      <c r="BG38" s="162">
        <v>753</v>
      </c>
      <c r="BH38" s="162">
        <v>1467</v>
      </c>
      <c r="BI38" s="162">
        <v>643</v>
      </c>
      <c r="BJ38" s="162">
        <v>316</v>
      </c>
      <c r="BK38" s="97"/>
      <c r="BL38" s="97"/>
      <c r="BM38" s="97"/>
      <c r="BN38" s="97"/>
    </row>
    <row r="39" spans="1:66" ht="12.75">
      <c r="A39" s="79" t="s">
        <v>525</v>
      </c>
      <c r="B39" s="79" t="s">
        <v>286</v>
      </c>
      <c r="C39" s="79" t="s">
        <v>156</v>
      </c>
      <c r="D39" s="99">
        <v>6728</v>
      </c>
      <c r="E39" s="99">
        <v>946</v>
      </c>
      <c r="F39" s="99" t="s">
        <v>359</v>
      </c>
      <c r="G39" s="99">
        <v>43</v>
      </c>
      <c r="H39" s="99">
        <v>14</v>
      </c>
      <c r="I39" s="99">
        <v>132</v>
      </c>
      <c r="J39" s="99">
        <v>446</v>
      </c>
      <c r="K39" s="99">
        <v>14</v>
      </c>
      <c r="L39" s="99">
        <v>1243</v>
      </c>
      <c r="M39" s="99">
        <v>241</v>
      </c>
      <c r="N39" s="99">
        <v>125</v>
      </c>
      <c r="O39" s="99">
        <v>128</v>
      </c>
      <c r="P39" s="159">
        <v>128</v>
      </c>
      <c r="Q39" s="99">
        <v>18</v>
      </c>
      <c r="R39" s="99">
        <v>35</v>
      </c>
      <c r="S39" s="99">
        <v>48</v>
      </c>
      <c r="T39" s="99">
        <v>20</v>
      </c>
      <c r="U39" s="99">
        <v>6</v>
      </c>
      <c r="V39" s="99">
        <v>16</v>
      </c>
      <c r="W39" s="99">
        <v>69</v>
      </c>
      <c r="X39" s="99">
        <v>22</v>
      </c>
      <c r="Y39" s="99">
        <v>103</v>
      </c>
      <c r="Z39" s="99">
        <v>58</v>
      </c>
      <c r="AA39" s="99" t="s">
        <v>579</v>
      </c>
      <c r="AB39" s="99" t="s">
        <v>579</v>
      </c>
      <c r="AC39" s="99" t="s">
        <v>579</v>
      </c>
      <c r="AD39" s="98" t="s">
        <v>336</v>
      </c>
      <c r="AE39" s="100">
        <v>0.1406064209274673</v>
      </c>
      <c r="AF39" s="100">
        <v>0.15</v>
      </c>
      <c r="AG39" s="98">
        <v>639.1200951248513</v>
      </c>
      <c r="AH39" s="98">
        <v>208.0856123662307</v>
      </c>
      <c r="AI39" s="100">
        <v>0.02</v>
      </c>
      <c r="AJ39" s="100">
        <v>0.684049</v>
      </c>
      <c r="AK39" s="100">
        <v>0.7</v>
      </c>
      <c r="AL39" s="100">
        <v>0.734634</v>
      </c>
      <c r="AM39" s="100">
        <v>0.472549</v>
      </c>
      <c r="AN39" s="100">
        <v>0.452899</v>
      </c>
      <c r="AO39" s="98">
        <v>1902.4970273483948</v>
      </c>
      <c r="AP39" s="158">
        <v>1.112479172</v>
      </c>
      <c r="AQ39" s="100">
        <v>0.140625</v>
      </c>
      <c r="AR39" s="100">
        <v>0.5142857142857142</v>
      </c>
      <c r="AS39" s="98">
        <v>713.436385255648</v>
      </c>
      <c r="AT39" s="98">
        <v>297.2651605231867</v>
      </c>
      <c r="AU39" s="98">
        <v>89.179548156956</v>
      </c>
      <c r="AV39" s="98">
        <v>237.81212841854935</v>
      </c>
      <c r="AW39" s="98">
        <v>1025.564803804994</v>
      </c>
      <c r="AX39" s="98">
        <v>326.9916765755053</v>
      </c>
      <c r="AY39" s="98">
        <v>1530.9155766944114</v>
      </c>
      <c r="AZ39" s="98">
        <v>862.0689655172414</v>
      </c>
      <c r="BA39" s="100" t="s">
        <v>579</v>
      </c>
      <c r="BB39" s="100" t="s">
        <v>579</v>
      </c>
      <c r="BC39" s="100" t="s">
        <v>579</v>
      </c>
      <c r="BD39" s="158">
        <v>0.9281147003</v>
      </c>
      <c r="BE39" s="158">
        <v>1.322741394</v>
      </c>
      <c r="BF39" s="162">
        <v>652</v>
      </c>
      <c r="BG39" s="162">
        <v>20</v>
      </c>
      <c r="BH39" s="162">
        <v>1692</v>
      </c>
      <c r="BI39" s="162">
        <v>510</v>
      </c>
      <c r="BJ39" s="162">
        <v>276</v>
      </c>
      <c r="BK39" s="97"/>
      <c r="BL39" s="97"/>
      <c r="BM39" s="97"/>
      <c r="BN39" s="97"/>
    </row>
    <row r="40" spans="1:66" ht="12.75">
      <c r="A40" s="79" t="s">
        <v>524</v>
      </c>
      <c r="B40" s="79" t="s">
        <v>285</v>
      </c>
      <c r="C40" s="79" t="s">
        <v>156</v>
      </c>
      <c r="D40" s="99">
        <v>14650</v>
      </c>
      <c r="E40" s="99">
        <v>1811</v>
      </c>
      <c r="F40" s="99" t="s">
        <v>360</v>
      </c>
      <c r="G40" s="99">
        <v>55</v>
      </c>
      <c r="H40" s="99">
        <v>21</v>
      </c>
      <c r="I40" s="99">
        <v>265</v>
      </c>
      <c r="J40" s="99">
        <v>1059</v>
      </c>
      <c r="K40" s="99">
        <v>421</v>
      </c>
      <c r="L40" s="99">
        <v>3069</v>
      </c>
      <c r="M40" s="99">
        <v>720</v>
      </c>
      <c r="N40" s="99">
        <v>383</v>
      </c>
      <c r="O40" s="99">
        <v>198</v>
      </c>
      <c r="P40" s="159">
        <v>198</v>
      </c>
      <c r="Q40" s="99">
        <v>14</v>
      </c>
      <c r="R40" s="99">
        <v>47</v>
      </c>
      <c r="S40" s="99">
        <v>59</v>
      </c>
      <c r="T40" s="99">
        <v>38</v>
      </c>
      <c r="U40" s="99">
        <v>8</v>
      </c>
      <c r="V40" s="99">
        <v>31</v>
      </c>
      <c r="W40" s="99">
        <v>93</v>
      </c>
      <c r="X40" s="99">
        <v>39</v>
      </c>
      <c r="Y40" s="99">
        <v>139</v>
      </c>
      <c r="Z40" s="99">
        <v>56</v>
      </c>
      <c r="AA40" s="99" t="s">
        <v>579</v>
      </c>
      <c r="AB40" s="99" t="s">
        <v>579</v>
      </c>
      <c r="AC40" s="99" t="s">
        <v>579</v>
      </c>
      <c r="AD40" s="98" t="s">
        <v>336</v>
      </c>
      <c r="AE40" s="100">
        <v>0.12361774744027304</v>
      </c>
      <c r="AF40" s="100">
        <v>0.06</v>
      </c>
      <c r="AG40" s="98">
        <v>375.4266211604096</v>
      </c>
      <c r="AH40" s="98">
        <v>143.34470989761093</v>
      </c>
      <c r="AI40" s="100">
        <v>0.018000000000000002</v>
      </c>
      <c r="AJ40" s="100">
        <v>0.669406</v>
      </c>
      <c r="AK40" s="100">
        <v>0.847082</v>
      </c>
      <c r="AL40" s="100">
        <v>0.691995</v>
      </c>
      <c r="AM40" s="100">
        <v>0.563821</v>
      </c>
      <c r="AN40" s="100">
        <v>0.574213</v>
      </c>
      <c r="AO40" s="98">
        <v>1351.5358361774745</v>
      </c>
      <c r="AP40" s="158">
        <v>0.796647644</v>
      </c>
      <c r="AQ40" s="100">
        <v>0.0707070707070707</v>
      </c>
      <c r="AR40" s="100">
        <v>0.2978723404255319</v>
      </c>
      <c r="AS40" s="98">
        <v>402.73037542662115</v>
      </c>
      <c r="AT40" s="98">
        <v>259.3856655290102</v>
      </c>
      <c r="AU40" s="98">
        <v>54.60750853242321</v>
      </c>
      <c r="AV40" s="98">
        <v>211.60409556313994</v>
      </c>
      <c r="AW40" s="98">
        <v>634.8122866894198</v>
      </c>
      <c r="AX40" s="98">
        <v>266.21160409556313</v>
      </c>
      <c r="AY40" s="98">
        <v>948.8054607508533</v>
      </c>
      <c r="AZ40" s="98">
        <v>382.25255972696243</v>
      </c>
      <c r="BA40" s="100" t="s">
        <v>579</v>
      </c>
      <c r="BB40" s="100" t="s">
        <v>579</v>
      </c>
      <c r="BC40" s="100" t="s">
        <v>579</v>
      </c>
      <c r="BD40" s="158">
        <v>0.6895423126</v>
      </c>
      <c r="BE40" s="158">
        <v>0.915675354</v>
      </c>
      <c r="BF40" s="162">
        <v>1582</v>
      </c>
      <c r="BG40" s="162">
        <v>497</v>
      </c>
      <c r="BH40" s="162">
        <v>4435</v>
      </c>
      <c r="BI40" s="162">
        <v>1277</v>
      </c>
      <c r="BJ40" s="162">
        <v>667</v>
      </c>
      <c r="BK40" s="97"/>
      <c r="BL40" s="97"/>
      <c r="BM40" s="97"/>
      <c r="BN40" s="97"/>
    </row>
    <row r="41" spans="1:66" ht="12.75">
      <c r="A41" s="79" t="s">
        <v>569</v>
      </c>
      <c r="B41" s="79" t="s">
        <v>333</v>
      </c>
      <c r="C41" s="79" t="s">
        <v>156</v>
      </c>
      <c r="D41" s="99">
        <v>8521</v>
      </c>
      <c r="E41" s="99">
        <v>1389</v>
      </c>
      <c r="F41" s="99" t="s">
        <v>360</v>
      </c>
      <c r="G41" s="99">
        <v>40</v>
      </c>
      <c r="H41" s="99">
        <v>28</v>
      </c>
      <c r="I41" s="99">
        <v>105</v>
      </c>
      <c r="J41" s="99">
        <v>643</v>
      </c>
      <c r="K41" s="99" t="s">
        <v>579</v>
      </c>
      <c r="L41" s="99">
        <v>1494</v>
      </c>
      <c r="M41" s="99">
        <v>445</v>
      </c>
      <c r="N41" s="99">
        <v>242</v>
      </c>
      <c r="O41" s="99">
        <v>106</v>
      </c>
      <c r="P41" s="159">
        <v>106</v>
      </c>
      <c r="Q41" s="99">
        <v>12</v>
      </c>
      <c r="R41" s="99">
        <v>36</v>
      </c>
      <c r="S41" s="99">
        <v>23</v>
      </c>
      <c r="T41" s="99" t="s">
        <v>579</v>
      </c>
      <c r="U41" s="99" t="s">
        <v>579</v>
      </c>
      <c r="V41" s="99">
        <v>43</v>
      </c>
      <c r="W41" s="99">
        <v>63</v>
      </c>
      <c r="X41" s="99">
        <v>15</v>
      </c>
      <c r="Y41" s="99">
        <v>90</v>
      </c>
      <c r="Z41" s="99">
        <v>52</v>
      </c>
      <c r="AA41" s="99" t="s">
        <v>579</v>
      </c>
      <c r="AB41" s="99" t="s">
        <v>579</v>
      </c>
      <c r="AC41" s="99" t="s">
        <v>579</v>
      </c>
      <c r="AD41" s="98" t="s">
        <v>336</v>
      </c>
      <c r="AE41" s="100">
        <v>0.16300903649806361</v>
      </c>
      <c r="AF41" s="100">
        <v>0.08</v>
      </c>
      <c r="AG41" s="98">
        <v>469.4284708367563</v>
      </c>
      <c r="AH41" s="98">
        <v>328.5999295857294</v>
      </c>
      <c r="AI41" s="100">
        <v>0.012</v>
      </c>
      <c r="AJ41" s="100">
        <v>0.689175</v>
      </c>
      <c r="AK41" s="100" t="s">
        <v>579</v>
      </c>
      <c r="AL41" s="100">
        <v>0.659021</v>
      </c>
      <c r="AM41" s="100">
        <v>0.528504</v>
      </c>
      <c r="AN41" s="100">
        <v>0.553776</v>
      </c>
      <c r="AO41" s="98">
        <v>1243.985447717404</v>
      </c>
      <c r="AP41" s="158">
        <v>0.6679637909</v>
      </c>
      <c r="AQ41" s="100">
        <v>0.11320754716981132</v>
      </c>
      <c r="AR41" s="100">
        <v>0.3333333333333333</v>
      </c>
      <c r="AS41" s="98">
        <v>269.92137073113486</v>
      </c>
      <c r="AT41" s="98" t="s">
        <v>579</v>
      </c>
      <c r="AU41" s="98" t="s">
        <v>579</v>
      </c>
      <c r="AV41" s="98">
        <v>504.63560614951297</v>
      </c>
      <c r="AW41" s="98">
        <v>739.3498415678911</v>
      </c>
      <c r="AX41" s="98">
        <v>176.0356765637836</v>
      </c>
      <c r="AY41" s="98">
        <v>1056.2140593827016</v>
      </c>
      <c r="AZ41" s="98">
        <v>610.2570120877831</v>
      </c>
      <c r="BA41" s="100" t="s">
        <v>579</v>
      </c>
      <c r="BB41" s="100" t="s">
        <v>579</v>
      </c>
      <c r="BC41" s="100" t="s">
        <v>579</v>
      </c>
      <c r="BD41" s="158">
        <v>0.5468740463</v>
      </c>
      <c r="BE41" s="158">
        <v>0.8078829956</v>
      </c>
      <c r="BF41" s="162">
        <v>933</v>
      </c>
      <c r="BG41" s="162" t="s">
        <v>579</v>
      </c>
      <c r="BH41" s="162">
        <v>2267</v>
      </c>
      <c r="BI41" s="162">
        <v>842</v>
      </c>
      <c r="BJ41" s="162">
        <v>437</v>
      </c>
      <c r="BK41" s="97"/>
      <c r="BL41" s="97"/>
      <c r="BM41" s="97"/>
      <c r="BN41" s="97"/>
    </row>
    <row r="42" spans="1:66" ht="12.75">
      <c r="A42" s="79" t="s">
        <v>542</v>
      </c>
      <c r="B42" s="79" t="s">
        <v>306</v>
      </c>
      <c r="C42" s="79" t="s">
        <v>156</v>
      </c>
      <c r="D42" s="99">
        <v>3318</v>
      </c>
      <c r="E42" s="99">
        <v>532</v>
      </c>
      <c r="F42" s="99" t="s">
        <v>358</v>
      </c>
      <c r="G42" s="99">
        <v>12</v>
      </c>
      <c r="H42" s="99">
        <v>7</v>
      </c>
      <c r="I42" s="99">
        <v>69</v>
      </c>
      <c r="J42" s="99">
        <v>285</v>
      </c>
      <c r="K42" s="99" t="s">
        <v>579</v>
      </c>
      <c r="L42" s="99">
        <v>704</v>
      </c>
      <c r="M42" s="99">
        <v>191</v>
      </c>
      <c r="N42" s="99">
        <v>84</v>
      </c>
      <c r="O42" s="99">
        <v>36</v>
      </c>
      <c r="P42" s="159">
        <v>36</v>
      </c>
      <c r="Q42" s="99">
        <v>6</v>
      </c>
      <c r="R42" s="99">
        <v>15</v>
      </c>
      <c r="S42" s="99">
        <v>11</v>
      </c>
      <c r="T42" s="99" t="s">
        <v>579</v>
      </c>
      <c r="U42" s="99" t="s">
        <v>579</v>
      </c>
      <c r="V42" s="99">
        <v>8</v>
      </c>
      <c r="W42" s="99">
        <v>39</v>
      </c>
      <c r="X42" s="99">
        <v>9</v>
      </c>
      <c r="Y42" s="99">
        <v>46</v>
      </c>
      <c r="Z42" s="99">
        <v>13</v>
      </c>
      <c r="AA42" s="99" t="s">
        <v>579</v>
      </c>
      <c r="AB42" s="99" t="s">
        <v>579</v>
      </c>
      <c r="AC42" s="99" t="s">
        <v>579</v>
      </c>
      <c r="AD42" s="98" t="s">
        <v>336</v>
      </c>
      <c r="AE42" s="100">
        <v>0.16033755274261605</v>
      </c>
      <c r="AF42" s="100">
        <v>0.09</v>
      </c>
      <c r="AG42" s="98">
        <v>361.6636528028933</v>
      </c>
      <c r="AH42" s="98">
        <v>210.9704641350211</v>
      </c>
      <c r="AI42" s="100">
        <v>0.021</v>
      </c>
      <c r="AJ42" s="100">
        <v>0.71608</v>
      </c>
      <c r="AK42" s="100" t="s">
        <v>579</v>
      </c>
      <c r="AL42" s="100">
        <v>0.806415</v>
      </c>
      <c r="AM42" s="100">
        <v>0.548851</v>
      </c>
      <c r="AN42" s="100">
        <v>0.497041</v>
      </c>
      <c r="AO42" s="98">
        <v>1084.99095840868</v>
      </c>
      <c r="AP42" s="158">
        <v>0.5843021393</v>
      </c>
      <c r="AQ42" s="100">
        <v>0.16666666666666666</v>
      </c>
      <c r="AR42" s="100">
        <v>0.4</v>
      </c>
      <c r="AS42" s="98">
        <v>331.52501506931884</v>
      </c>
      <c r="AT42" s="98" t="s">
        <v>579</v>
      </c>
      <c r="AU42" s="98" t="s">
        <v>579</v>
      </c>
      <c r="AV42" s="98">
        <v>241.10910186859553</v>
      </c>
      <c r="AW42" s="98">
        <v>1175.4068716094032</v>
      </c>
      <c r="AX42" s="98">
        <v>271.24773960217</v>
      </c>
      <c r="AY42" s="98">
        <v>1386.3773357444243</v>
      </c>
      <c r="AZ42" s="98">
        <v>391.80229053646775</v>
      </c>
      <c r="BA42" s="100" t="s">
        <v>579</v>
      </c>
      <c r="BB42" s="100" t="s">
        <v>579</v>
      </c>
      <c r="BC42" s="100" t="s">
        <v>579</v>
      </c>
      <c r="BD42" s="158">
        <v>0.4092380524</v>
      </c>
      <c r="BE42" s="158">
        <v>0.8089204407</v>
      </c>
      <c r="BF42" s="162">
        <v>398</v>
      </c>
      <c r="BG42" s="162" t="s">
        <v>579</v>
      </c>
      <c r="BH42" s="162">
        <v>873</v>
      </c>
      <c r="BI42" s="162">
        <v>348</v>
      </c>
      <c r="BJ42" s="162">
        <v>169</v>
      </c>
      <c r="BK42" s="97"/>
      <c r="BL42" s="97"/>
      <c r="BM42" s="97"/>
      <c r="BN42" s="97"/>
    </row>
    <row r="43" spans="1:66" ht="12.75">
      <c r="A43" s="79" t="s">
        <v>550</v>
      </c>
      <c r="B43" s="79" t="s">
        <v>314</v>
      </c>
      <c r="C43" s="79" t="s">
        <v>156</v>
      </c>
      <c r="D43" s="99">
        <v>9152</v>
      </c>
      <c r="E43" s="99">
        <v>1036</v>
      </c>
      <c r="F43" s="99" t="s">
        <v>358</v>
      </c>
      <c r="G43" s="99">
        <v>30</v>
      </c>
      <c r="H43" s="99">
        <v>12</v>
      </c>
      <c r="I43" s="99">
        <v>109</v>
      </c>
      <c r="J43" s="99">
        <v>513</v>
      </c>
      <c r="K43" s="99">
        <v>10</v>
      </c>
      <c r="L43" s="99">
        <v>1995</v>
      </c>
      <c r="M43" s="99">
        <v>323</v>
      </c>
      <c r="N43" s="99">
        <v>168</v>
      </c>
      <c r="O43" s="99">
        <v>93</v>
      </c>
      <c r="P43" s="159">
        <v>93</v>
      </c>
      <c r="Q43" s="99">
        <v>13</v>
      </c>
      <c r="R43" s="99">
        <v>30</v>
      </c>
      <c r="S43" s="99">
        <v>12</v>
      </c>
      <c r="T43" s="99">
        <v>15</v>
      </c>
      <c r="U43" s="99" t="s">
        <v>579</v>
      </c>
      <c r="V43" s="99">
        <v>18</v>
      </c>
      <c r="W43" s="99">
        <v>64</v>
      </c>
      <c r="X43" s="99">
        <v>24</v>
      </c>
      <c r="Y43" s="99">
        <v>83</v>
      </c>
      <c r="Z43" s="99">
        <v>41</v>
      </c>
      <c r="AA43" s="99" t="s">
        <v>579</v>
      </c>
      <c r="AB43" s="99" t="s">
        <v>579</v>
      </c>
      <c r="AC43" s="99" t="s">
        <v>579</v>
      </c>
      <c r="AD43" s="98" t="s">
        <v>336</v>
      </c>
      <c r="AE43" s="100">
        <v>0.1131993006993007</v>
      </c>
      <c r="AF43" s="100">
        <v>0.11</v>
      </c>
      <c r="AG43" s="98">
        <v>327.7972027972028</v>
      </c>
      <c r="AH43" s="98">
        <v>131.11888111888112</v>
      </c>
      <c r="AI43" s="100">
        <v>0.012</v>
      </c>
      <c r="AJ43" s="100">
        <v>0.65019</v>
      </c>
      <c r="AK43" s="100">
        <v>0.285714</v>
      </c>
      <c r="AL43" s="100">
        <v>0.783582</v>
      </c>
      <c r="AM43" s="100">
        <v>0.467438</v>
      </c>
      <c r="AN43" s="100">
        <v>0.495575</v>
      </c>
      <c r="AO43" s="98">
        <v>1016.1713286713286</v>
      </c>
      <c r="AP43" s="158">
        <v>0.6539801024999999</v>
      </c>
      <c r="AQ43" s="100">
        <v>0.13978494623655913</v>
      </c>
      <c r="AR43" s="100">
        <v>0.43333333333333335</v>
      </c>
      <c r="AS43" s="98">
        <v>131.11888111888112</v>
      </c>
      <c r="AT43" s="98">
        <v>163.8986013986014</v>
      </c>
      <c r="AU43" s="98" t="s">
        <v>579</v>
      </c>
      <c r="AV43" s="98">
        <v>196.67832167832168</v>
      </c>
      <c r="AW43" s="98">
        <v>699.3006993006993</v>
      </c>
      <c r="AX43" s="98">
        <v>262.23776223776224</v>
      </c>
      <c r="AY43" s="98">
        <v>906.9055944055945</v>
      </c>
      <c r="AZ43" s="98">
        <v>447.9895104895105</v>
      </c>
      <c r="BA43" s="100" t="s">
        <v>579</v>
      </c>
      <c r="BB43" s="100" t="s">
        <v>579</v>
      </c>
      <c r="BC43" s="100" t="s">
        <v>579</v>
      </c>
      <c r="BD43" s="158">
        <v>0.5278463364</v>
      </c>
      <c r="BE43" s="158">
        <v>0.8011698151000001</v>
      </c>
      <c r="BF43" s="162">
        <v>789</v>
      </c>
      <c r="BG43" s="162">
        <v>35</v>
      </c>
      <c r="BH43" s="162">
        <v>2546</v>
      </c>
      <c r="BI43" s="162">
        <v>691</v>
      </c>
      <c r="BJ43" s="162">
        <v>339</v>
      </c>
      <c r="BK43" s="97"/>
      <c r="BL43" s="97"/>
      <c r="BM43" s="97"/>
      <c r="BN43" s="97"/>
    </row>
    <row r="44" spans="1:66" ht="12.75">
      <c r="A44" s="79" t="s">
        <v>561</v>
      </c>
      <c r="B44" s="79" t="s">
        <v>325</v>
      </c>
      <c r="C44" s="79" t="s">
        <v>156</v>
      </c>
      <c r="D44" s="99">
        <v>5892</v>
      </c>
      <c r="E44" s="99">
        <v>391</v>
      </c>
      <c r="F44" s="99" t="s">
        <v>359</v>
      </c>
      <c r="G44" s="99">
        <v>11</v>
      </c>
      <c r="H44" s="99" t="s">
        <v>579</v>
      </c>
      <c r="I44" s="99">
        <v>64</v>
      </c>
      <c r="J44" s="99">
        <v>191</v>
      </c>
      <c r="K44" s="99">
        <v>164</v>
      </c>
      <c r="L44" s="99">
        <v>1365</v>
      </c>
      <c r="M44" s="99">
        <v>102</v>
      </c>
      <c r="N44" s="99">
        <v>50</v>
      </c>
      <c r="O44" s="99">
        <v>81</v>
      </c>
      <c r="P44" s="159">
        <v>81</v>
      </c>
      <c r="Q44" s="99">
        <v>6</v>
      </c>
      <c r="R44" s="99">
        <v>9</v>
      </c>
      <c r="S44" s="99">
        <v>18</v>
      </c>
      <c r="T44" s="99">
        <v>15</v>
      </c>
      <c r="U44" s="99" t="s">
        <v>579</v>
      </c>
      <c r="V44" s="99">
        <v>24</v>
      </c>
      <c r="W44" s="99">
        <v>16</v>
      </c>
      <c r="X44" s="99">
        <v>14</v>
      </c>
      <c r="Y44" s="99">
        <v>41</v>
      </c>
      <c r="Z44" s="99">
        <v>14</v>
      </c>
      <c r="AA44" s="99" t="s">
        <v>579</v>
      </c>
      <c r="AB44" s="99" t="s">
        <v>579</v>
      </c>
      <c r="AC44" s="99" t="s">
        <v>579</v>
      </c>
      <c r="AD44" s="98" t="s">
        <v>336</v>
      </c>
      <c r="AE44" s="100">
        <v>0.0663611676849966</v>
      </c>
      <c r="AF44" s="100">
        <v>0.13</v>
      </c>
      <c r="AG44" s="98">
        <v>186.693822131704</v>
      </c>
      <c r="AH44" s="98" t="s">
        <v>579</v>
      </c>
      <c r="AI44" s="100">
        <v>0.011000000000000001</v>
      </c>
      <c r="AJ44" s="100">
        <v>0.62215</v>
      </c>
      <c r="AK44" s="100">
        <v>0.571429</v>
      </c>
      <c r="AL44" s="100">
        <v>0.659739</v>
      </c>
      <c r="AM44" s="100">
        <v>0.439655</v>
      </c>
      <c r="AN44" s="100">
        <v>0.403226</v>
      </c>
      <c r="AO44" s="98">
        <v>1374.745417515275</v>
      </c>
      <c r="AP44" s="158">
        <v>1.0686812589999999</v>
      </c>
      <c r="AQ44" s="100">
        <v>0.07407407407407407</v>
      </c>
      <c r="AR44" s="100">
        <v>0.6666666666666666</v>
      </c>
      <c r="AS44" s="98">
        <v>305.4989816700611</v>
      </c>
      <c r="AT44" s="98">
        <v>254.5824847250509</v>
      </c>
      <c r="AU44" s="98" t="s">
        <v>579</v>
      </c>
      <c r="AV44" s="98">
        <v>407.33197556008145</v>
      </c>
      <c r="AW44" s="98">
        <v>271.55465037338763</v>
      </c>
      <c r="AX44" s="98">
        <v>237.61031907671418</v>
      </c>
      <c r="AY44" s="98">
        <v>695.8587915818058</v>
      </c>
      <c r="AZ44" s="98">
        <v>237.61031907671418</v>
      </c>
      <c r="BA44" s="100" t="s">
        <v>579</v>
      </c>
      <c r="BB44" s="100" t="s">
        <v>579</v>
      </c>
      <c r="BC44" s="100" t="s">
        <v>579</v>
      </c>
      <c r="BD44" s="158">
        <v>0.8486872101</v>
      </c>
      <c r="BE44" s="158">
        <v>1.328273163</v>
      </c>
      <c r="BF44" s="162">
        <v>307</v>
      </c>
      <c r="BG44" s="162">
        <v>287</v>
      </c>
      <c r="BH44" s="162">
        <v>2069</v>
      </c>
      <c r="BI44" s="162">
        <v>232</v>
      </c>
      <c r="BJ44" s="162">
        <v>124</v>
      </c>
      <c r="BK44" s="97"/>
      <c r="BL44" s="97"/>
      <c r="BM44" s="97"/>
      <c r="BN44" s="97"/>
    </row>
    <row r="45" spans="1:66" ht="12.75">
      <c r="A45" s="79" t="s">
        <v>528</v>
      </c>
      <c r="B45" s="79" t="s">
        <v>289</v>
      </c>
      <c r="C45" s="79" t="s">
        <v>156</v>
      </c>
      <c r="D45" s="99">
        <v>11182</v>
      </c>
      <c r="E45" s="99">
        <v>1083</v>
      </c>
      <c r="F45" s="99" t="s">
        <v>356</v>
      </c>
      <c r="G45" s="99">
        <v>33</v>
      </c>
      <c r="H45" s="99">
        <v>20</v>
      </c>
      <c r="I45" s="99">
        <v>87</v>
      </c>
      <c r="J45" s="99">
        <v>575</v>
      </c>
      <c r="K45" s="99">
        <v>13</v>
      </c>
      <c r="L45" s="99">
        <v>2203</v>
      </c>
      <c r="M45" s="99">
        <v>266</v>
      </c>
      <c r="N45" s="99">
        <v>143</v>
      </c>
      <c r="O45" s="99">
        <v>200</v>
      </c>
      <c r="P45" s="159">
        <v>200</v>
      </c>
      <c r="Q45" s="99">
        <v>7</v>
      </c>
      <c r="R45" s="99">
        <v>23</v>
      </c>
      <c r="S45" s="99">
        <v>38</v>
      </c>
      <c r="T45" s="99">
        <v>19</v>
      </c>
      <c r="U45" s="99" t="s">
        <v>579</v>
      </c>
      <c r="V45" s="99">
        <v>58</v>
      </c>
      <c r="W45" s="99">
        <v>42</v>
      </c>
      <c r="X45" s="99">
        <v>27</v>
      </c>
      <c r="Y45" s="99">
        <v>117</v>
      </c>
      <c r="Z45" s="99">
        <v>66</v>
      </c>
      <c r="AA45" s="99" t="s">
        <v>579</v>
      </c>
      <c r="AB45" s="99" t="s">
        <v>579</v>
      </c>
      <c r="AC45" s="99" t="s">
        <v>579</v>
      </c>
      <c r="AD45" s="98" t="s">
        <v>336</v>
      </c>
      <c r="AE45" s="100">
        <v>0.09685208370595601</v>
      </c>
      <c r="AF45" s="100">
        <v>0.21</v>
      </c>
      <c r="AG45" s="98">
        <v>295.11715256662495</v>
      </c>
      <c r="AH45" s="98">
        <v>178.85888034340906</v>
      </c>
      <c r="AI45" s="100">
        <v>0.008</v>
      </c>
      <c r="AJ45" s="100">
        <v>0.622969</v>
      </c>
      <c r="AK45" s="100">
        <v>0.52</v>
      </c>
      <c r="AL45" s="100">
        <v>0.741501</v>
      </c>
      <c r="AM45" s="100">
        <v>0.354667</v>
      </c>
      <c r="AN45" s="100">
        <v>0.376316</v>
      </c>
      <c r="AO45" s="98">
        <v>1788.5888034340906</v>
      </c>
      <c r="AP45" s="158">
        <v>1.2405112459999998</v>
      </c>
      <c r="AQ45" s="100">
        <v>0.035</v>
      </c>
      <c r="AR45" s="100">
        <v>0.30434782608695654</v>
      </c>
      <c r="AS45" s="98">
        <v>339.8318726524772</v>
      </c>
      <c r="AT45" s="98">
        <v>169.9159363262386</v>
      </c>
      <c r="AU45" s="98" t="s">
        <v>579</v>
      </c>
      <c r="AV45" s="98">
        <v>518.6907529958862</v>
      </c>
      <c r="AW45" s="98">
        <v>375.603648721159</v>
      </c>
      <c r="AX45" s="98">
        <v>241.4594884636022</v>
      </c>
      <c r="AY45" s="98">
        <v>1046.324450008943</v>
      </c>
      <c r="AZ45" s="98">
        <v>590.2343051332499</v>
      </c>
      <c r="BA45" s="100" t="s">
        <v>579</v>
      </c>
      <c r="BB45" s="100" t="s">
        <v>579</v>
      </c>
      <c r="BC45" s="100" t="s">
        <v>579</v>
      </c>
      <c r="BD45" s="158">
        <v>1.074536285</v>
      </c>
      <c r="BE45" s="158">
        <v>1.4248634340000002</v>
      </c>
      <c r="BF45" s="162">
        <v>923</v>
      </c>
      <c r="BG45" s="162">
        <v>25</v>
      </c>
      <c r="BH45" s="162">
        <v>2971</v>
      </c>
      <c r="BI45" s="162">
        <v>750</v>
      </c>
      <c r="BJ45" s="162">
        <v>380</v>
      </c>
      <c r="BK45" s="97"/>
      <c r="BL45" s="97"/>
      <c r="BM45" s="97"/>
      <c r="BN45" s="97"/>
    </row>
    <row r="46" spans="1:66" ht="12.75">
      <c r="A46" s="79" t="s">
        <v>534</v>
      </c>
      <c r="B46" s="79" t="s">
        <v>295</v>
      </c>
      <c r="C46" s="79" t="s">
        <v>156</v>
      </c>
      <c r="D46" s="99">
        <v>9279</v>
      </c>
      <c r="E46" s="99">
        <v>1639</v>
      </c>
      <c r="F46" s="99" t="s">
        <v>358</v>
      </c>
      <c r="G46" s="99">
        <v>61</v>
      </c>
      <c r="H46" s="99">
        <v>20</v>
      </c>
      <c r="I46" s="99">
        <v>165</v>
      </c>
      <c r="J46" s="99">
        <v>813</v>
      </c>
      <c r="K46" s="99">
        <v>10</v>
      </c>
      <c r="L46" s="99">
        <v>1786</v>
      </c>
      <c r="M46" s="99">
        <v>605</v>
      </c>
      <c r="N46" s="99">
        <v>298</v>
      </c>
      <c r="O46" s="99">
        <v>171</v>
      </c>
      <c r="P46" s="159">
        <v>171</v>
      </c>
      <c r="Q46" s="99">
        <v>23</v>
      </c>
      <c r="R46" s="99">
        <v>48</v>
      </c>
      <c r="S46" s="99">
        <v>39</v>
      </c>
      <c r="T46" s="99">
        <v>28</v>
      </c>
      <c r="U46" s="99" t="s">
        <v>579</v>
      </c>
      <c r="V46" s="99">
        <v>23</v>
      </c>
      <c r="W46" s="99">
        <v>95</v>
      </c>
      <c r="X46" s="99">
        <v>27</v>
      </c>
      <c r="Y46" s="99">
        <v>155</v>
      </c>
      <c r="Z46" s="99">
        <v>78</v>
      </c>
      <c r="AA46" s="99" t="s">
        <v>579</v>
      </c>
      <c r="AB46" s="99" t="s">
        <v>579</v>
      </c>
      <c r="AC46" s="99" t="s">
        <v>579</v>
      </c>
      <c r="AD46" s="98" t="s">
        <v>336</v>
      </c>
      <c r="AE46" s="100">
        <v>0.17663541329884686</v>
      </c>
      <c r="AF46" s="100">
        <v>0.1</v>
      </c>
      <c r="AG46" s="98">
        <v>657.3984265545856</v>
      </c>
      <c r="AH46" s="98">
        <v>215.54046772281495</v>
      </c>
      <c r="AI46" s="100">
        <v>0.018000000000000002</v>
      </c>
      <c r="AJ46" s="100">
        <v>0.724599</v>
      </c>
      <c r="AK46" s="100">
        <v>0.526316</v>
      </c>
      <c r="AL46" s="100">
        <v>0.732267</v>
      </c>
      <c r="AM46" s="100">
        <v>0.561746</v>
      </c>
      <c r="AN46" s="100">
        <v>0.533095</v>
      </c>
      <c r="AO46" s="98">
        <v>1842.8709990300679</v>
      </c>
      <c r="AP46" s="158">
        <v>0.9578787231</v>
      </c>
      <c r="AQ46" s="100">
        <v>0.13450292397660818</v>
      </c>
      <c r="AR46" s="100">
        <v>0.4791666666666667</v>
      </c>
      <c r="AS46" s="98">
        <v>420.30391205948916</v>
      </c>
      <c r="AT46" s="98">
        <v>301.75665481194096</v>
      </c>
      <c r="AU46" s="98" t="s">
        <v>579</v>
      </c>
      <c r="AV46" s="98">
        <v>247.8715378812372</v>
      </c>
      <c r="AW46" s="98">
        <v>1023.817221683371</v>
      </c>
      <c r="AX46" s="98">
        <v>290.9796314258002</v>
      </c>
      <c r="AY46" s="98">
        <v>1670.438624851816</v>
      </c>
      <c r="AZ46" s="98">
        <v>840.6078241189783</v>
      </c>
      <c r="BA46" s="100" t="s">
        <v>579</v>
      </c>
      <c r="BB46" s="100" t="s">
        <v>579</v>
      </c>
      <c r="BC46" s="100" t="s">
        <v>579</v>
      </c>
      <c r="BD46" s="158">
        <v>0.8196867371000001</v>
      </c>
      <c r="BE46" s="158">
        <v>1.112698517</v>
      </c>
      <c r="BF46" s="162">
        <v>1122</v>
      </c>
      <c r="BG46" s="162">
        <v>19</v>
      </c>
      <c r="BH46" s="162">
        <v>2439</v>
      </c>
      <c r="BI46" s="162">
        <v>1077</v>
      </c>
      <c r="BJ46" s="162">
        <v>559</v>
      </c>
      <c r="BK46" s="97"/>
      <c r="BL46" s="97"/>
      <c r="BM46" s="97"/>
      <c r="BN46" s="97"/>
    </row>
    <row r="47" spans="1:66" ht="12.75">
      <c r="A47" s="79" t="s">
        <v>523</v>
      </c>
      <c r="B47" s="79" t="s">
        <v>283</v>
      </c>
      <c r="C47" s="79" t="s">
        <v>156</v>
      </c>
      <c r="D47" s="99">
        <v>8668</v>
      </c>
      <c r="E47" s="99">
        <v>1353</v>
      </c>
      <c r="F47" s="99" t="s">
        <v>360</v>
      </c>
      <c r="G47" s="99">
        <v>48</v>
      </c>
      <c r="H47" s="99">
        <v>23</v>
      </c>
      <c r="I47" s="99">
        <v>144</v>
      </c>
      <c r="J47" s="99">
        <v>631</v>
      </c>
      <c r="K47" s="99">
        <v>15</v>
      </c>
      <c r="L47" s="99">
        <v>1785</v>
      </c>
      <c r="M47" s="99">
        <v>410</v>
      </c>
      <c r="N47" s="99">
        <v>210</v>
      </c>
      <c r="O47" s="99">
        <v>156</v>
      </c>
      <c r="P47" s="159">
        <v>156</v>
      </c>
      <c r="Q47" s="99">
        <v>16</v>
      </c>
      <c r="R47" s="99">
        <v>37</v>
      </c>
      <c r="S47" s="99">
        <v>53</v>
      </c>
      <c r="T47" s="99">
        <v>21</v>
      </c>
      <c r="U47" s="99" t="s">
        <v>579</v>
      </c>
      <c r="V47" s="99">
        <v>36</v>
      </c>
      <c r="W47" s="99">
        <v>83</v>
      </c>
      <c r="X47" s="99">
        <v>24</v>
      </c>
      <c r="Y47" s="99">
        <v>116</v>
      </c>
      <c r="Z47" s="99">
        <v>53</v>
      </c>
      <c r="AA47" s="99" t="s">
        <v>579</v>
      </c>
      <c r="AB47" s="99" t="s">
        <v>579</v>
      </c>
      <c r="AC47" s="99" t="s">
        <v>579</v>
      </c>
      <c r="AD47" s="98" t="s">
        <v>336</v>
      </c>
      <c r="AE47" s="100">
        <v>0.15609137055837563</v>
      </c>
      <c r="AF47" s="100">
        <v>0.08</v>
      </c>
      <c r="AG47" s="98">
        <v>553.7609598523304</v>
      </c>
      <c r="AH47" s="98">
        <v>265.343793262575</v>
      </c>
      <c r="AI47" s="100">
        <v>0.017</v>
      </c>
      <c r="AJ47" s="100">
        <v>0.672708</v>
      </c>
      <c r="AK47" s="100">
        <v>0.5</v>
      </c>
      <c r="AL47" s="100">
        <v>0.70331</v>
      </c>
      <c r="AM47" s="100">
        <v>0.520966</v>
      </c>
      <c r="AN47" s="100">
        <v>0.504808</v>
      </c>
      <c r="AO47" s="98">
        <v>1799.7231195200739</v>
      </c>
      <c r="AP47" s="158">
        <v>0.9839730072</v>
      </c>
      <c r="AQ47" s="100">
        <v>0.10256410256410256</v>
      </c>
      <c r="AR47" s="100">
        <v>0.43243243243243246</v>
      </c>
      <c r="AS47" s="98">
        <v>611.4443931702815</v>
      </c>
      <c r="AT47" s="98">
        <v>242.27041993539456</v>
      </c>
      <c r="AU47" s="98" t="s">
        <v>579</v>
      </c>
      <c r="AV47" s="98">
        <v>415.3207198892478</v>
      </c>
      <c r="AW47" s="98">
        <v>957.544993077988</v>
      </c>
      <c r="AX47" s="98">
        <v>276.8804799261652</v>
      </c>
      <c r="AY47" s="98">
        <v>1338.2556529764652</v>
      </c>
      <c r="AZ47" s="98">
        <v>611.4443931702815</v>
      </c>
      <c r="BA47" s="100" t="s">
        <v>579</v>
      </c>
      <c r="BB47" s="100" t="s">
        <v>579</v>
      </c>
      <c r="BC47" s="100" t="s">
        <v>579</v>
      </c>
      <c r="BD47" s="158">
        <v>0.8356233978000001</v>
      </c>
      <c r="BE47" s="158">
        <v>1.151067276</v>
      </c>
      <c r="BF47" s="162">
        <v>938</v>
      </c>
      <c r="BG47" s="162">
        <v>30</v>
      </c>
      <c r="BH47" s="162">
        <v>2538</v>
      </c>
      <c r="BI47" s="162">
        <v>787</v>
      </c>
      <c r="BJ47" s="162">
        <v>416</v>
      </c>
      <c r="BK47" s="97"/>
      <c r="BL47" s="97"/>
      <c r="BM47" s="97"/>
      <c r="BN47" s="97"/>
    </row>
    <row r="48" spans="1:66" ht="12.75">
      <c r="A48" s="79" t="s">
        <v>578</v>
      </c>
      <c r="B48" s="79" t="s">
        <v>303</v>
      </c>
      <c r="C48" s="79" t="s">
        <v>156</v>
      </c>
      <c r="D48" s="99">
        <v>4417</v>
      </c>
      <c r="E48" s="99">
        <v>549</v>
      </c>
      <c r="F48" s="99" t="s">
        <v>358</v>
      </c>
      <c r="G48" s="99">
        <v>21</v>
      </c>
      <c r="H48" s="99" t="s">
        <v>579</v>
      </c>
      <c r="I48" s="99">
        <v>36</v>
      </c>
      <c r="J48" s="99">
        <v>251</v>
      </c>
      <c r="K48" s="99" t="s">
        <v>579</v>
      </c>
      <c r="L48" s="99">
        <v>760</v>
      </c>
      <c r="M48" s="99">
        <v>148</v>
      </c>
      <c r="N48" s="99">
        <v>72</v>
      </c>
      <c r="O48" s="99">
        <v>11</v>
      </c>
      <c r="P48" s="159">
        <v>11</v>
      </c>
      <c r="Q48" s="99" t="s">
        <v>579</v>
      </c>
      <c r="R48" s="99">
        <v>9</v>
      </c>
      <c r="S48" s="99" t="s">
        <v>579</v>
      </c>
      <c r="T48" s="99" t="s">
        <v>579</v>
      </c>
      <c r="U48" s="99" t="s">
        <v>579</v>
      </c>
      <c r="V48" s="99">
        <v>6</v>
      </c>
      <c r="W48" s="99">
        <v>31</v>
      </c>
      <c r="X48" s="99">
        <v>12</v>
      </c>
      <c r="Y48" s="99">
        <v>32</v>
      </c>
      <c r="Z48" s="99">
        <v>36</v>
      </c>
      <c r="AA48" s="99" t="s">
        <v>579</v>
      </c>
      <c r="AB48" s="99" t="s">
        <v>579</v>
      </c>
      <c r="AC48" s="99" t="s">
        <v>579</v>
      </c>
      <c r="AD48" s="98" t="s">
        <v>336</v>
      </c>
      <c r="AE48" s="100">
        <v>0.12429250622594522</v>
      </c>
      <c r="AF48" s="100">
        <v>0.11</v>
      </c>
      <c r="AG48" s="98">
        <v>475.43581616481777</v>
      </c>
      <c r="AH48" s="98" t="s">
        <v>579</v>
      </c>
      <c r="AI48" s="100">
        <v>0.008</v>
      </c>
      <c r="AJ48" s="100">
        <v>0.593381</v>
      </c>
      <c r="AK48" s="100" t="s">
        <v>579</v>
      </c>
      <c r="AL48" s="100">
        <v>0.677362</v>
      </c>
      <c r="AM48" s="100">
        <v>0.436578</v>
      </c>
      <c r="AN48" s="100">
        <v>0.426036</v>
      </c>
      <c r="AO48" s="98">
        <v>249.0378084672855</v>
      </c>
      <c r="AP48" s="158">
        <v>0.15457292560000002</v>
      </c>
      <c r="AQ48" s="100" t="s">
        <v>579</v>
      </c>
      <c r="AR48" s="100" t="s">
        <v>579</v>
      </c>
      <c r="AS48" s="98" t="s">
        <v>579</v>
      </c>
      <c r="AT48" s="98" t="s">
        <v>579</v>
      </c>
      <c r="AU48" s="98" t="s">
        <v>579</v>
      </c>
      <c r="AV48" s="98">
        <v>135.83880461851936</v>
      </c>
      <c r="AW48" s="98">
        <v>701.83382386235</v>
      </c>
      <c r="AX48" s="98">
        <v>271.6776092370387</v>
      </c>
      <c r="AY48" s="98">
        <v>724.4736246321032</v>
      </c>
      <c r="AZ48" s="98">
        <v>815.0328277111162</v>
      </c>
      <c r="BA48" s="100" t="s">
        <v>579</v>
      </c>
      <c r="BB48" s="100" t="s">
        <v>579</v>
      </c>
      <c r="BC48" s="100" t="s">
        <v>579</v>
      </c>
      <c r="BD48" s="158">
        <v>0.07716224669999999</v>
      </c>
      <c r="BE48" s="158">
        <v>0.276573658</v>
      </c>
      <c r="BF48" s="162">
        <v>423</v>
      </c>
      <c r="BG48" s="162" t="s">
        <v>579</v>
      </c>
      <c r="BH48" s="162">
        <v>1122</v>
      </c>
      <c r="BI48" s="162">
        <v>339</v>
      </c>
      <c r="BJ48" s="162">
        <v>169</v>
      </c>
      <c r="BK48" s="97"/>
      <c r="BL48" s="97"/>
      <c r="BM48" s="97"/>
      <c r="BN48" s="97"/>
    </row>
    <row r="49" spans="1:66" ht="12.75">
      <c r="A49" s="79" t="s">
        <v>556</v>
      </c>
      <c r="B49" s="79" t="s">
        <v>320</v>
      </c>
      <c r="C49" s="79" t="s">
        <v>156</v>
      </c>
      <c r="D49" s="99">
        <v>5374</v>
      </c>
      <c r="E49" s="99">
        <v>434</v>
      </c>
      <c r="F49" s="99" t="s">
        <v>360</v>
      </c>
      <c r="G49" s="99">
        <v>18</v>
      </c>
      <c r="H49" s="99" t="s">
        <v>579</v>
      </c>
      <c r="I49" s="99">
        <v>45</v>
      </c>
      <c r="J49" s="99">
        <v>300</v>
      </c>
      <c r="K49" s="99">
        <v>8</v>
      </c>
      <c r="L49" s="99">
        <v>1022</v>
      </c>
      <c r="M49" s="99">
        <v>169</v>
      </c>
      <c r="N49" s="99">
        <v>97</v>
      </c>
      <c r="O49" s="99">
        <v>109</v>
      </c>
      <c r="P49" s="159">
        <v>109</v>
      </c>
      <c r="Q49" s="99" t="s">
        <v>579</v>
      </c>
      <c r="R49" s="99">
        <v>7</v>
      </c>
      <c r="S49" s="99">
        <v>26</v>
      </c>
      <c r="T49" s="99">
        <v>19</v>
      </c>
      <c r="U49" s="99">
        <v>6</v>
      </c>
      <c r="V49" s="99">
        <v>24</v>
      </c>
      <c r="W49" s="99">
        <v>23</v>
      </c>
      <c r="X49" s="99">
        <v>10</v>
      </c>
      <c r="Y49" s="99">
        <v>24</v>
      </c>
      <c r="Z49" s="99" t="s">
        <v>579</v>
      </c>
      <c r="AA49" s="99" t="s">
        <v>579</v>
      </c>
      <c r="AB49" s="99" t="s">
        <v>579</v>
      </c>
      <c r="AC49" s="99" t="s">
        <v>579</v>
      </c>
      <c r="AD49" s="98" t="s">
        <v>336</v>
      </c>
      <c r="AE49" s="100">
        <v>0.08075921101600297</v>
      </c>
      <c r="AF49" s="100">
        <v>0.05</v>
      </c>
      <c r="AG49" s="98">
        <v>334.9460364719018</v>
      </c>
      <c r="AH49" s="98" t="s">
        <v>579</v>
      </c>
      <c r="AI49" s="100">
        <v>0.008</v>
      </c>
      <c r="AJ49" s="100">
        <v>0.589391</v>
      </c>
      <c r="AK49" s="100">
        <v>0.615385</v>
      </c>
      <c r="AL49" s="100">
        <v>0.640351</v>
      </c>
      <c r="AM49" s="100">
        <v>0.442408</v>
      </c>
      <c r="AN49" s="100">
        <v>0.419913</v>
      </c>
      <c r="AO49" s="98">
        <v>2028.2843319687383</v>
      </c>
      <c r="AP49" s="158">
        <v>1.360509491</v>
      </c>
      <c r="AQ49" s="100" t="s">
        <v>579</v>
      </c>
      <c r="AR49" s="100" t="s">
        <v>579</v>
      </c>
      <c r="AS49" s="98">
        <v>483.81094157052473</v>
      </c>
      <c r="AT49" s="98">
        <v>353.5541496092296</v>
      </c>
      <c r="AU49" s="98">
        <v>111.64867882396724</v>
      </c>
      <c r="AV49" s="98">
        <v>446.594715295869</v>
      </c>
      <c r="AW49" s="98">
        <v>427.98660215854113</v>
      </c>
      <c r="AX49" s="98">
        <v>186.08113137327874</v>
      </c>
      <c r="AY49" s="98">
        <v>446.594715295869</v>
      </c>
      <c r="AZ49" s="98" t="s">
        <v>579</v>
      </c>
      <c r="BA49" s="100" t="s">
        <v>579</v>
      </c>
      <c r="BB49" s="100" t="s">
        <v>579</v>
      </c>
      <c r="BC49" s="100" t="s">
        <v>579</v>
      </c>
      <c r="BD49" s="158">
        <v>1.117119827</v>
      </c>
      <c r="BE49" s="158">
        <v>1.641179352</v>
      </c>
      <c r="BF49" s="162">
        <v>509</v>
      </c>
      <c r="BG49" s="162">
        <v>13</v>
      </c>
      <c r="BH49" s="162">
        <v>1596</v>
      </c>
      <c r="BI49" s="162">
        <v>382</v>
      </c>
      <c r="BJ49" s="162">
        <v>231</v>
      </c>
      <c r="BK49" s="97"/>
      <c r="BL49" s="97"/>
      <c r="BM49" s="97"/>
      <c r="BN49" s="97"/>
    </row>
    <row r="50" spans="1:66" ht="12.75">
      <c r="A50" s="79" t="s">
        <v>529</v>
      </c>
      <c r="B50" s="79" t="s">
        <v>290</v>
      </c>
      <c r="C50" s="79" t="s">
        <v>156</v>
      </c>
      <c r="D50" s="99">
        <v>12412</v>
      </c>
      <c r="E50" s="99">
        <v>1775</v>
      </c>
      <c r="F50" s="99" t="s">
        <v>358</v>
      </c>
      <c r="G50" s="99">
        <v>57</v>
      </c>
      <c r="H50" s="99">
        <v>21</v>
      </c>
      <c r="I50" s="99">
        <v>207</v>
      </c>
      <c r="J50" s="99">
        <v>987</v>
      </c>
      <c r="K50" s="99">
        <v>25</v>
      </c>
      <c r="L50" s="99">
        <v>2522</v>
      </c>
      <c r="M50" s="99">
        <v>622</v>
      </c>
      <c r="N50" s="99">
        <v>340</v>
      </c>
      <c r="O50" s="99">
        <v>280</v>
      </c>
      <c r="P50" s="159">
        <v>280</v>
      </c>
      <c r="Q50" s="99">
        <v>26</v>
      </c>
      <c r="R50" s="99">
        <v>52</v>
      </c>
      <c r="S50" s="99">
        <v>80</v>
      </c>
      <c r="T50" s="99">
        <v>33</v>
      </c>
      <c r="U50" s="99">
        <v>17</v>
      </c>
      <c r="V50" s="99">
        <v>51</v>
      </c>
      <c r="W50" s="99">
        <v>117</v>
      </c>
      <c r="X50" s="99">
        <v>53</v>
      </c>
      <c r="Y50" s="99">
        <v>183</v>
      </c>
      <c r="Z50" s="99">
        <v>82</v>
      </c>
      <c r="AA50" s="99" t="s">
        <v>579</v>
      </c>
      <c r="AB50" s="99" t="s">
        <v>579</v>
      </c>
      <c r="AC50" s="99" t="s">
        <v>579</v>
      </c>
      <c r="AD50" s="98" t="s">
        <v>336</v>
      </c>
      <c r="AE50" s="100">
        <v>0.14300676764421527</v>
      </c>
      <c r="AF50" s="100">
        <v>0.11</v>
      </c>
      <c r="AG50" s="98">
        <v>459.23300032226877</v>
      </c>
      <c r="AH50" s="98">
        <v>169.1911053818885</v>
      </c>
      <c r="AI50" s="100">
        <v>0.017</v>
      </c>
      <c r="AJ50" s="100">
        <v>0.69021</v>
      </c>
      <c r="AK50" s="100">
        <v>0.641026</v>
      </c>
      <c r="AL50" s="100">
        <v>0.745933</v>
      </c>
      <c r="AM50" s="100">
        <v>0.533448</v>
      </c>
      <c r="AN50" s="100">
        <v>0.551053</v>
      </c>
      <c r="AO50" s="98">
        <v>2255.881405091847</v>
      </c>
      <c r="AP50" s="158">
        <v>1.262095032</v>
      </c>
      <c r="AQ50" s="100">
        <v>0.09285714285714286</v>
      </c>
      <c r="AR50" s="100">
        <v>0.5</v>
      </c>
      <c r="AS50" s="98">
        <v>644.5375443119561</v>
      </c>
      <c r="AT50" s="98">
        <v>265.87173702868193</v>
      </c>
      <c r="AU50" s="98">
        <v>136.9642281662907</v>
      </c>
      <c r="AV50" s="98">
        <v>410.8926844988721</v>
      </c>
      <c r="AW50" s="98">
        <v>942.636158556236</v>
      </c>
      <c r="AX50" s="98">
        <v>427.00612310667094</v>
      </c>
      <c r="AY50" s="98">
        <v>1474.3796326135998</v>
      </c>
      <c r="AZ50" s="98">
        <v>660.650982919755</v>
      </c>
      <c r="BA50" s="100" t="s">
        <v>579</v>
      </c>
      <c r="BB50" s="100" t="s">
        <v>579</v>
      </c>
      <c r="BC50" s="100" t="s">
        <v>579</v>
      </c>
      <c r="BD50" s="158">
        <v>1.118579941</v>
      </c>
      <c r="BE50" s="158">
        <v>1.418917694</v>
      </c>
      <c r="BF50" s="162">
        <v>1430</v>
      </c>
      <c r="BG50" s="162">
        <v>39</v>
      </c>
      <c r="BH50" s="162">
        <v>3381</v>
      </c>
      <c r="BI50" s="162">
        <v>1166</v>
      </c>
      <c r="BJ50" s="162">
        <v>617</v>
      </c>
      <c r="BK50" s="97"/>
      <c r="BL50" s="97"/>
      <c r="BM50" s="97"/>
      <c r="BN50" s="97"/>
    </row>
    <row r="51" spans="1:66" ht="12.75">
      <c r="A51" s="79" t="s">
        <v>563</v>
      </c>
      <c r="B51" s="79" t="s">
        <v>327</v>
      </c>
      <c r="C51" s="79" t="s">
        <v>156</v>
      </c>
      <c r="D51" s="99">
        <v>10778</v>
      </c>
      <c r="E51" s="99">
        <v>1857</v>
      </c>
      <c r="F51" s="99" t="s">
        <v>358</v>
      </c>
      <c r="G51" s="99">
        <v>33</v>
      </c>
      <c r="H51" s="99">
        <v>16</v>
      </c>
      <c r="I51" s="99">
        <v>196</v>
      </c>
      <c r="J51" s="99">
        <v>962</v>
      </c>
      <c r="K51" s="99">
        <v>959</v>
      </c>
      <c r="L51" s="99">
        <v>2144</v>
      </c>
      <c r="M51" s="99">
        <v>706</v>
      </c>
      <c r="N51" s="99">
        <v>368</v>
      </c>
      <c r="O51" s="99">
        <v>233</v>
      </c>
      <c r="P51" s="159">
        <v>233</v>
      </c>
      <c r="Q51" s="99">
        <v>25</v>
      </c>
      <c r="R51" s="99">
        <v>49</v>
      </c>
      <c r="S51" s="99">
        <v>29</v>
      </c>
      <c r="T51" s="99">
        <v>38</v>
      </c>
      <c r="U51" s="99">
        <v>12</v>
      </c>
      <c r="V51" s="99">
        <v>61</v>
      </c>
      <c r="W51" s="99">
        <v>129</v>
      </c>
      <c r="X51" s="99">
        <v>33</v>
      </c>
      <c r="Y51" s="99">
        <v>130</v>
      </c>
      <c r="Z51" s="99">
        <v>61</v>
      </c>
      <c r="AA51" s="99" t="s">
        <v>579</v>
      </c>
      <c r="AB51" s="99" t="s">
        <v>579</v>
      </c>
      <c r="AC51" s="99" t="s">
        <v>579</v>
      </c>
      <c r="AD51" s="98" t="s">
        <v>336</v>
      </c>
      <c r="AE51" s="100">
        <v>0.17229541658934866</v>
      </c>
      <c r="AF51" s="100">
        <v>0.11</v>
      </c>
      <c r="AG51" s="98">
        <v>306.17925403599924</v>
      </c>
      <c r="AH51" s="98">
        <v>148.4505474113936</v>
      </c>
      <c r="AI51" s="100">
        <v>0.018000000000000002</v>
      </c>
      <c r="AJ51" s="100">
        <v>0.689606</v>
      </c>
      <c r="AK51" s="100">
        <v>0.753339</v>
      </c>
      <c r="AL51" s="100">
        <v>0.767908</v>
      </c>
      <c r="AM51" s="100">
        <v>0.560763</v>
      </c>
      <c r="AN51" s="100">
        <v>0.566154</v>
      </c>
      <c r="AO51" s="98">
        <v>2161.811096678419</v>
      </c>
      <c r="AP51" s="158">
        <v>1.117875977</v>
      </c>
      <c r="AQ51" s="100">
        <v>0.1072961373390558</v>
      </c>
      <c r="AR51" s="100">
        <v>0.5102040816326531</v>
      </c>
      <c r="AS51" s="98">
        <v>269.06661718315087</v>
      </c>
      <c r="AT51" s="98">
        <v>352.5700501020597</v>
      </c>
      <c r="AU51" s="98">
        <v>111.33791055854519</v>
      </c>
      <c r="AV51" s="98">
        <v>565.967712005938</v>
      </c>
      <c r="AW51" s="98">
        <v>1196.8825385043608</v>
      </c>
      <c r="AX51" s="98">
        <v>306.17925403599924</v>
      </c>
      <c r="AY51" s="98">
        <v>1206.160697717573</v>
      </c>
      <c r="AZ51" s="98">
        <v>565.967712005938</v>
      </c>
      <c r="BA51" s="100" t="s">
        <v>579</v>
      </c>
      <c r="BB51" s="100" t="s">
        <v>579</v>
      </c>
      <c r="BC51" s="100" t="s">
        <v>579</v>
      </c>
      <c r="BD51" s="158">
        <v>0.9789358521</v>
      </c>
      <c r="BE51" s="158">
        <v>1.271007309</v>
      </c>
      <c r="BF51" s="162">
        <v>1395</v>
      </c>
      <c r="BG51" s="162">
        <v>1273</v>
      </c>
      <c r="BH51" s="162">
        <v>2792</v>
      </c>
      <c r="BI51" s="162">
        <v>1259</v>
      </c>
      <c r="BJ51" s="162">
        <v>650</v>
      </c>
      <c r="BK51" s="97"/>
      <c r="BL51" s="97"/>
      <c r="BM51" s="97"/>
      <c r="BN51" s="97"/>
    </row>
    <row r="52" spans="1:66" ht="12.75">
      <c r="A52" s="79" t="s">
        <v>566</v>
      </c>
      <c r="B52" s="79" t="s">
        <v>330</v>
      </c>
      <c r="C52" s="79" t="s">
        <v>156</v>
      </c>
      <c r="D52" s="99">
        <v>2407</v>
      </c>
      <c r="E52" s="99">
        <v>257</v>
      </c>
      <c r="F52" s="99" t="s">
        <v>357</v>
      </c>
      <c r="G52" s="99" t="s">
        <v>579</v>
      </c>
      <c r="H52" s="99" t="s">
        <v>579</v>
      </c>
      <c r="I52" s="99">
        <v>33</v>
      </c>
      <c r="J52" s="99">
        <v>130</v>
      </c>
      <c r="K52" s="99" t="s">
        <v>579</v>
      </c>
      <c r="L52" s="99">
        <v>369</v>
      </c>
      <c r="M52" s="99">
        <v>83</v>
      </c>
      <c r="N52" s="99">
        <v>37</v>
      </c>
      <c r="O52" s="99">
        <v>11</v>
      </c>
      <c r="P52" s="159">
        <v>11</v>
      </c>
      <c r="Q52" s="99" t="s">
        <v>579</v>
      </c>
      <c r="R52" s="99">
        <v>8</v>
      </c>
      <c r="S52" s="99">
        <v>6</v>
      </c>
      <c r="T52" s="99" t="s">
        <v>579</v>
      </c>
      <c r="U52" s="99" t="s">
        <v>579</v>
      </c>
      <c r="V52" s="99" t="s">
        <v>579</v>
      </c>
      <c r="W52" s="99">
        <v>10</v>
      </c>
      <c r="X52" s="99">
        <v>6</v>
      </c>
      <c r="Y52" s="99">
        <v>11</v>
      </c>
      <c r="Z52" s="99">
        <v>11</v>
      </c>
      <c r="AA52" s="99" t="s">
        <v>579</v>
      </c>
      <c r="AB52" s="99" t="s">
        <v>579</v>
      </c>
      <c r="AC52" s="99" t="s">
        <v>579</v>
      </c>
      <c r="AD52" s="98" t="s">
        <v>336</v>
      </c>
      <c r="AE52" s="100">
        <v>0.10677191524719568</v>
      </c>
      <c r="AF52" s="100">
        <v>0.25</v>
      </c>
      <c r="AG52" s="98" t="s">
        <v>579</v>
      </c>
      <c r="AH52" s="98" t="s">
        <v>579</v>
      </c>
      <c r="AI52" s="100">
        <v>0.013999999999999999</v>
      </c>
      <c r="AJ52" s="100">
        <v>0.546218</v>
      </c>
      <c r="AK52" s="100" t="s">
        <v>579</v>
      </c>
      <c r="AL52" s="100">
        <v>0.656584</v>
      </c>
      <c r="AM52" s="100">
        <v>0.373874</v>
      </c>
      <c r="AN52" s="100">
        <v>0.333333</v>
      </c>
      <c r="AO52" s="98">
        <v>457.00041545492314</v>
      </c>
      <c r="AP52" s="158">
        <v>0.3020935631</v>
      </c>
      <c r="AQ52" s="100" t="s">
        <v>579</v>
      </c>
      <c r="AR52" s="100" t="s">
        <v>579</v>
      </c>
      <c r="AS52" s="98">
        <v>249.27295388450352</v>
      </c>
      <c r="AT52" s="98" t="s">
        <v>579</v>
      </c>
      <c r="AU52" s="98" t="s">
        <v>579</v>
      </c>
      <c r="AV52" s="98" t="s">
        <v>579</v>
      </c>
      <c r="AW52" s="98">
        <v>415.45492314083924</v>
      </c>
      <c r="AX52" s="98">
        <v>249.27295388450352</v>
      </c>
      <c r="AY52" s="98">
        <v>457.00041545492314</v>
      </c>
      <c r="AZ52" s="98">
        <v>457.00041545492314</v>
      </c>
      <c r="BA52" s="100" t="s">
        <v>579</v>
      </c>
      <c r="BB52" s="100" t="s">
        <v>579</v>
      </c>
      <c r="BC52" s="100" t="s">
        <v>579</v>
      </c>
      <c r="BD52" s="158">
        <v>0.1508040237</v>
      </c>
      <c r="BE52" s="158">
        <v>0.5405288315</v>
      </c>
      <c r="BF52" s="162">
        <v>238</v>
      </c>
      <c r="BG52" s="162" t="s">
        <v>579</v>
      </c>
      <c r="BH52" s="162">
        <v>562</v>
      </c>
      <c r="BI52" s="162">
        <v>222</v>
      </c>
      <c r="BJ52" s="162">
        <v>111</v>
      </c>
      <c r="BK52" s="97"/>
      <c r="BL52" s="97"/>
      <c r="BM52" s="97"/>
      <c r="BN52" s="97"/>
    </row>
    <row r="53" spans="1:66" ht="12.75">
      <c r="A53" s="79" t="s">
        <v>555</v>
      </c>
      <c r="B53" s="79" t="s">
        <v>319</v>
      </c>
      <c r="C53" s="79" t="s">
        <v>156</v>
      </c>
      <c r="D53" s="99">
        <v>4786</v>
      </c>
      <c r="E53" s="99">
        <v>651</v>
      </c>
      <c r="F53" s="99" t="s">
        <v>359</v>
      </c>
      <c r="G53" s="99">
        <v>16</v>
      </c>
      <c r="H53" s="99">
        <v>9</v>
      </c>
      <c r="I53" s="99">
        <v>41</v>
      </c>
      <c r="J53" s="99">
        <v>356</v>
      </c>
      <c r="K53" s="99">
        <v>330</v>
      </c>
      <c r="L53" s="99">
        <v>844</v>
      </c>
      <c r="M53" s="99">
        <v>193</v>
      </c>
      <c r="N53" s="99">
        <v>104</v>
      </c>
      <c r="O53" s="99">
        <v>51</v>
      </c>
      <c r="P53" s="159">
        <v>51</v>
      </c>
      <c r="Q53" s="99" t="s">
        <v>579</v>
      </c>
      <c r="R53" s="99">
        <v>12</v>
      </c>
      <c r="S53" s="99">
        <v>11</v>
      </c>
      <c r="T53" s="99">
        <v>13</v>
      </c>
      <c r="U53" s="99" t="s">
        <v>579</v>
      </c>
      <c r="V53" s="99">
        <v>13</v>
      </c>
      <c r="W53" s="99">
        <v>31</v>
      </c>
      <c r="X53" s="99">
        <v>23</v>
      </c>
      <c r="Y53" s="99">
        <v>67</v>
      </c>
      <c r="Z53" s="99">
        <v>24</v>
      </c>
      <c r="AA53" s="99" t="s">
        <v>579</v>
      </c>
      <c r="AB53" s="99" t="s">
        <v>579</v>
      </c>
      <c r="AC53" s="99" t="s">
        <v>579</v>
      </c>
      <c r="AD53" s="98" t="s">
        <v>336</v>
      </c>
      <c r="AE53" s="100">
        <v>0.1360217300459674</v>
      </c>
      <c r="AF53" s="100">
        <v>0.17</v>
      </c>
      <c r="AG53" s="98">
        <v>334.3083994985374</v>
      </c>
      <c r="AH53" s="98">
        <v>188.0484747179273</v>
      </c>
      <c r="AI53" s="100">
        <v>0.009000000000000001</v>
      </c>
      <c r="AJ53" s="100">
        <v>0.685934</v>
      </c>
      <c r="AK53" s="100">
        <v>0.658683</v>
      </c>
      <c r="AL53" s="100">
        <v>0.681195</v>
      </c>
      <c r="AM53" s="100">
        <v>0.449883</v>
      </c>
      <c r="AN53" s="100">
        <v>0.442553</v>
      </c>
      <c r="AO53" s="98">
        <v>1065.608023401588</v>
      </c>
      <c r="AP53" s="158">
        <v>0.6228292464999999</v>
      </c>
      <c r="AQ53" s="100" t="s">
        <v>579</v>
      </c>
      <c r="AR53" s="100" t="s">
        <v>579</v>
      </c>
      <c r="AS53" s="98">
        <v>229.83702465524448</v>
      </c>
      <c r="AT53" s="98">
        <v>271.62557459256163</v>
      </c>
      <c r="AU53" s="98" t="s">
        <v>579</v>
      </c>
      <c r="AV53" s="98">
        <v>271.62557459256163</v>
      </c>
      <c r="AW53" s="98">
        <v>647.7225240284162</v>
      </c>
      <c r="AX53" s="98">
        <v>480.56832427914753</v>
      </c>
      <c r="AY53" s="98">
        <v>1399.9164229001253</v>
      </c>
      <c r="AZ53" s="98">
        <v>501.4625992478061</v>
      </c>
      <c r="BA53" s="100" t="s">
        <v>579</v>
      </c>
      <c r="BB53" s="100" t="s">
        <v>579</v>
      </c>
      <c r="BC53" s="100" t="s">
        <v>579</v>
      </c>
      <c r="BD53" s="158">
        <v>0.4637372971</v>
      </c>
      <c r="BE53" s="158">
        <v>0.8189054108</v>
      </c>
      <c r="BF53" s="162">
        <v>519</v>
      </c>
      <c r="BG53" s="162">
        <v>501</v>
      </c>
      <c r="BH53" s="162">
        <v>1239</v>
      </c>
      <c r="BI53" s="162">
        <v>429</v>
      </c>
      <c r="BJ53" s="162">
        <v>235</v>
      </c>
      <c r="BK53" s="97"/>
      <c r="BL53" s="97"/>
      <c r="BM53" s="97"/>
      <c r="BN53" s="97"/>
    </row>
    <row r="54" spans="1:66" ht="12.75">
      <c r="A54" s="79" t="s">
        <v>547</v>
      </c>
      <c r="B54" s="79" t="s">
        <v>311</v>
      </c>
      <c r="C54" s="79" t="s">
        <v>156</v>
      </c>
      <c r="D54" s="99">
        <v>2139</v>
      </c>
      <c r="E54" s="99">
        <v>171</v>
      </c>
      <c r="F54" s="99" t="s">
        <v>356</v>
      </c>
      <c r="G54" s="99">
        <v>12</v>
      </c>
      <c r="H54" s="99" t="s">
        <v>579</v>
      </c>
      <c r="I54" s="99">
        <v>21</v>
      </c>
      <c r="J54" s="99">
        <v>95</v>
      </c>
      <c r="K54" s="99" t="s">
        <v>579</v>
      </c>
      <c r="L54" s="99">
        <v>417</v>
      </c>
      <c r="M54" s="99">
        <v>59</v>
      </c>
      <c r="N54" s="99">
        <v>29</v>
      </c>
      <c r="O54" s="99">
        <v>26</v>
      </c>
      <c r="P54" s="159">
        <v>26</v>
      </c>
      <c r="Q54" s="99" t="s">
        <v>579</v>
      </c>
      <c r="R54" s="99" t="s">
        <v>579</v>
      </c>
      <c r="S54" s="99" t="s">
        <v>579</v>
      </c>
      <c r="T54" s="99" t="s">
        <v>579</v>
      </c>
      <c r="U54" s="99" t="s">
        <v>579</v>
      </c>
      <c r="V54" s="99" t="s">
        <v>579</v>
      </c>
      <c r="W54" s="99">
        <v>16</v>
      </c>
      <c r="X54" s="99">
        <v>7</v>
      </c>
      <c r="Y54" s="99">
        <v>22</v>
      </c>
      <c r="Z54" s="99">
        <v>10</v>
      </c>
      <c r="AA54" s="99" t="s">
        <v>579</v>
      </c>
      <c r="AB54" s="99" t="s">
        <v>579</v>
      </c>
      <c r="AC54" s="99" t="s">
        <v>579</v>
      </c>
      <c r="AD54" s="98" t="s">
        <v>336</v>
      </c>
      <c r="AE54" s="100">
        <v>0.07994389901823282</v>
      </c>
      <c r="AF54" s="100">
        <v>0.2</v>
      </c>
      <c r="AG54" s="98">
        <v>561.0098176718093</v>
      </c>
      <c r="AH54" s="98" t="s">
        <v>579</v>
      </c>
      <c r="AI54" s="100">
        <v>0.01</v>
      </c>
      <c r="AJ54" s="100">
        <v>0.484694</v>
      </c>
      <c r="AK54" s="100" t="s">
        <v>579</v>
      </c>
      <c r="AL54" s="100">
        <v>0.765138</v>
      </c>
      <c r="AM54" s="100">
        <v>0.395973</v>
      </c>
      <c r="AN54" s="100">
        <v>0.371795</v>
      </c>
      <c r="AO54" s="98">
        <v>1215.5212716222534</v>
      </c>
      <c r="AP54" s="158">
        <v>0.8759432983000001</v>
      </c>
      <c r="AQ54" s="100" t="s">
        <v>579</v>
      </c>
      <c r="AR54" s="100" t="s">
        <v>579</v>
      </c>
      <c r="AS54" s="98" t="s">
        <v>579</v>
      </c>
      <c r="AT54" s="98" t="s">
        <v>579</v>
      </c>
      <c r="AU54" s="98" t="s">
        <v>579</v>
      </c>
      <c r="AV54" s="98" t="s">
        <v>579</v>
      </c>
      <c r="AW54" s="98">
        <v>748.013090229079</v>
      </c>
      <c r="AX54" s="98">
        <v>327.25572697522205</v>
      </c>
      <c r="AY54" s="98">
        <v>1028.5179990649835</v>
      </c>
      <c r="AZ54" s="98">
        <v>467.50818139317437</v>
      </c>
      <c r="BA54" s="100" t="s">
        <v>579</v>
      </c>
      <c r="BB54" s="100" t="s">
        <v>579</v>
      </c>
      <c r="BC54" s="100" t="s">
        <v>579</v>
      </c>
      <c r="BD54" s="158">
        <v>0.5721952438</v>
      </c>
      <c r="BE54" s="158">
        <v>1.2834597779999999</v>
      </c>
      <c r="BF54" s="162">
        <v>196</v>
      </c>
      <c r="BG54" s="162" t="s">
        <v>579</v>
      </c>
      <c r="BH54" s="162">
        <v>545</v>
      </c>
      <c r="BI54" s="162">
        <v>149</v>
      </c>
      <c r="BJ54" s="162">
        <v>78</v>
      </c>
      <c r="BK54" s="97"/>
      <c r="BL54" s="97"/>
      <c r="BM54" s="97"/>
      <c r="BN54" s="97"/>
    </row>
    <row r="55" spans="1:66" ht="12.75">
      <c r="A55" s="79" t="s">
        <v>560</v>
      </c>
      <c r="B55" s="79" t="s">
        <v>324</v>
      </c>
      <c r="C55" s="79" t="s">
        <v>156</v>
      </c>
      <c r="D55" s="99">
        <v>2009</v>
      </c>
      <c r="E55" s="99">
        <v>372</v>
      </c>
      <c r="F55" s="99" t="s">
        <v>360</v>
      </c>
      <c r="G55" s="99" t="s">
        <v>579</v>
      </c>
      <c r="H55" s="99" t="s">
        <v>579</v>
      </c>
      <c r="I55" s="99">
        <v>35</v>
      </c>
      <c r="J55" s="99">
        <v>168</v>
      </c>
      <c r="K55" s="99">
        <v>144</v>
      </c>
      <c r="L55" s="99">
        <v>377</v>
      </c>
      <c r="M55" s="99">
        <v>88</v>
      </c>
      <c r="N55" s="99">
        <v>43</v>
      </c>
      <c r="O55" s="99">
        <v>6</v>
      </c>
      <c r="P55" s="159">
        <v>6</v>
      </c>
      <c r="Q55" s="99" t="s">
        <v>579</v>
      </c>
      <c r="R55" s="99">
        <v>13</v>
      </c>
      <c r="S55" s="99" t="s">
        <v>579</v>
      </c>
      <c r="T55" s="99" t="s">
        <v>579</v>
      </c>
      <c r="U55" s="99" t="s">
        <v>579</v>
      </c>
      <c r="V55" s="99" t="s">
        <v>579</v>
      </c>
      <c r="W55" s="99">
        <v>14</v>
      </c>
      <c r="X55" s="99">
        <v>13</v>
      </c>
      <c r="Y55" s="99">
        <v>25</v>
      </c>
      <c r="Z55" s="99">
        <v>15</v>
      </c>
      <c r="AA55" s="99" t="s">
        <v>579</v>
      </c>
      <c r="AB55" s="99" t="s">
        <v>579</v>
      </c>
      <c r="AC55" s="99" t="s">
        <v>579</v>
      </c>
      <c r="AD55" s="98" t="s">
        <v>336</v>
      </c>
      <c r="AE55" s="100">
        <v>0.18516674962667995</v>
      </c>
      <c r="AF55" s="100">
        <v>0.08</v>
      </c>
      <c r="AG55" s="98" t="s">
        <v>579</v>
      </c>
      <c r="AH55" s="98" t="s">
        <v>579</v>
      </c>
      <c r="AI55" s="100">
        <v>0.017</v>
      </c>
      <c r="AJ55" s="100">
        <v>0.767123</v>
      </c>
      <c r="AK55" s="100">
        <v>0.702439</v>
      </c>
      <c r="AL55" s="100">
        <v>0.778926</v>
      </c>
      <c r="AM55" s="100">
        <v>0.458333</v>
      </c>
      <c r="AN55" s="100">
        <v>0.452632</v>
      </c>
      <c r="AO55" s="98">
        <v>298.65604778496765</v>
      </c>
      <c r="AP55" s="158">
        <v>0.1591998768</v>
      </c>
      <c r="AQ55" s="100" t="s">
        <v>579</v>
      </c>
      <c r="AR55" s="100" t="s">
        <v>579</v>
      </c>
      <c r="AS55" s="98" t="s">
        <v>579</v>
      </c>
      <c r="AT55" s="98" t="s">
        <v>579</v>
      </c>
      <c r="AU55" s="98" t="s">
        <v>579</v>
      </c>
      <c r="AV55" s="98" t="s">
        <v>579</v>
      </c>
      <c r="AW55" s="98">
        <v>696.8641114982578</v>
      </c>
      <c r="AX55" s="98">
        <v>647.0881035340966</v>
      </c>
      <c r="AY55" s="98">
        <v>1244.4001991040318</v>
      </c>
      <c r="AZ55" s="98">
        <v>746.6401194624191</v>
      </c>
      <c r="BA55" s="100" t="s">
        <v>579</v>
      </c>
      <c r="BB55" s="100" t="s">
        <v>579</v>
      </c>
      <c r="BC55" s="100" t="s">
        <v>579</v>
      </c>
      <c r="BD55" s="158">
        <v>0.058423547740000005</v>
      </c>
      <c r="BE55" s="158">
        <v>0.346511116</v>
      </c>
      <c r="BF55" s="162">
        <v>219</v>
      </c>
      <c r="BG55" s="162">
        <v>205</v>
      </c>
      <c r="BH55" s="162">
        <v>484</v>
      </c>
      <c r="BI55" s="162">
        <v>192</v>
      </c>
      <c r="BJ55" s="162">
        <v>95</v>
      </c>
      <c r="BK55" s="97"/>
      <c r="BL55" s="97"/>
      <c r="BM55" s="97"/>
      <c r="BN55" s="97"/>
    </row>
    <row r="56" spans="1:66" ht="12.75">
      <c r="A56" s="79" t="s">
        <v>533</v>
      </c>
      <c r="B56" s="79" t="s">
        <v>294</v>
      </c>
      <c r="C56" s="79" t="s">
        <v>156</v>
      </c>
      <c r="D56" s="99">
        <v>6983</v>
      </c>
      <c r="E56" s="99">
        <v>807</v>
      </c>
      <c r="F56" s="99" t="s">
        <v>356</v>
      </c>
      <c r="G56" s="99">
        <v>27</v>
      </c>
      <c r="H56" s="99">
        <v>15</v>
      </c>
      <c r="I56" s="99">
        <v>83</v>
      </c>
      <c r="J56" s="99">
        <v>447</v>
      </c>
      <c r="K56" s="99">
        <v>8</v>
      </c>
      <c r="L56" s="99">
        <v>1406</v>
      </c>
      <c r="M56" s="99">
        <v>224</v>
      </c>
      <c r="N56" s="99">
        <v>116</v>
      </c>
      <c r="O56" s="99">
        <v>116</v>
      </c>
      <c r="P56" s="159">
        <v>116</v>
      </c>
      <c r="Q56" s="99">
        <v>7</v>
      </c>
      <c r="R56" s="99">
        <v>21</v>
      </c>
      <c r="S56" s="99">
        <v>19</v>
      </c>
      <c r="T56" s="99">
        <v>13</v>
      </c>
      <c r="U56" s="99" t="s">
        <v>579</v>
      </c>
      <c r="V56" s="99">
        <v>18</v>
      </c>
      <c r="W56" s="99">
        <v>56</v>
      </c>
      <c r="X56" s="99">
        <v>14</v>
      </c>
      <c r="Y56" s="99">
        <v>91</v>
      </c>
      <c r="Z56" s="99">
        <v>31</v>
      </c>
      <c r="AA56" s="99" t="s">
        <v>579</v>
      </c>
      <c r="AB56" s="99" t="s">
        <v>579</v>
      </c>
      <c r="AC56" s="99" t="s">
        <v>579</v>
      </c>
      <c r="AD56" s="98" t="s">
        <v>336</v>
      </c>
      <c r="AE56" s="100">
        <v>0.11556637548331662</v>
      </c>
      <c r="AF56" s="100">
        <v>0.2</v>
      </c>
      <c r="AG56" s="98">
        <v>386.65330087355005</v>
      </c>
      <c r="AH56" s="98">
        <v>214.80738937419449</v>
      </c>
      <c r="AI56" s="100">
        <v>0.012</v>
      </c>
      <c r="AJ56" s="100">
        <v>0.690881</v>
      </c>
      <c r="AK56" s="100">
        <v>0.615385</v>
      </c>
      <c r="AL56" s="100">
        <v>0.806193</v>
      </c>
      <c r="AM56" s="100">
        <v>0.454361</v>
      </c>
      <c r="AN56" s="100">
        <v>0.442748</v>
      </c>
      <c r="AO56" s="98">
        <v>1661.1771444937706</v>
      </c>
      <c r="AP56" s="158">
        <v>1.08978775</v>
      </c>
      <c r="AQ56" s="100">
        <v>0.0603448275862069</v>
      </c>
      <c r="AR56" s="100">
        <v>0.3333333333333333</v>
      </c>
      <c r="AS56" s="98">
        <v>272.0893598739797</v>
      </c>
      <c r="AT56" s="98">
        <v>186.16640412430186</v>
      </c>
      <c r="AU56" s="98" t="s">
        <v>579</v>
      </c>
      <c r="AV56" s="98">
        <v>257.76886724903335</v>
      </c>
      <c r="AW56" s="98">
        <v>801.9475869969926</v>
      </c>
      <c r="AX56" s="98">
        <v>200.48689674924816</v>
      </c>
      <c r="AY56" s="98">
        <v>1303.164828870113</v>
      </c>
      <c r="AZ56" s="98">
        <v>443.93527137333524</v>
      </c>
      <c r="BA56" s="100" t="s">
        <v>579</v>
      </c>
      <c r="BB56" s="100" t="s">
        <v>579</v>
      </c>
      <c r="BC56" s="100" t="s">
        <v>579</v>
      </c>
      <c r="BD56" s="158">
        <v>0.9005126953</v>
      </c>
      <c r="BE56" s="158">
        <v>1.307096558</v>
      </c>
      <c r="BF56" s="162">
        <v>647</v>
      </c>
      <c r="BG56" s="162">
        <v>13</v>
      </c>
      <c r="BH56" s="162">
        <v>1744</v>
      </c>
      <c r="BI56" s="162">
        <v>493</v>
      </c>
      <c r="BJ56" s="162">
        <v>262</v>
      </c>
      <c r="BK56" s="97"/>
      <c r="BL56" s="97"/>
      <c r="BM56" s="97"/>
      <c r="BN56" s="97"/>
    </row>
    <row r="57" spans="1:66" ht="12.75">
      <c r="A57" s="79" t="s">
        <v>531</v>
      </c>
      <c r="B57" s="79" t="s">
        <v>292</v>
      </c>
      <c r="C57" s="79" t="s">
        <v>156</v>
      </c>
      <c r="D57" s="99">
        <v>10197</v>
      </c>
      <c r="E57" s="99">
        <v>1635</v>
      </c>
      <c r="F57" s="99" t="s">
        <v>360</v>
      </c>
      <c r="G57" s="99">
        <v>36</v>
      </c>
      <c r="H57" s="99">
        <v>26</v>
      </c>
      <c r="I57" s="99">
        <v>194</v>
      </c>
      <c r="J57" s="99">
        <v>698</v>
      </c>
      <c r="K57" s="99">
        <v>17</v>
      </c>
      <c r="L57" s="99">
        <v>1536</v>
      </c>
      <c r="M57" s="99">
        <v>523</v>
      </c>
      <c r="N57" s="99">
        <v>302</v>
      </c>
      <c r="O57" s="99">
        <v>86</v>
      </c>
      <c r="P57" s="159">
        <v>86</v>
      </c>
      <c r="Q57" s="99">
        <v>6</v>
      </c>
      <c r="R57" s="99">
        <v>28</v>
      </c>
      <c r="S57" s="99">
        <v>20</v>
      </c>
      <c r="T57" s="99">
        <v>14</v>
      </c>
      <c r="U57" s="99" t="s">
        <v>579</v>
      </c>
      <c r="V57" s="99">
        <v>17</v>
      </c>
      <c r="W57" s="99">
        <v>22</v>
      </c>
      <c r="X57" s="99">
        <v>20</v>
      </c>
      <c r="Y57" s="99">
        <v>53</v>
      </c>
      <c r="Z57" s="99">
        <v>26</v>
      </c>
      <c r="AA57" s="99" t="s">
        <v>579</v>
      </c>
      <c r="AB57" s="99" t="s">
        <v>579</v>
      </c>
      <c r="AC57" s="99" t="s">
        <v>579</v>
      </c>
      <c r="AD57" s="98" t="s">
        <v>336</v>
      </c>
      <c r="AE57" s="100">
        <v>0.16034127684613123</v>
      </c>
      <c r="AF57" s="100">
        <v>0.04</v>
      </c>
      <c r="AG57" s="98">
        <v>353.045013239188</v>
      </c>
      <c r="AH57" s="98">
        <v>254.9769540060802</v>
      </c>
      <c r="AI57" s="100">
        <v>0.019</v>
      </c>
      <c r="AJ57" s="100">
        <v>0.613896</v>
      </c>
      <c r="AK57" s="100">
        <v>0.425</v>
      </c>
      <c r="AL57" s="100">
        <v>0.58828</v>
      </c>
      <c r="AM57" s="100">
        <v>0.499046</v>
      </c>
      <c r="AN57" s="100">
        <v>0.5189</v>
      </c>
      <c r="AO57" s="98">
        <v>843.3853094047269</v>
      </c>
      <c r="AP57" s="158">
        <v>0.4604605103</v>
      </c>
      <c r="AQ57" s="100">
        <v>0.06976744186046512</v>
      </c>
      <c r="AR57" s="100">
        <v>0.21428571428571427</v>
      </c>
      <c r="AS57" s="98">
        <v>196.13611846621555</v>
      </c>
      <c r="AT57" s="98">
        <v>137.2952829263509</v>
      </c>
      <c r="AU57" s="98" t="s">
        <v>579</v>
      </c>
      <c r="AV57" s="98">
        <v>166.71570069628322</v>
      </c>
      <c r="AW57" s="98">
        <v>215.7497303128371</v>
      </c>
      <c r="AX57" s="98">
        <v>196.13611846621555</v>
      </c>
      <c r="AY57" s="98">
        <v>519.7607139354712</v>
      </c>
      <c r="AZ57" s="98">
        <v>254.9769540060802</v>
      </c>
      <c r="BA57" s="100" t="s">
        <v>579</v>
      </c>
      <c r="BB57" s="100" t="s">
        <v>579</v>
      </c>
      <c r="BC57" s="100" t="s">
        <v>579</v>
      </c>
      <c r="BD57" s="158">
        <v>0.3683089828</v>
      </c>
      <c r="BE57" s="158">
        <v>0.5686649704</v>
      </c>
      <c r="BF57" s="162">
        <v>1137</v>
      </c>
      <c r="BG57" s="162">
        <v>40</v>
      </c>
      <c r="BH57" s="162">
        <v>2611</v>
      </c>
      <c r="BI57" s="162">
        <v>1048</v>
      </c>
      <c r="BJ57" s="162">
        <v>582</v>
      </c>
      <c r="BK57" s="97"/>
      <c r="BL57" s="97"/>
      <c r="BM57" s="97"/>
      <c r="BN57" s="97"/>
    </row>
    <row r="58" spans="1:66" ht="12.75">
      <c r="A58" s="79" t="s">
        <v>424</v>
      </c>
      <c r="B58" s="94" t="s">
        <v>156</v>
      </c>
      <c r="C58" s="94" t="s">
        <v>7</v>
      </c>
      <c r="D58" s="99">
        <v>390971</v>
      </c>
      <c r="E58" s="99">
        <v>49684</v>
      </c>
      <c r="F58" s="99">
        <v>45891.5</v>
      </c>
      <c r="G58" s="99">
        <v>1384</v>
      </c>
      <c r="H58" s="99">
        <v>682</v>
      </c>
      <c r="I58" s="99">
        <v>5424</v>
      </c>
      <c r="J58" s="99">
        <v>26385</v>
      </c>
      <c r="K58" s="99">
        <v>9870</v>
      </c>
      <c r="L58" s="99">
        <v>76248</v>
      </c>
      <c r="M58" s="99">
        <v>15970</v>
      </c>
      <c r="N58" s="99">
        <v>8468</v>
      </c>
      <c r="O58" s="99">
        <v>5715</v>
      </c>
      <c r="P58" s="99">
        <v>5715</v>
      </c>
      <c r="Q58" s="99">
        <v>578</v>
      </c>
      <c r="R58" s="99">
        <v>1356</v>
      </c>
      <c r="S58" s="99">
        <v>1391</v>
      </c>
      <c r="T58" s="99">
        <v>783</v>
      </c>
      <c r="U58" s="99">
        <v>209</v>
      </c>
      <c r="V58" s="99">
        <v>1176</v>
      </c>
      <c r="W58" s="99">
        <v>2740</v>
      </c>
      <c r="X58" s="99">
        <v>1053</v>
      </c>
      <c r="Y58" s="99">
        <v>4376</v>
      </c>
      <c r="Z58" s="99">
        <v>2015</v>
      </c>
      <c r="AA58" s="99">
        <v>0</v>
      </c>
      <c r="AB58" s="99">
        <v>0</v>
      </c>
      <c r="AC58" s="99">
        <v>0</v>
      </c>
      <c r="AD58" s="98">
        <v>0</v>
      </c>
      <c r="AE58" s="101">
        <v>0.12707847896647065</v>
      </c>
      <c r="AF58" s="101">
        <v>0.11737827102265896</v>
      </c>
      <c r="AG58" s="98">
        <v>353.9904494195222</v>
      </c>
      <c r="AH58" s="98">
        <v>174.43749024863737</v>
      </c>
      <c r="AI58" s="101">
        <v>0.01387315171713503</v>
      </c>
      <c r="AJ58" s="101">
        <v>0.6778245902481632</v>
      </c>
      <c r="AK58" s="101">
        <v>0.6983161171642847</v>
      </c>
      <c r="AL58" s="101">
        <v>0.7226956068432776</v>
      </c>
      <c r="AM58" s="101">
        <v>0.4929620940856896</v>
      </c>
      <c r="AN58" s="101">
        <v>0.49546544965186357</v>
      </c>
      <c r="AO58" s="98">
        <v>1461.745244532203</v>
      </c>
      <c r="AP58" s="98">
        <v>0</v>
      </c>
      <c r="AQ58" s="101">
        <v>0.10113735783027121</v>
      </c>
      <c r="AR58" s="101">
        <v>0.42625368731563423</v>
      </c>
      <c r="AS58" s="98">
        <v>355.78086354230874</v>
      </c>
      <c r="AT58" s="98">
        <v>200.27060830598688</v>
      </c>
      <c r="AU58" s="98">
        <v>53.45665023748565</v>
      </c>
      <c r="AV58" s="98">
        <v>300.7895726281489</v>
      </c>
      <c r="AW58" s="98">
        <v>700.8192423478979</v>
      </c>
      <c r="AX58" s="98">
        <v>269.3294387563272</v>
      </c>
      <c r="AY58" s="98">
        <v>1119.2646001877376</v>
      </c>
      <c r="AZ58" s="98">
        <v>515.3834939164286</v>
      </c>
      <c r="BA58" s="101">
        <v>0</v>
      </c>
      <c r="BB58" s="101">
        <v>0</v>
      </c>
      <c r="BC58" s="101">
        <v>0</v>
      </c>
      <c r="BD58" s="98">
        <v>0</v>
      </c>
      <c r="BE58" s="98">
        <v>0</v>
      </c>
      <c r="BF58" s="99">
        <v>38926</v>
      </c>
      <c r="BG58" s="99">
        <v>14134</v>
      </c>
      <c r="BH58" s="99">
        <v>105505</v>
      </c>
      <c r="BI58" s="99">
        <v>32396</v>
      </c>
      <c r="BJ58" s="99">
        <v>17091</v>
      </c>
      <c r="BK58" s="97"/>
      <c r="BL58" s="97"/>
      <c r="BM58" s="97"/>
      <c r="BN58" s="97"/>
    </row>
    <row r="59" spans="1:66" ht="12.75">
      <c r="A59" s="79" t="s">
        <v>24</v>
      </c>
      <c r="B59" s="94" t="s">
        <v>7</v>
      </c>
      <c r="C59" s="94" t="s">
        <v>7</v>
      </c>
      <c r="D59" s="99">
        <v>54615830</v>
      </c>
      <c r="E59" s="99">
        <v>8737890</v>
      </c>
      <c r="F59" s="99">
        <v>8198344.169999988</v>
      </c>
      <c r="G59" s="99">
        <v>243379</v>
      </c>
      <c r="H59" s="99">
        <v>127868</v>
      </c>
      <c r="I59" s="99">
        <v>870616</v>
      </c>
      <c r="J59" s="99">
        <v>4592627</v>
      </c>
      <c r="K59" s="99">
        <v>1679592</v>
      </c>
      <c r="L59" s="99">
        <v>10150944</v>
      </c>
      <c r="M59" s="99">
        <v>2959539</v>
      </c>
      <c r="N59" s="99">
        <v>1629320</v>
      </c>
      <c r="O59" s="99">
        <v>989730</v>
      </c>
      <c r="P59" s="99">
        <v>989730</v>
      </c>
      <c r="Q59" s="99">
        <v>108072</v>
      </c>
      <c r="R59" s="99">
        <v>238330</v>
      </c>
      <c r="S59" s="99">
        <v>206300</v>
      </c>
      <c r="T59" s="99">
        <v>154264</v>
      </c>
      <c r="U59" s="99">
        <v>38486</v>
      </c>
      <c r="V59" s="99">
        <v>176535</v>
      </c>
      <c r="W59" s="99">
        <v>307276</v>
      </c>
      <c r="X59" s="99">
        <v>221506</v>
      </c>
      <c r="Y59" s="99">
        <v>578574</v>
      </c>
      <c r="Z59" s="99">
        <v>318377</v>
      </c>
      <c r="AA59" s="99">
        <v>0</v>
      </c>
      <c r="AB59" s="99">
        <v>0</v>
      </c>
      <c r="AC59" s="99">
        <v>0</v>
      </c>
      <c r="AD59" s="98">
        <v>0</v>
      </c>
      <c r="AE59" s="101">
        <v>0.1599882305185145</v>
      </c>
      <c r="AF59" s="101">
        <v>0.15010930292554353</v>
      </c>
      <c r="AG59" s="98">
        <v>445.6198871279627</v>
      </c>
      <c r="AH59" s="98">
        <v>234.12259778895606</v>
      </c>
      <c r="AI59" s="101">
        <v>0.015940726342527432</v>
      </c>
      <c r="AJ59" s="101">
        <v>0.7248631360507991</v>
      </c>
      <c r="AK59" s="101">
        <v>0.7467412166569077</v>
      </c>
      <c r="AL59" s="101">
        <v>0.7559681673907895</v>
      </c>
      <c r="AM59" s="101">
        <v>0.5147293797466616</v>
      </c>
      <c r="AN59" s="101">
        <v>0.5752927626212945</v>
      </c>
      <c r="AO59" s="98">
        <v>1812.1669120472948</v>
      </c>
      <c r="AP59" s="98">
        <v>1</v>
      </c>
      <c r="AQ59" s="101">
        <v>0.10919341638628717</v>
      </c>
      <c r="AR59" s="101">
        <v>0.4534552930810221</v>
      </c>
      <c r="AS59" s="98">
        <v>377.7293140102421</v>
      </c>
      <c r="AT59" s="98">
        <v>282.45290788403287</v>
      </c>
      <c r="AU59" s="98">
        <v>70.46674929228394</v>
      </c>
      <c r="AV59" s="98">
        <v>323.23046266988894</v>
      </c>
      <c r="AW59" s="98">
        <v>562.6134400960308</v>
      </c>
      <c r="AX59" s="98">
        <v>405.57105879375996</v>
      </c>
      <c r="AY59" s="98">
        <v>1059.3522061277838</v>
      </c>
      <c r="AZ59" s="98">
        <v>582.9390489900089</v>
      </c>
      <c r="BA59" s="101">
        <v>0</v>
      </c>
      <c r="BB59" s="101">
        <v>0</v>
      </c>
      <c r="BC59" s="101">
        <v>0</v>
      </c>
      <c r="BD59" s="98">
        <v>0</v>
      </c>
      <c r="BE59" s="98">
        <v>0</v>
      </c>
      <c r="BF59" s="99">
        <v>6335854</v>
      </c>
      <c r="BG59" s="99">
        <v>2249229</v>
      </c>
      <c r="BH59" s="99">
        <v>13427740</v>
      </c>
      <c r="BI59" s="99">
        <v>5749699</v>
      </c>
      <c r="BJ59" s="99">
        <v>2832158</v>
      </c>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2"/>
      <c r="BB60" s="302"/>
      <c r="BC60" s="302"/>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2"/>
      <c r="BB65" s="302"/>
      <c r="BC65" s="302"/>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468</v>
      </c>
      <c r="Q4" s="75" t="s">
        <v>469</v>
      </c>
      <c r="R4" s="75" t="s">
        <v>470</v>
      </c>
      <c r="S4" s="75" t="s">
        <v>471</v>
      </c>
      <c r="T4" s="39" t="s">
        <v>278</v>
      </c>
      <c r="U4" s="40" t="s">
        <v>279</v>
      </c>
      <c r="V4" s="41" t="s">
        <v>7</v>
      </c>
      <c r="W4" s="24" t="s">
        <v>2</v>
      </c>
      <c r="X4" s="24" t="s">
        <v>3</v>
      </c>
      <c r="Y4" s="75" t="s">
        <v>587</v>
      </c>
      <c r="Z4" s="75" t="s">
        <v>586</v>
      </c>
      <c r="AA4" s="26" t="s">
        <v>280</v>
      </c>
      <c r="AB4" s="24" t="s">
        <v>5</v>
      </c>
      <c r="AC4" s="75" t="s">
        <v>35</v>
      </c>
      <c r="AD4" s="24" t="s">
        <v>6</v>
      </c>
      <c r="AE4" s="24" t="s">
        <v>281</v>
      </c>
      <c r="AF4" s="24" t="s">
        <v>16</v>
      </c>
      <c r="AG4" s="24" t="s">
        <v>15</v>
      </c>
      <c r="AH4" s="24" t="s">
        <v>14</v>
      </c>
      <c r="AI4" s="25" t="s">
        <v>30</v>
      </c>
      <c r="AJ4" s="47" t="s">
        <v>10</v>
      </c>
      <c r="AK4" s="26" t="s">
        <v>21</v>
      </c>
      <c r="AL4" s="25" t="s">
        <v>22</v>
      </c>
      <c r="AQ4" s="102" t="s">
        <v>383</v>
      </c>
      <c r="AR4" s="102" t="s">
        <v>385</v>
      </c>
      <c r="AS4" s="102" t="s">
        <v>384</v>
      </c>
      <c r="AY4" s="102" t="s">
        <v>465</v>
      </c>
      <c r="AZ4" s="102" t="s">
        <v>466</v>
      </c>
      <c r="BA4" s="102" t="s">
        <v>467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406</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391</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361</v>
      </c>
      <c r="E7" s="38">
        <f>IF(LEFT(VLOOKUP($B7,'Indicator chart'!$D$1:$J$36,5,FALSE),1)=" "," ",VLOOKUP($B7,'Indicator chart'!$D$1:$J$36,5,FALSE))</f>
        <v>0.09944903581267217</v>
      </c>
      <c r="F7" s="38">
        <f>IF(LEFT(VLOOKUP($B7,'Indicator chart'!$D$1:$J$36,6,FALSE),1)=" "," ",VLOOKUP($B7,'Indicator chart'!$D$1:$J$36,6,FALSE))</f>
        <v>0.0901329491761868</v>
      </c>
      <c r="G7" s="38">
        <f>IF(LEFT(VLOOKUP($B7,'Indicator chart'!$D$1:$J$36,7,FALSE),1)=" "," ",VLOOKUP($B7,'Indicator chart'!$D$1:$J$36,7,FALSE))</f>
        <v>0.10961202594876084</v>
      </c>
      <c r="H7" s="50">
        <f aca="true" t="shared" si="0" ref="H7:H31">IF(LEFT(F7,1)=" ",4,IF(AND(ABS(N7-E7)&gt;SQRT((E7-G7)^2+(N7-R7)^2),E7&lt;N7),1,IF(AND(ABS(N7-E7)&gt;SQRT((E7-F7)^2+(N7-S7)^2),E7&gt;N7),3,2)))</f>
        <v>1</v>
      </c>
      <c r="I7" s="38">
        <v>0.06507989019155502</v>
      </c>
      <c r="J7" s="38">
        <v>0.0990537628531456</v>
      </c>
      <c r="K7" s="38">
        <v>0.13144545257091522</v>
      </c>
      <c r="L7" s="38">
        <v>0.15927600860595703</v>
      </c>
      <c r="M7" s="38">
        <v>0.21354705095291138</v>
      </c>
      <c r="N7" s="80">
        <f>VLOOKUP('Hide - Control'!B$3,'All practice data'!A:CA,A7+29,FALSE)</f>
        <v>0.12707847896647065</v>
      </c>
      <c r="O7" s="80">
        <f>VLOOKUP('Hide - Control'!C$3,'All practice data'!A:CA,A7+29,FALSE)</f>
        <v>0.1599882305185145</v>
      </c>
      <c r="P7" s="38">
        <f>VLOOKUP('Hide - Control'!$B$4,'All practice data'!B:BC,A7+2,FALSE)</f>
        <v>49684</v>
      </c>
      <c r="Q7" s="38">
        <f>VLOOKUP('Hide - Control'!$B$4,'All practice data'!B:BC,3,FALSE)</f>
        <v>390971</v>
      </c>
      <c r="R7" s="38">
        <f>+((2*P7+1.96^2-1.96*SQRT(1.96^2+4*P7*(1-P7/Q7)))/(2*(Q7+1.96^2)))</f>
        <v>0.126038125281051</v>
      </c>
      <c r="S7" s="38">
        <f>+((2*P7+1.96^2+1.96*SQRT(1.96^2+4*P7*(1-P7/Q7)))/(2*(Q7+1.96^2)))</f>
        <v>0.12812616107900518</v>
      </c>
      <c r="T7" s="53">
        <f>IF($C7=1,M7,I7)</f>
        <v>0.21354705095291138</v>
      </c>
      <c r="U7" s="51">
        <f aca="true" t="shared" si="1" ref="U7:U15">IF($C7=1,I7,M7)</f>
        <v>0.06507989019155502</v>
      </c>
      <c r="V7" s="7">
        <v>1</v>
      </c>
      <c r="W7" s="27">
        <f aca="true" t="shared" si="2" ref="W7:W31">IF((K7-I7)&gt;(M7-K7),I7,(K7-(M7-K7)))</f>
        <v>0.04934385418891907</v>
      </c>
      <c r="X7" s="27">
        <f aca="true" t="shared" si="3" ref="X7:X31">IF(W7=I7,K7+(K7-I7),M7)</f>
        <v>0.21354705095291138</v>
      </c>
      <c r="Y7" s="27">
        <f aca="true" t="shared" si="4" ref="Y7:Y31">IF(C7=1,W7,X7)</f>
        <v>0.04934385418891907</v>
      </c>
      <c r="Z7" s="27">
        <f aca="true" t="shared" si="5" ref="Z7:Z31">IF(C7=1,X7,W7)</f>
        <v>0.21354705095291138</v>
      </c>
      <c r="AA7" s="32">
        <f aca="true" t="shared" si="6" ref="AA7:AA31">IF(ISERROR(IF(C7=1,(I7-$Y7)/($Z7-$Y7),(U7-$Y7)/($Z7-$Y7))),"",IF(C7=1,(I7-$Y7)/($Z7-$Y7),(U7-$Y7)/($Z7-$Y7)))</f>
        <v>0.09583270187640262</v>
      </c>
      <c r="AB7" s="33">
        <f aca="true" t="shared" si="7" ref="AB7:AB31">IF(ISERROR(IF(C7=1,(J7-$Y7)/($Z7-$Y7),(L7-$Y7)/($Z7-$Y7))),"",IF(C7=1,(J7-$Y7)/($Z7-$Y7),(L7-$Y7)/($Z7-$Y7)))</f>
        <v>0.30273411019929236</v>
      </c>
      <c r="AC7" s="33">
        <v>0.5</v>
      </c>
      <c r="AD7" s="33">
        <f aca="true" t="shared" si="8" ref="AD7:AD31">IF(ISERROR(IF(C7=1,(L7-$Y7)/($Z7-$Y7),(J7-$Y7)/($Z7-$Y7))),"",IF(C7=1,(L7-$Y7)/($Z7-$Y7),(J7-$Y7)/($Z7-$Y7)))</f>
        <v>0.669488515348714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0.3051413286171816</v>
      </c>
      <c r="AI7" s="34">
        <f aca="true" t="shared" si="13" ref="AI7:AI31">IF(ISERROR((O7-$Y7)/($Z7-$Y7)),-999,(O7-$Y7)/($Z7-$Y7))</f>
        <v>0.6738259577773235</v>
      </c>
      <c r="AJ7" s="4">
        <v>2.7020512924389086</v>
      </c>
      <c r="AK7" s="32">
        <f aca="true" t="shared" si="14" ref="AK7:AK31">IF(H7=1,(E7-$Y7)/($Z7-$Y7),-999)</f>
        <v>0.3051413286171816</v>
      </c>
      <c r="AL7" s="34">
        <f aca="true" t="shared" si="15" ref="AL7:AL31">IF(H7=3,(E7-$Y7)/($Z7-$Y7),-999)</f>
        <v>-999</v>
      </c>
      <c r="AQ7" s="103">
        <v>2</v>
      </c>
      <c r="AR7" s="103">
        <v>0.2422</v>
      </c>
      <c r="AS7" s="103">
        <v>7.2247</v>
      </c>
      <c r="AY7" s="103" t="s">
        <v>68</v>
      </c>
      <c r="AZ7" s="103" t="s">
        <v>390</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0.16</v>
      </c>
      <c r="F8" s="38">
        <f>IF(LEFT(VLOOKUP($B8,'Indicator chart'!$D$1:$J$36,6,FALSE),1)=" "," ",VLOOKUP($B8,'Indicator chart'!$D$1:$J$36,6,FALSE))</f>
        <v>0.14843411809374243</v>
      </c>
      <c r="G8" s="38">
        <f>IF(LEFT(VLOOKUP($B8,'Indicator chart'!$D$1:$J$36,7,FALSE),1)=" "," ",VLOOKUP($B8,'Indicator chart'!$D$1:$J$36,7,FALSE))</f>
        <v>0.17228475969113405</v>
      </c>
      <c r="H8" s="50">
        <f t="shared" si="0"/>
        <v>3</v>
      </c>
      <c r="I8" s="38">
        <v>0.03999999910593033</v>
      </c>
      <c r="J8" s="38">
        <v>0.07999999821186066</v>
      </c>
      <c r="K8" s="38">
        <v>0.10999999940395355</v>
      </c>
      <c r="L8" s="38">
        <v>0.16750000417232513</v>
      </c>
      <c r="M8" s="38">
        <v>0.25</v>
      </c>
      <c r="N8" s="80">
        <f>VLOOKUP('Hide - Control'!B$3,'All practice data'!A:CA,A8+29,FALSE)</f>
        <v>0.11737827102265896</v>
      </c>
      <c r="O8" s="80">
        <f>VLOOKUP('Hide - Control'!C$3,'All practice data'!A:CA,A8+29,FALSE)</f>
        <v>0.15010930292554353</v>
      </c>
      <c r="P8" s="38">
        <f>VLOOKUP('Hide - Control'!$B$4,'All practice data'!B:BC,A8+2,FALSE)</f>
        <v>45891.5</v>
      </c>
      <c r="Q8" s="38">
        <f>VLOOKUP('Hide - Control'!$B$4,'All practice data'!B:BC,3,FALSE)</f>
        <v>390971</v>
      </c>
      <c r="R8" s="38">
        <f>+((2*P8+1.96^2-1.96*SQRT(1.96^2+4*P8*(1-P8/Q8)))/(2*(Q8+1.96^2)))</f>
        <v>0.11637308938240633</v>
      </c>
      <c r="S8" s="38">
        <f>+((2*P8+1.96^2+1.96*SQRT(1.96^2+4*P8*(1-P8/Q8)))/(2*(Q8+1.96^2)))</f>
        <v>0.11839097171261836</v>
      </c>
      <c r="T8" s="53">
        <f aca="true" t="shared" si="16" ref="T8:T15">IF($C8=1,M8,I8)</f>
        <v>0.25</v>
      </c>
      <c r="U8" s="51">
        <f t="shared" si="1"/>
        <v>0.03999999910593033</v>
      </c>
      <c r="V8" s="7"/>
      <c r="W8" s="27">
        <f t="shared" si="2"/>
        <v>-0.030000001192092896</v>
      </c>
      <c r="X8" s="27">
        <f t="shared" si="3"/>
        <v>0.25</v>
      </c>
      <c r="Y8" s="27">
        <f t="shared" si="4"/>
        <v>-0.030000001192092896</v>
      </c>
      <c r="Z8" s="27">
        <f t="shared" si="5"/>
        <v>0.25</v>
      </c>
      <c r="AA8" s="32">
        <f t="shared" si="6"/>
        <v>0.25</v>
      </c>
      <c r="AB8" s="33">
        <f t="shared" si="7"/>
        <v>0.39285713905582625</v>
      </c>
      <c r="AC8" s="33">
        <v>0.5</v>
      </c>
      <c r="AD8" s="33">
        <f t="shared" si="8"/>
        <v>0.7053571590127384</v>
      </c>
      <c r="AE8" s="33">
        <f t="shared" si="9"/>
        <v>1</v>
      </c>
      <c r="AF8" s="33">
        <f t="shared" si="10"/>
        <v>-999</v>
      </c>
      <c r="AG8" s="33">
        <f t="shared" si="11"/>
        <v>-999</v>
      </c>
      <c r="AH8" s="33">
        <f t="shared" si="12"/>
        <v>0.6785714299399026</v>
      </c>
      <c r="AI8" s="34">
        <f t="shared" si="13"/>
        <v>0.6432475119672344</v>
      </c>
      <c r="AJ8" s="4">
        <v>3.778046717820832</v>
      </c>
      <c r="AK8" s="32">
        <f t="shared" si="14"/>
        <v>-999</v>
      </c>
      <c r="AL8" s="34">
        <f t="shared" si="15"/>
        <v>0.6785714299399026</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330.57851239669424</v>
      </c>
      <c r="F9" s="38">
        <f>IF(LEFT(VLOOKUP($B9,'Indicator chart'!$D$1:$J$36,6,FALSE),1)=" "," ",VLOOKUP($B9,'Indicator chart'!$D$1:$J$36,6,FALSE))</f>
        <v>170.61789443172583</v>
      </c>
      <c r="G9" s="38">
        <f>IF(LEFT(VLOOKUP($B9,'Indicator chart'!$D$1:$J$36,7,FALSE),1)=" "," ",VLOOKUP($B9,'Indicator chart'!$D$1:$J$36,7,FALSE))</f>
        <v>577.4941217661033</v>
      </c>
      <c r="H9" s="50">
        <f t="shared" si="0"/>
        <v>2</v>
      </c>
      <c r="I9" s="38">
        <v>92.60600280761719</v>
      </c>
      <c r="J9" s="38">
        <v>268.5804443359375</v>
      </c>
      <c r="K9" s="38">
        <v>336.80999755859375</v>
      </c>
      <c r="L9" s="38">
        <v>456.7952880859375</v>
      </c>
      <c r="M9" s="38">
        <v>672.1820068359375</v>
      </c>
      <c r="N9" s="80">
        <f>VLOOKUP('Hide - Control'!B$3,'All practice data'!A:CA,A9+29,FALSE)</f>
        <v>353.9904494195222</v>
      </c>
      <c r="O9" s="80">
        <f>VLOOKUP('Hide - Control'!C$3,'All practice data'!A:CA,A9+29,FALSE)</f>
        <v>445.6198871279627</v>
      </c>
      <c r="P9" s="38">
        <f>VLOOKUP('Hide - Control'!$B$4,'All practice data'!B:BC,A9+2,FALSE)</f>
        <v>1384</v>
      </c>
      <c r="Q9" s="38">
        <f>VLOOKUP('Hide - Control'!$B$4,'All practice data'!B:BC,3,FALSE)</f>
        <v>390971</v>
      </c>
      <c r="R9" s="38">
        <f>100000*(P9*(1-1/(9*P9)-1.96/(3*SQRT(P9)))^3)/Q9</f>
        <v>335.5837441246894</v>
      </c>
      <c r="S9" s="38">
        <f>100000*((P9+1)*(1-1/(9*(P9+1))+1.96/(3*SQRT(P9+1)))^3)/Q9</f>
        <v>373.1441633909223</v>
      </c>
      <c r="T9" s="53">
        <f t="shared" si="16"/>
        <v>672.1820068359375</v>
      </c>
      <c r="U9" s="51">
        <f t="shared" si="1"/>
        <v>92.60600280761719</v>
      </c>
      <c r="V9" s="7"/>
      <c r="W9" s="27">
        <f t="shared" si="2"/>
        <v>1.43798828125</v>
      </c>
      <c r="X9" s="27">
        <f t="shared" si="3"/>
        <v>672.1820068359375</v>
      </c>
      <c r="Y9" s="27">
        <f t="shared" si="4"/>
        <v>1.43798828125</v>
      </c>
      <c r="Z9" s="27">
        <f t="shared" si="5"/>
        <v>672.1820068359375</v>
      </c>
      <c r="AA9" s="32">
        <f t="shared" si="6"/>
        <v>0.13592072684123985</v>
      </c>
      <c r="AB9" s="33">
        <f t="shared" si="7"/>
        <v>0.39827780593604606</v>
      </c>
      <c r="AC9" s="33">
        <v>0.5</v>
      </c>
      <c r="AD9" s="33">
        <f t="shared" si="8"/>
        <v>0.6788838770204568</v>
      </c>
      <c r="AE9" s="33">
        <f t="shared" si="9"/>
        <v>1</v>
      </c>
      <c r="AF9" s="33">
        <f t="shared" si="10"/>
        <v>-999</v>
      </c>
      <c r="AG9" s="33">
        <f t="shared" si="11"/>
        <v>0.490709592647092</v>
      </c>
      <c r="AH9" s="33">
        <f t="shared" si="12"/>
        <v>-999</v>
      </c>
      <c r="AI9" s="34">
        <f t="shared" si="13"/>
        <v>0.6622226759529387</v>
      </c>
      <c r="AJ9" s="4">
        <v>4.854042143202755</v>
      </c>
      <c r="AK9" s="32">
        <f t="shared" si="14"/>
        <v>-999</v>
      </c>
      <c r="AL9" s="34">
        <f t="shared" si="15"/>
        <v>-999</v>
      </c>
      <c r="AQ9" s="103">
        <v>4</v>
      </c>
      <c r="AR9" s="103">
        <v>1.0899</v>
      </c>
      <c r="AS9" s="103">
        <v>10.2416</v>
      </c>
      <c r="AY9" s="103" t="s">
        <v>90</v>
      </c>
      <c r="AZ9" s="103" t="s">
        <v>400</v>
      </c>
      <c r="BA9" s="103" t="s">
        <v>336</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116.50831604003906</v>
      </c>
      <c r="K10" s="38">
        <v>170.62939453125</v>
      </c>
      <c r="L10" s="38">
        <v>225.31369018554688</v>
      </c>
      <c r="M10" s="38">
        <v>337.63653564453125</v>
      </c>
      <c r="N10" s="80">
        <f>VLOOKUP('Hide - Control'!B$3,'All practice data'!A:CA,A10+29,FALSE)</f>
        <v>174.43749024863737</v>
      </c>
      <c r="O10" s="80">
        <f>VLOOKUP('Hide - Control'!C$3,'All practice data'!A:CA,A10+29,FALSE)</f>
        <v>234.12259778895606</v>
      </c>
      <c r="P10" s="38">
        <f>VLOOKUP('Hide - Control'!$B$4,'All practice data'!B:BC,A10+2,FALSE)</f>
        <v>682</v>
      </c>
      <c r="Q10" s="38">
        <f>VLOOKUP('Hide - Control'!$B$4,'All practice data'!B:BC,3,FALSE)</f>
        <v>390971</v>
      </c>
      <c r="R10" s="38">
        <f>100000*(P10*(1-1/(9*P10)-1.96/(3*SQRT(P10)))^3)/Q10</f>
        <v>161.5893224345594</v>
      </c>
      <c r="S10" s="38">
        <f>100000*((P10+1)*(1-1/(9*(P10+1))+1.96/(3*SQRT(P10+1)))^3)/Q10</f>
        <v>188.03548563810241</v>
      </c>
      <c r="T10" s="53">
        <f t="shared" si="16"/>
        <v>337.63653564453125</v>
      </c>
      <c r="U10" s="51">
        <f t="shared" si="1"/>
        <v>44.173431396484375</v>
      </c>
      <c r="V10" s="7"/>
      <c r="W10" s="27">
        <f t="shared" si="2"/>
        <v>3.62225341796875</v>
      </c>
      <c r="X10" s="27">
        <f t="shared" si="3"/>
        <v>337.63653564453125</v>
      </c>
      <c r="Y10" s="27">
        <f t="shared" si="4"/>
        <v>3.62225341796875</v>
      </c>
      <c r="Z10" s="27">
        <f t="shared" si="5"/>
        <v>337.63653564453125</v>
      </c>
      <c r="AA10" s="32">
        <f t="shared" si="6"/>
        <v>0.12140552106993344</v>
      </c>
      <c r="AB10" s="33">
        <f t="shared" si="7"/>
        <v>0.337967771526307</v>
      </c>
      <c r="AC10" s="33">
        <v>0.5</v>
      </c>
      <c r="AD10" s="33">
        <f t="shared" si="8"/>
        <v>0.6637184353009324</v>
      </c>
      <c r="AE10" s="33">
        <f t="shared" si="9"/>
        <v>1</v>
      </c>
      <c r="AF10" s="33">
        <f t="shared" si="10"/>
        <v>-999</v>
      </c>
      <c r="AG10" s="33">
        <f t="shared" si="11"/>
        <v>-999</v>
      </c>
      <c r="AH10" s="33">
        <f t="shared" si="12"/>
        <v>-999</v>
      </c>
      <c r="AI10" s="34">
        <f t="shared" si="13"/>
        <v>0.6900912824279727</v>
      </c>
      <c r="AJ10" s="4">
        <v>5.930037568584676</v>
      </c>
      <c r="AK10" s="32">
        <f t="shared" si="14"/>
        <v>-999</v>
      </c>
      <c r="AL10" s="34">
        <f t="shared" si="15"/>
        <v>-999</v>
      </c>
      <c r="AY10" s="103" t="s">
        <v>96</v>
      </c>
      <c r="AZ10" s="103" t="s">
        <v>97</v>
      </c>
      <c r="BA10" s="103" t="s">
        <v>517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45</v>
      </c>
      <c r="E11" s="38">
        <f>IF(LEFT(VLOOKUP($B11,'Indicator chart'!$D$1:$J$36,5,FALSE),1)=" "," ",VLOOKUP($B11,'Indicator chart'!$D$1:$J$36,5,FALSE))</f>
        <v>0.012</v>
      </c>
      <c r="F11" s="38">
        <f>IF(LEFT(VLOOKUP($B11,'Indicator chart'!$D$1:$J$36,6,FALSE),1)=" "," ",VLOOKUP($B11,'Indicator chart'!$D$1:$J$36,6,FALSE))</f>
        <v>0.009277796524597218</v>
      </c>
      <c r="G11" s="38">
        <f>IF(LEFT(VLOOKUP($B11,'Indicator chart'!$D$1:$J$36,7,FALSE),1)=" "," ",VLOOKUP($B11,'Indicator chart'!$D$1:$J$36,7,FALSE))</f>
        <v>0.016546554212099725</v>
      </c>
      <c r="H11" s="50">
        <f t="shared" si="0"/>
        <v>2</v>
      </c>
      <c r="I11" s="38">
        <v>0.007000000216066837</v>
      </c>
      <c r="J11" s="38">
        <v>0.009999999776482582</v>
      </c>
      <c r="K11" s="38">
        <v>0.014000000432133675</v>
      </c>
      <c r="L11" s="38">
        <v>0.017999999225139618</v>
      </c>
      <c r="M11" s="38">
        <v>0.023000000044703484</v>
      </c>
      <c r="N11" s="80">
        <f>VLOOKUP('Hide - Control'!B$3,'All practice data'!A:CA,A11+29,FALSE)</f>
        <v>0.01387315171713503</v>
      </c>
      <c r="O11" s="80">
        <f>VLOOKUP('Hide - Control'!C$3,'All practice data'!A:CA,A11+29,FALSE)</f>
        <v>0.015940726342527432</v>
      </c>
      <c r="P11" s="38">
        <f>VLOOKUP('Hide - Control'!$B$4,'All practice data'!B:BC,A11+2,FALSE)</f>
        <v>5424</v>
      </c>
      <c r="Q11" s="38">
        <f>VLOOKUP('Hide - Control'!$B$4,'All practice data'!B:BC,3,FALSE)</f>
        <v>390971</v>
      </c>
      <c r="R11" s="80">
        <f aca="true" t="shared" si="17" ref="R11:R16">+((2*P11+1.96^2-1.96*SQRT(1.96^2+4*P11*(1-P11/Q11)))/(2*(Q11+1.96^2)))</f>
        <v>0.01351126070114528</v>
      </c>
      <c r="S11" s="80">
        <f aca="true" t="shared" si="18" ref="S11:S16">+((2*P11+1.96^2+1.96*SQRT(1.96^2+4*P11*(1-P11/Q11)))/(2*(Q11+1.96^2)))</f>
        <v>0.014244595802538255</v>
      </c>
      <c r="T11" s="53">
        <f t="shared" si="16"/>
        <v>0.023000000044703484</v>
      </c>
      <c r="U11" s="51">
        <f t="shared" si="1"/>
        <v>0.007000000216066837</v>
      </c>
      <c r="V11" s="7"/>
      <c r="W11" s="27">
        <f t="shared" si="2"/>
        <v>0.005000000819563866</v>
      </c>
      <c r="X11" s="27">
        <f t="shared" si="3"/>
        <v>0.023000000044703484</v>
      </c>
      <c r="Y11" s="27">
        <f t="shared" si="4"/>
        <v>0.005000000819563866</v>
      </c>
      <c r="Z11" s="27">
        <f t="shared" si="5"/>
        <v>0.023000000044703484</v>
      </c>
      <c r="AA11" s="32">
        <f t="shared" si="6"/>
        <v>0.11111108236658597</v>
      </c>
      <c r="AB11" s="33">
        <f t="shared" si="7"/>
        <v>0.27777773178653753</v>
      </c>
      <c r="AC11" s="33">
        <v>0.5</v>
      </c>
      <c r="AD11" s="33">
        <f t="shared" si="8"/>
        <v>0.7222221647331719</v>
      </c>
      <c r="AE11" s="33">
        <f t="shared" si="9"/>
        <v>1</v>
      </c>
      <c r="AF11" s="33">
        <f t="shared" si="10"/>
        <v>-999</v>
      </c>
      <c r="AG11" s="33">
        <f t="shared" si="11"/>
        <v>0.38888886009837254</v>
      </c>
      <c r="AH11" s="33">
        <f t="shared" si="12"/>
        <v>-999</v>
      </c>
      <c r="AI11" s="34">
        <f t="shared" si="13"/>
        <v>0.6078181107743189</v>
      </c>
      <c r="AJ11" s="4">
        <v>7.0060329939666</v>
      </c>
      <c r="AK11" s="32">
        <f t="shared" si="14"/>
        <v>-999</v>
      </c>
      <c r="AL11" s="34">
        <f t="shared" si="15"/>
        <v>-999</v>
      </c>
      <c r="AY11" s="103" t="s">
        <v>214</v>
      </c>
      <c r="AZ11" s="103" t="s">
        <v>215</v>
      </c>
      <c r="BA11" s="103" t="s">
        <v>517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200</v>
      </c>
      <c r="E12" s="38">
        <f>IF(LEFT(VLOOKUP($B12,'Indicator chart'!$D$1:$J$36,5,FALSE),1)=" "," ",VLOOKUP($B12,'Indicator chart'!$D$1:$J$36,5,FALSE))</f>
        <v>0.706714</v>
      </c>
      <c r="F12" s="38">
        <f>IF(LEFT(VLOOKUP($B12,'Indicator chart'!$D$1:$J$36,6,FALSE),1)=" "," ",VLOOKUP($B12,'Indicator chart'!$D$1:$J$36,6,FALSE))</f>
        <v>0.6511857322274628</v>
      </c>
      <c r="G12" s="38">
        <f>IF(LEFT(VLOOKUP($B12,'Indicator chart'!$D$1:$J$36,7,FALSE),1)=" "," ",VLOOKUP($B12,'Indicator chart'!$D$1:$J$36,7,FALSE))</f>
        <v>0.7567048945156596</v>
      </c>
      <c r="H12" s="50">
        <f t="shared" si="0"/>
        <v>2</v>
      </c>
      <c r="I12" s="38">
        <v>0.4846940040588379</v>
      </c>
      <c r="J12" s="38">
        <v>0.6247897744178772</v>
      </c>
      <c r="K12" s="38">
        <v>0.6817924976348877</v>
      </c>
      <c r="L12" s="38">
        <v>0.7076942324638367</v>
      </c>
      <c r="M12" s="38">
        <v>0.7989420294761658</v>
      </c>
      <c r="N12" s="80">
        <f>VLOOKUP('Hide - Control'!B$3,'All practice data'!A:CA,A12+29,FALSE)</f>
        <v>0.6778245902481632</v>
      </c>
      <c r="O12" s="80">
        <f>VLOOKUP('Hide - Control'!C$3,'All practice data'!A:CA,A12+29,FALSE)</f>
        <v>0.7248631360507991</v>
      </c>
      <c r="P12" s="38">
        <f>VLOOKUP('Hide - Control'!$B$4,'All practice data'!B:BC,A12+2,FALSE)</f>
        <v>26385</v>
      </c>
      <c r="Q12" s="38">
        <f>VLOOKUP('Hide - Control'!$B$4,'All practice data'!B:BJ,57,FALSE)</f>
        <v>38926</v>
      </c>
      <c r="R12" s="38">
        <f t="shared" si="17"/>
        <v>0.6731648546512267</v>
      </c>
      <c r="S12" s="38">
        <f t="shared" si="18"/>
        <v>0.6824492303544519</v>
      </c>
      <c r="T12" s="53">
        <f t="shared" si="16"/>
        <v>0.7989420294761658</v>
      </c>
      <c r="U12" s="51">
        <f t="shared" si="1"/>
        <v>0.4846940040588379</v>
      </c>
      <c r="V12" s="7"/>
      <c r="W12" s="27">
        <f t="shared" si="2"/>
        <v>0.4846940040588379</v>
      </c>
      <c r="X12" s="27">
        <f t="shared" si="3"/>
        <v>0.8788909912109375</v>
      </c>
      <c r="Y12" s="27">
        <f t="shared" si="4"/>
        <v>0.4846940040588379</v>
      </c>
      <c r="Z12" s="27">
        <f t="shared" si="5"/>
        <v>0.8788909912109375</v>
      </c>
      <c r="AA12" s="32">
        <f t="shared" si="6"/>
        <v>0</v>
      </c>
      <c r="AB12" s="33">
        <f t="shared" si="7"/>
        <v>0.3553953351373125</v>
      </c>
      <c r="AC12" s="33">
        <v>0.5</v>
      </c>
      <c r="AD12" s="33">
        <f t="shared" si="8"/>
        <v>0.5657075920749107</v>
      </c>
      <c r="AE12" s="33">
        <f t="shared" si="9"/>
        <v>0.7971852542243716</v>
      </c>
      <c r="AF12" s="33">
        <f t="shared" si="10"/>
        <v>-999</v>
      </c>
      <c r="AG12" s="33">
        <f t="shared" si="11"/>
        <v>0.5632209356676193</v>
      </c>
      <c r="AH12" s="33">
        <f t="shared" si="12"/>
        <v>-999</v>
      </c>
      <c r="AI12" s="34">
        <f t="shared" si="13"/>
        <v>0.6092617138631066</v>
      </c>
      <c r="AJ12" s="4">
        <v>8.082028419348523</v>
      </c>
      <c r="AK12" s="32">
        <f t="shared" si="14"/>
        <v>-999</v>
      </c>
      <c r="AL12" s="34">
        <f t="shared" si="15"/>
        <v>-999</v>
      </c>
      <c r="AY12" s="103" t="s">
        <v>261</v>
      </c>
      <c r="AZ12" s="103" t="s">
        <v>453</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196</v>
      </c>
      <c r="E13" s="38">
        <f>IF(LEFT(VLOOKUP($B13,'Indicator chart'!$D$1:$J$36,5,FALSE),1)=" "," ",VLOOKUP($B13,'Indicator chart'!$D$1:$J$36,5,FALSE))</f>
        <v>0.712727</v>
      </c>
      <c r="F13" s="38">
        <f>IF(LEFT(VLOOKUP($B13,'Indicator chart'!$D$1:$J$36,6,FALSE),1)=" "," ",VLOOKUP($B13,'Indicator chart'!$D$1:$J$36,6,FALSE))</f>
        <v>0.6566045225064859</v>
      </c>
      <c r="G13" s="38">
        <f>IF(LEFT(VLOOKUP($B13,'Indicator chart'!$D$1:$J$36,7,FALSE),1)=" "," ",VLOOKUP($B13,'Indicator chart'!$D$1:$J$36,7,FALSE))</f>
        <v>0.7629885367787858</v>
      </c>
      <c r="H13" s="50">
        <f t="shared" si="0"/>
        <v>2</v>
      </c>
      <c r="I13" s="38">
        <v>0.2857140004634857</v>
      </c>
      <c r="J13" s="38">
        <v>0.5</v>
      </c>
      <c r="K13" s="38">
        <v>0.6153849959373474</v>
      </c>
      <c r="L13" s="38">
        <v>0.70243901014328</v>
      </c>
      <c r="M13" s="38">
        <v>1</v>
      </c>
      <c r="N13" s="80">
        <f>VLOOKUP('Hide - Control'!B$3,'All practice data'!A:CA,A13+29,FALSE)</f>
        <v>0.6983161171642847</v>
      </c>
      <c r="O13" s="80">
        <f>VLOOKUP('Hide - Control'!C$3,'All practice data'!A:CA,A13+29,FALSE)</f>
        <v>0.7467412166569077</v>
      </c>
      <c r="P13" s="38">
        <f>VLOOKUP('Hide - Control'!$B$4,'All practice data'!B:BC,A13+2,FALSE)</f>
        <v>9870</v>
      </c>
      <c r="Q13" s="38">
        <f>VLOOKUP('Hide - Control'!$B$4,'All practice data'!B:BJ,58,FALSE)</f>
        <v>14134</v>
      </c>
      <c r="R13" s="38">
        <f t="shared" si="17"/>
        <v>0.6906960332548362</v>
      </c>
      <c r="S13" s="38">
        <f t="shared" si="18"/>
        <v>0.7058284263203793</v>
      </c>
      <c r="T13" s="53">
        <f t="shared" si="16"/>
        <v>1</v>
      </c>
      <c r="U13" s="51">
        <f t="shared" si="1"/>
        <v>0.2857140004634857</v>
      </c>
      <c r="V13" s="7"/>
      <c r="W13" s="27">
        <f t="shared" si="2"/>
        <v>0.23076999187469482</v>
      </c>
      <c r="X13" s="27">
        <f t="shared" si="3"/>
        <v>1</v>
      </c>
      <c r="Y13" s="27">
        <f t="shared" si="4"/>
        <v>0.23076999187469482</v>
      </c>
      <c r="Z13" s="27">
        <f t="shared" si="5"/>
        <v>1</v>
      </c>
      <c r="AA13" s="32">
        <f t="shared" si="6"/>
        <v>0.071427281838231</v>
      </c>
      <c r="AB13" s="33">
        <f t="shared" si="7"/>
        <v>0.3499993568652465</v>
      </c>
      <c r="AC13" s="33">
        <v>0.5</v>
      </c>
      <c r="AD13" s="33">
        <f t="shared" si="8"/>
        <v>0.6131703304426364</v>
      </c>
      <c r="AE13" s="33">
        <f t="shared" si="9"/>
        <v>1</v>
      </c>
      <c r="AF13" s="33">
        <f t="shared" si="10"/>
        <v>-999</v>
      </c>
      <c r="AG13" s="33">
        <f t="shared" si="11"/>
        <v>0.6265447304894999</v>
      </c>
      <c r="AH13" s="33">
        <f t="shared" si="12"/>
        <v>-999</v>
      </c>
      <c r="AI13" s="34">
        <f t="shared" si="13"/>
        <v>0.6707632558949297</v>
      </c>
      <c r="AJ13" s="4">
        <v>9.158023844730446</v>
      </c>
      <c r="AK13" s="32">
        <f t="shared" si="14"/>
        <v>-999</v>
      </c>
      <c r="AL13" s="34">
        <f t="shared" si="15"/>
        <v>-999</v>
      </c>
      <c r="AY13" s="103" t="s">
        <v>260</v>
      </c>
      <c r="AZ13" s="103" t="s">
        <v>452</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693</v>
      </c>
      <c r="E14" s="38">
        <f>IF(LEFT(VLOOKUP($B14,'Indicator chart'!$D$1:$J$36,5,FALSE),1)=" "," ",VLOOKUP($B14,'Indicator chart'!$D$1:$J$36,5,FALSE))</f>
        <v>0.714433</v>
      </c>
      <c r="F14" s="38">
        <f>IF(LEFT(VLOOKUP($B14,'Indicator chart'!$D$1:$J$36,6,FALSE),1)=" "," ",VLOOKUP($B14,'Indicator chart'!$D$1:$J$36,6,FALSE))</f>
        <v>0.6852053152501885</v>
      </c>
      <c r="G14" s="38">
        <f>IF(LEFT(VLOOKUP($B14,'Indicator chart'!$D$1:$J$36,7,FALSE),1)=" "," ",VLOOKUP($B14,'Indicator chart'!$D$1:$J$36,7,FALSE))</f>
        <v>0.7419688781710004</v>
      </c>
      <c r="H14" s="50">
        <f t="shared" si="0"/>
        <v>2</v>
      </c>
      <c r="I14" s="38">
        <v>0.5882800221443176</v>
      </c>
      <c r="J14" s="38">
        <v>0.6911489963531494</v>
      </c>
      <c r="K14" s="38">
        <v>0.7279170155525208</v>
      </c>
      <c r="L14" s="38">
        <v>0.7730967402458191</v>
      </c>
      <c r="M14" s="38">
        <v>0.8334640264511108</v>
      </c>
      <c r="N14" s="80">
        <f>VLOOKUP('Hide - Control'!B$3,'All practice data'!A:CA,A14+29,FALSE)</f>
        <v>0.7226956068432776</v>
      </c>
      <c r="O14" s="80">
        <f>VLOOKUP('Hide - Control'!C$3,'All practice data'!A:CA,A14+29,FALSE)</f>
        <v>0.7559681673907895</v>
      </c>
      <c r="P14" s="38">
        <f>VLOOKUP('Hide - Control'!$B$4,'All practice data'!B:BC,A14+2,FALSE)</f>
        <v>76248</v>
      </c>
      <c r="Q14" s="38">
        <f>VLOOKUP('Hide - Control'!$B$4,'All practice data'!B:BJ,59,FALSE)</f>
        <v>105505</v>
      </c>
      <c r="R14" s="38">
        <f t="shared" si="17"/>
        <v>0.7199862179522465</v>
      </c>
      <c r="S14" s="38">
        <f t="shared" si="18"/>
        <v>0.7253887789428006</v>
      </c>
      <c r="T14" s="53">
        <f t="shared" si="16"/>
        <v>0.8334640264511108</v>
      </c>
      <c r="U14" s="51">
        <f t="shared" si="1"/>
        <v>0.5882800221443176</v>
      </c>
      <c r="V14" s="7"/>
      <c r="W14" s="27">
        <f t="shared" si="2"/>
        <v>0.5882800221443176</v>
      </c>
      <c r="X14" s="27">
        <f t="shared" si="3"/>
        <v>0.8675540089607239</v>
      </c>
      <c r="Y14" s="27">
        <f t="shared" si="4"/>
        <v>0.5882800221443176</v>
      </c>
      <c r="Z14" s="27">
        <f t="shared" si="5"/>
        <v>0.8675540089607239</v>
      </c>
      <c r="AA14" s="32">
        <f t="shared" si="6"/>
        <v>0</v>
      </c>
      <c r="AB14" s="33">
        <f t="shared" si="7"/>
        <v>0.3683442750307335</v>
      </c>
      <c r="AC14" s="33">
        <v>0.5</v>
      </c>
      <c r="AD14" s="33">
        <f t="shared" si="8"/>
        <v>0.6617756283294632</v>
      </c>
      <c r="AE14" s="33">
        <f t="shared" si="9"/>
        <v>0.8779335558666849</v>
      </c>
      <c r="AF14" s="33">
        <f t="shared" si="10"/>
        <v>-999</v>
      </c>
      <c r="AG14" s="33">
        <f t="shared" si="11"/>
        <v>0.4517176099849747</v>
      </c>
      <c r="AH14" s="33">
        <f t="shared" si="12"/>
        <v>-999</v>
      </c>
      <c r="AI14" s="34">
        <f t="shared" si="13"/>
        <v>0.6004431245388763</v>
      </c>
      <c r="AJ14" s="4">
        <v>10.234019270112368</v>
      </c>
      <c r="AK14" s="32">
        <f t="shared" si="14"/>
        <v>-999</v>
      </c>
      <c r="AL14" s="34">
        <f t="shared" si="15"/>
        <v>-999</v>
      </c>
      <c r="AY14" s="103" t="s">
        <v>53</v>
      </c>
      <c r="AZ14" s="103" t="s">
        <v>460</v>
      </c>
      <c r="BA14" s="103" t="s">
        <v>517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127</v>
      </c>
      <c r="E15" s="38">
        <f>IF(LEFT(VLOOKUP($B15,'Indicator chart'!$D$1:$J$36,5,FALSE),1)=" "," ",VLOOKUP($B15,'Indicator chart'!$D$1:$J$36,5,FALSE))</f>
        <v>0.479245</v>
      </c>
      <c r="F15" s="38">
        <f>IF(LEFT(VLOOKUP($B15,'Indicator chart'!$D$1:$J$36,6,FALSE),1)=" "," ",VLOOKUP($B15,'Indicator chart'!$D$1:$J$36,6,FALSE))</f>
        <v>0.4198233799486659</v>
      </c>
      <c r="G15" s="38">
        <f>IF(LEFT(VLOOKUP($B15,'Indicator chart'!$D$1:$J$36,7,FALSE),1)=" "," ",VLOOKUP($B15,'Indicator chart'!$D$1:$J$36,7,FALSE))</f>
        <v>0.5392603332861906</v>
      </c>
      <c r="H15" s="50">
        <f t="shared" si="0"/>
        <v>2</v>
      </c>
      <c r="I15" s="38">
        <v>0.30601099133491516</v>
      </c>
      <c r="J15" s="38">
        <v>0.42848774790763855</v>
      </c>
      <c r="K15" s="38">
        <v>0.4803915023803711</v>
      </c>
      <c r="L15" s="38">
        <v>0.5278139710426331</v>
      </c>
      <c r="M15" s="38">
        <v>0.6283050179481506</v>
      </c>
      <c r="N15" s="80">
        <f>VLOOKUP('Hide - Control'!B$3,'All practice data'!A:CA,A15+29,FALSE)</f>
        <v>0.4929620940856896</v>
      </c>
      <c r="O15" s="80">
        <f>VLOOKUP('Hide - Control'!C$3,'All practice data'!A:CA,A15+29,FALSE)</f>
        <v>0.5147293797466616</v>
      </c>
      <c r="P15" s="38">
        <f>VLOOKUP('Hide - Control'!$B$4,'All practice data'!B:BC,A15+2,FALSE)</f>
        <v>15970</v>
      </c>
      <c r="Q15" s="38">
        <f>VLOOKUP('Hide - Control'!$B$4,'All practice data'!B:BJ,60,FALSE)</f>
        <v>32396</v>
      </c>
      <c r="R15" s="38">
        <f t="shared" si="17"/>
        <v>0.48751901012019466</v>
      </c>
      <c r="S15" s="38">
        <f t="shared" si="18"/>
        <v>0.49840684699881055</v>
      </c>
      <c r="T15" s="53">
        <f t="shared" si="16"/>
        <v>0.6283050179481506</v>
      </c>
      <c r="U15" s="51">
        <f t="shared" si="1"/>
        <v>0.30601099133491516</v>
      </c>
      <c r="V15" s="7"/>
      <c r="W15" s="27">
        <f t="shared" si="2"/>
        <v>0.30601099133491516</v>
      </c>
      <c r="X15" s="27">
        <f t="shared" si="3"/>
        <v>0.654772013425827</v>
      </c>
      <c r="Y15" s="27">
        <f t="shared" si="4"/>
        <v>0.30601099133491516</v>
      </c>
      <c r="Z15" s="27">
        <f t="shared" si="5"/>
        <v>0.654772013425827</v>
      </c>
      <c r="AA15" s="32">
        <f t="shared" si="6"/>
        <v>0</v>
      </c>
      <c r="AB15" s="33">
        <f t="shared" si="7"/>
        <v>0.35117673367982405</v>
      </c>
      <c r="AC15" s="33">
        <v>0.5</v>
      </c>
      <c r="AD15" s="33">
        <f t="shared" si="8"/>
        <v>0.6359741073642693</v>
      </c>
      <c r="AE15" s="33">
        <f t="shared" si="9"/>
        <v>0.924111371967544</v>
      </c>
      <c r="AF15" s="33">
        <f t="shared" si="10"/>
        <v>-999</v>
      </c>
      <c r="AG15" s="33">
        <f t="shared" si="11"/>
        <v>0.49671264187294345</v>
      </c>
      <c r="AH15" s="33">
        <f t="shared" si="12"/>
        <v>-999</v>
      </c>
      <c r="AI15" s="34">
        <f t="shared" si="13"/>
        <v>0.5984567517333963</v>
      </c>
      <c r="AJ15" s="4">
        <v>11.310014695494289</v>
      </c>
      <c r="AK15" s="32">
        <f t="shared" si="14"/>
        <v>-999</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66</v>
      </c>
      <c r="E16" s="38">
        <f>IF(LEFT(VLOOKUP($B16,'Indicator chart'!$D$1:$J$36,5,FALSE),1)=" "," ",VLOOKUP($B16,'Indicator chart'!$D$1:$J$36,5,FALSE))</f>
        <v>0.478261</v>
      </c>
      <c r="F16" s="38">
        <f>IF(LEFT(VLOOKUP($B16,'Indicator chart'!$D$1:$J$36,6,FALSE),1)=" "," ",VLOOKUP($B16,'Indicator chart'!$D$1:$J$36,6,FALSE))</f>
        <v>0.3966396690369733</v>
      </c>
      <c r="G16" s="38">
        <f>IF(LEFT(VLOOKUP($B16,'Indicator chart'!$D$1:$J$36,7,FALSE),1)=" "," ",VLOOKUP($B16,'Indicator chart'!$D$1:$J$36,7,FALSE))</f>
        <v>0.5610596236952012</v>
      </c>
      <c r="H16" s="50">
        <f t="shared" si="0"/>
        <v>2</v>
      </c>
      <c r="I16" s="38">
        <v>0.32278499007225037</v>
      </c>
      <c r="J16" s="38">
        <v>0.42144376039505005</v>
      </c>
      <c r="K16" s="38">
        <v>0.49630799889564514</v>
      </c>
      <c r="L16" s="38">
        <v>0.5341690182685852</v>
      </c>
      <c r="M16" s="38">
        <v>0.6455699801445007</v>
      </c>
      <c r="N16" s="80">
        <f>VLOOKUP('Hide - Control'!B$3,'All practice data'!A:CA,A16+29,FALSE)</f>
        <v>0.49546544965186357</v>
      </c>
      <c r="O16" s="80">
        <f>VLOOKUP('Hide - Control'!C$3,'All practice data'!A:CA,A16+29,FALSE)</f>
        <v>0.5752927626212945</v>
      </c>
      <c r="P16" s="38">
        <f>VLOOKUP('Hide - Control'!$B$4,'All practice data'!B:BC,A16+2,FALSE)</f>
        <v>8468</v>
      </c>
      <c r="Q16" s="38">
        <f>VLOOKUP('Hide - Control'!$B$4,'All practice data'!B:BJ,61,FALSE)</f>
        <v>17091</v>
      </c>
      <c r="R16" s="38">
        <f t="shared" si="17"/>
        <v>0.4879713989250958</v>
      </c>
      <c r="S16" s="38">
        <f t="shared" si="18"/>
        <v>0.5029615384119779</v>
      </c>
      <c r="T16" s="53">
        <f aca="true" t="shared" si="19" ref="T16:T31">IF($C16=1,M16,I16)</f>
        <v>0.6455699801445007</v>
      </c>
      <c r="U16" s="51">
        <f aca="true" t="shared" si="20" ref="U16:U31">IF($C16=1,I16,M16)</f>
        <v>0.32278499007225037</v>
      </c>
      <c r="V16" s="7"/>
      <c r="W16" s="27">
        <f t="shared" si="2"/>
        <v>0.32278499007225037</v>
      </c>
      <c r="X16" s="27">
        <f t="shared" si="3"/>
        <v>0.6698310077190399</v>
      </c>
      <c r="Y16" s="27">
        <f t="shared" si="4"/>
        <v>0.32278499007225037</v>
      </c>
      <c r="Z16" s="27">
        <f t="shared" si="5"/>
        <v>0.6698310077190399</v>
      </c>
      <c r="AA16" s="32">
        <f t="shared" si="6"/>
        <v>0</v>
      </c>
      <c r="AB16" s="33">
        <f t="shared" si="7"/>
        <v>0.2842815226400635</v>
      </c>
      <c r="AC16" s="33">
        <v>0.5</v>
      </c>
      <c r="AD16" s="33">
        <f t="shared" si="8"/>
        <v>0.6090950981937894</v>
      </c>
      <c r="AE16" s="33">
        <f t="shared" si="9"/>
        <v>0.9300927648182059</v>
      </c>
      <c r="AF16" s="33">
        <f t="shared" si="10"/>
        <v>-999</v>
      </c>
      <c r="AG16" s="33">
        <f t="shared" si="11"/>
        <v>0.44799825389723186</v>
      </c>
      <c r="AH16" s="33">
        <f t="shared" si="12"/>
        <v>-999</v>
      </c>
      <c r="AI16" s="34">
        <f t="shared" si="13"/>
        <v>0.727591615259614</v>
      </c>
      <c r="AJ16" s="4">
        <v>12.386010120876215</v>
      </c>
      <c r="AK16" s="32">
        <f t="shared" si="14"/>
        <v>-999</v>
      </c>
      <c r="AL16" s="34">
        <f t="shared" si="15"/>
        <v>-999</v>
      </c>
      <c r="AY16" s="103" t="s">
        <v>335</v>
      </c>
      <c r="AZ16" s="103" t="s">
        <v>355</v>
      </c>
      <c r="BA16" s="103" t="s">
        <v>517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27</v>
      </c>
      <c r="E17" s="38">
        <f>IF(LEFT(VLOOKUP($B17,'Indicator chart'!$D$1:$J$36,5,FALSE),1)=" "," ",VLOOKUP($B17,'Indicator chart'!$D$1:$J$36,5,FALSE))</f>
        <v>743.801652892562</v>
      </c>
      <c r="F17" s="38">
        <f>IF(LEFT(VLOOKUP($B17,'Indicator chart'!$D$1:$J$36,6,FALSE),1)=" "," ",VLOOKUP($B17,'Indicator chart'!$D$1:$J$36,6,FALSE))</f>
        <v>490.05021416189174</v>
      </c>
      <c r="G17" s="38">
        <f>IF(LEFT(VLOOKUP($B17,'Indicator chart'!$D$1:$J$36,7,FALSE),1)=" "," ",VLOOKUP($B17,'Indicator chart'!$D$1:$J$36,7,FALSE))</f>
        <v>1082.240702831362</v>
      </c>
      <c r="H17" s="50">
        <f t="shared" si="0"/>
        <v>1</v>
      </c>
      <c r="I17" s="38">
        <v>249.03781127929688</v>
      </c>
      <c r="J17" s="38">
        <v>993.3265991210938</v>
      </c>
      <c r="K17" s="38">
        <v>1282.3148193359375</v>
      </c>
      <c r="L17" s="38">
        <v>1839.776123046875</v>
      </c>
      <c r="M17" s="38">
        <v>3056.42626953125</v>
      </c>
      <c r="N17" s="80">
        <f>VLOOKUP('Hide - Control'!B$3,'All practice data'!A:CA,A17+29,FALSE)</f>
        <v>1461.745244532203</v>
      </c>
      <c r="O17" s="80">
        <f>VLOOKUP('Hide - Control'!C$3,'All practice data'!A:CA,A17+29,FALSE)</f>
        <v>1812.1669120472948</v>
      </c>
      <c r="P17" s="38">
        <f>VLOOKUP('Hide - Control'!$B$4,'All practice data'!B:BC,A17+2,FALSE)</f>
        <v>5715</v>
      </c>
      <c r="Q17" s="38">
        <f>VLOOKUP('Hide - Control'!$B$4,'All practice data'!B:BC,3,FALSE)</f>
        <v>390971</v>
      </c>
      <c r="R17" s="38">
        <f>100000*(P17*(1-1/(9*P17)-1.96/(3*SQRT(P17)))^3)/Q17</f>
        <v>1424.089746009711</v>
      </c>
      <c r="S17" s="38">
        <f>100000*((P17+1)*(1-1/(9*(P17+1))+1.96/(3*SQRT(P17+1)))^3)/Q17</f>
        <v>1500.1443598850194</v>
      </c>
      <c r="T17" s="53">
        <f t="shared" si="19"/>
        <v>3056.42626953125</v>
      </c>
      <c r="U17" s="51">
        <f t="shared" si="20"/>
        <v>249.03781127929688</v>
      </c>
      <c r="V17" s="7"/>
      <c r="W17" s="27">
        <f t="shared" si="2"/>
        <v>-491.796630859375</v>
      </c>
      <c r="X17" s="27">
        <f t="shared" si="3"/>
        <v>3056.42626953125</v>
      </c>
      <c r="Y17" s="27">
        <f t="shared" si="4"/>
        <v>-491.796630859375</v>
      </c>
      <c r="Z17" s="27">
        <f t="shared" si="5"/>
        <v>3056.42626953125</v>
      </c>
      <c r="AA17" s="32">
        <f t="shared" si="6"/>
        <v>0.20879027697417576</v>
      </c>
      <c r="AB17" s="33">
        <f t="shared" si="7"/>
        <v>0.41855409642302094</v>
      </c>
      <c r="AC17" s="33">
        <v>0.5</v>
      </c>
      <c r="AD17" s="33">
        <f t="shared" si="8"/>
        <v>0.6571100010795732</v>
      </c>
      <c r="AE17" s="33">
        <f t="shared" si="9"/>
        <v>1</v>
      </c>
      <c r="AF17" s="33">
        <f t="shared" si="10"/>
        <v>-999</v>
      </c>
      <c r="AG17" s="33">
        <f t="shared" si="11"/>
        <v>-999</v>
      </c>
      <c r="AH17" s="33">
        <f t="shared" si="12"/>
        <v>0.3482301756228194</v>
      </c>
      <c r="AI17" s="34">
        <f t="shared" si="13"/>
        <v>0.6493288633735569</v>
      </c>
      <c r="AJ17" s="4">
        <v>13.462005546258133</v>
      </c>
      <c r="AK17" s="32">
        <f t="shared" si="14"/>
        <v>0.3482301756228194</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27</v>
      </c>
      <c r="E18" s="80">
        <f>IF(LEFT(VLOOKUP($B18,'Indicator chart'!$D$1:$J$36,5,FALSE),1)=" "," ",VLOOKUP($B18,'Indicator chart'!$D$1:$J$36,5,FALSE))</f>
        <v>0.5072727585</v>
      </c>
      <c r="F18" s="81">
        <f>IF(LEFT(VLOOKUP($B18,'Indicator chart'!$D$1:$J$36,6,FALSE),1)=" "," ",VLOOKUP($B18,'Indicator chart'!$D$1:$J$36,6,FALSE))</f>
        <v>0.3342959595</v>
      </c>
      <c r="G18" s="38">
        <f>IF(LEFT(VLOOKUP($B18,'Indicator chart'!$D$1:$J$36,7,FALSE),1)=" "," ",VLOOKUP($B18,'Indicator chart'!$D$1:$J$36,7,FALSE))</f>
        <v>0.7380551909999999</v>
      </c>
      <c r="H18" s="50">
        <f>IF(LEFT(F18,1)=" ",4,IF(AND(ABS(N18-E18)&gt;SQRT((E18-G18)^2+(N18-R18)^2),E18&lt;N18),1,IF(AND(ABS(N18-E18)&gt;SQRT((E18-F18)^2+(N18-S18)^2),E18&gt;N18),3,2)))</f>
        <v>1</v>
      </c>
      <c r="I18" s="38">
        <v>0.15457291901111603</v>
      </c>
      <c r="J18" s="38"/>
      <c r="K18" s="38">
        <v>1</v>
      </c>
      <c r="L18" s="38"/>
      <c r="M18" s="38">
        <v>1.6625511646270752</v>
      </c>
      <c r="N18" s="80">
        <v>1</v>
      </c>
      <c r="O18" s="80">
        <f>VLOOKUP('Hide - Control'!C$3,'All practice data'!A:CA,A18+29,FALSE)</f>
        <v>1</v>
      </c>
      <c r="P18" s="38">
        <f>VLOOKUP('Hide - Control'!$B$4,'All practice data'!B:BC,A18+2,FALSE)</f>
        <v>5715</v>
      </c>
      <c r="Q18" s="38">
        <f>VLOOKUP('Hide - Control'!$B$4,'All practice data'!B:BC,14,FALSE)</f>
        <v>5715</v>
      </c>
      <c r="R18" s="81">
        <v>1</v>
      </c>
      <c r="S18" s="38">
        <v>1</v>
      </c>
      <c r="T18" s="53">
        <f t="shared" si="19"/>
        <v>1.6625511646270752</v>
      </c>
      <c r="U18" s="51">
        <f t="shared" si="20"/>
        <v>0.15457291901111603</v>
      </c>
      <c r="V18" s="7"/>
      <c r="W18" s="27">
        <f>IF((K18-I18)&gt;(M18-K18),I18,(K18-(M18-K18)))</f>
        <v>0.15457291901111603</v>
      </c>
      <c r="X18" s="27">
        <f t="shared" si="3"/>
        <v>1.845427080988884</v>
      </c>
      <c r="Y18" s="27">
        <f t="shared" si="4"/>
        <v>0.15457291901111603</v>
      </c>
      <c r="Z18" s="27">
        <f t="shared" si="5"/>
        <v>1.845427080988884</v>
      </c>
      <c r="AA18" s="32" t="s">
        <v>336</v>
      </c>
      <c r="AB18" s="33" t="s">
        <v>336</v>
      </c>
      <c r="AC18" s="33">
        <v>0.5</v>
      </c>
      <c r="AD18" s="33" t="s">
        <v>336</v>
      </c>
      <c r="AE18" s="33" t="s">
        <v>336</v>
      </c>
      <c r="AF18" s="33">
        <f t="shared" si="10"/>
        <v>-999</v>
      </c>
      <c r="AG18" s="33">
        <f t="shared" si="11"/>
        <v>-999</v>
      </c>
      <c r="AH18" s="33">
        <f t="shared" si="12"/>
        <v>0.20859270268249272</v>
      </c>
      <c r="AI18" s="34">
        <v>0.5</v>
      </c>
      <c r="AJ18" s="4">
        <v>14.538000971640056</v>
      </c>
      <c r="AK18" s="32">
        <f t="shared" si="14"/>
        <v>0.20859270268249272</v>
      </c>
      <c r="AL18" s="34">
        <f t="shared" si="15"/>
        <v>-999</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0.06968066841363907</v>
      </c>
      <c r="K19" s="38">
        <v>0.10770212113857269</v>
      </c>
      <c r="L19" s="38">
        <v>0.13924238085746765</v>
      </c>
      <c r="M19" s="38">
        <v>0.26923078298568726</v>
      </c>
      <c r="N19" s="80">
        <f>VLOOKUP('Hide - Control'!B$3,'All practice data'!A:CA,A19+29,FALSE)</f>
        <v>0.10113735783027121</v>
      </c>
      <c r="O19" s="80">
        <f>VLOOKUP('Hide - Control'!C$3,'All practice data'!A:CA,A19+29,FALSE)</f>
        <v>0.10919341638628717</v>
      </c>
      <c r="P19" s="38">
        <f>VLOOKUP('Hide - Control'!$B$4,'All practice data'!B:BC,A19+2,FALSE)</f>
        <v>578</v>
      </c>
      <c r="Q19" s="38">
        <f>VLOOKUP('Hide - Control'!$B$4,'All practice data'!B:BC,15,FALSE)</f>
        <v>5715</v>
      </c>
      <c r="R19" s="38">
        <f>+((2*P19+1.96^2-1.96*SQRT(1.96^2+4*P19*(1-P19/Q19)))/(2*(Q19+1.96^2)))</f>
        <v>0.09358614013788336</v>
      </c>
      <c r="S19" s="38">
        <f>+((2*P19+1.96^2+1.96*SQRT(1.96^2+4*P19*(1-P19/Q19)))/(2*(Q19+1.96^2)))</f>
        <v>0.1092244430403603</v>
      </c>
      <c r="T19" s="53">
        <f t="shared" si="19"/>
        <v>0.26923078298568726</v>
      </c>
      <c r="U19" s="51">
        <f t="shared" si="20"/>
        <v>0.02070442959666252</v>
      </c>
      <c r="V19" s="7"/>
      <c r="W19" s="27">
        <f t="shared" si="2"/>
        <v>-0.05382654070854187</v>
      </c>
      <c r="X19" s="27">
        <f t="shared" si="3"/>
        <v>0.26923078298568726</v>
      </c>
      <c r="Y19" s="27">
        <f t="shared" si="4"/>
        <v>-0.05382654070854187</v>
      </c>
      <c r="Z19" s="27">
        <f t="shared" si="5"/>
        <v>0.26923078298568726</v>
      </c>
      <c r="AA19" s="32">
        <f t="shared" si="6"/>
        <v>0.2307050942319676</v>
      </c>
      <c r="AB19" s="33">
        <f t="shared" si="7"/>
        <v>0.3823074112973195</v>
      </c>
      <c r="AC19" s="33">
        <v>0.5</v>
      </c>
      <c r="AD19" s="33">
        <f t="shared" si="8"/>
        <v>0.5976305361482767</v>
      </c>
      <c r="AE19" s="33">
        <f t="shared" si="9"/>
        <v>1</v>
      </c>
      <c r="AF19" s="33">
        <f t="shared" si="10"/>
        <v>-999</v>
      </c>
      <c r="AG19" s="33">
        <f t="shared" si="11"/>
        <v>-999</v>
      </c>
      <c r="AH19" s="33">
        <f t="shared" si="12"/>
        <v>-999</v>
      </c>
      <c r="AI19" s="34">
        <f t="shared" si="13"/>
        <v>0.5046161939022499</v>
      </c>
      <c r="AJ19" s="4">
        <v>15.61399639702198</v>
      </c>
      <c r="AK19" s="32">
        <f t="shared" si="14"/>
        <v>-999</v>
      </c>
      <c r="AL19" s="34">
        <f t="shared" si="15"/>
        <v>-999</v>
      </c>
      <c r="AY19" s="103" t="s">
        <v>270</v>
      </c>
      <c r="AZ19" s="103" t="s">
        <v>456</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0.3226950466632843</v>
      </c>
      <c r="K20" s="38">
        <v>0.4328828752040863</v>
      </c>
      <c r="L20" s="38">
        <v>0.5255060791969299</v>
      </c>
      <c r="M20" s="38">
        <v>0.8888888955116272</v>
      </c>
      <c r="N20" s="80">
        <f>VLOOKUP('Hide - Control'!B$3,'All practice data'!A:CA,A20+29,FALSE)</f>
        <v>0.42625368731563423</v>
      </c>
      <c r="O20" s="80">
        <f>VLOOKUP('Hide - Control'!C$3,'All practice data'!A:CA,A20+29,FALSE)</f>
        <v>0.4534552930810221</v>
      </c>
      <c r="P20" s="38">
        <f>VLOOKUP('Hide - Control'!$B$4,'All practice data'!B:BC,A20+1,FALSE)</f>
        <v>578</v>
      </c>
      <c r="Q20" s="38">
        <f>VLOOKUP('Hide - Control'!$B$4,'All practice data'!B:BC,A20+2,FALSE)</f>
        <v>1356</v>
      </c>
      <c r="R20" s="38">
        <f>+((2*P20+1.96^2-1.96*SQRT(1.96^2+4*P20*(1-P20/Q20)))/(2*(Q20+1.96^2)))</f>
        <v>0.40017632125920993</v>
      </c>
      <c r="S20" s="38">
        <f>+((2*P20+1.96^2+1.96*SQRT(1.96^2+4*P20*(1-P20/Q20)))/(2*(Q20+1.96^2)))</f>
        <v>0.4527477251885528</v>
      </c>
      <c r="T20" s="53">
        <f t="shared" si="19"/>
        <v>0.8888888955116272</v>
      </c>
      <c r="U20" s="51">
        <f t="shared" si="20"/>
        <v>0.09238772839307785</v>
      </c>
      <c r="V20" s="7"/>
      <c r="W20" s="27">
        <f t="shared" si="2"/>
        <v>-0.02312314510345459</v>
      </c>
      <c r="X20" s="27">
        <f t="shared" si="3"/>
        <v>0.8888888955116272</v>
      </c>
      <c r="Y20" s="27">
        <f t="shared" si="4"/>
        <v>-0.02312314510345459</v>
      </c>
      <c r="Z20" s="27">
        <f t="shared" si="5"/>
        <v>0.8888888955116272</v>
      </c>
      <c r="AA20" s="32">
        <f t="shared" si="6"/>
        <v>0.1266549873822162</v>
      </c>
      <c r="AB20" s="33">
        <f t="shared" si="7"/>
        <v>0.3791816076611348</v>
      </c>
      <c r="AC20" s="33">
        <v>0.5</v>
      </c>
      <c r="AD20" s="33">
        <f t="shared" si="8"/>
        <v>0.6015591898659325</v>
      </c>
      <c r="AE20" s="33">
        <f t="shared" si="9"/>
        <v>1</v>
      </c>
      <c r="AF20" s="33">
        <f t="shared" si="10"/>
        <v>-999</v>
      </c>
      <c r="AG20" s="33">
        <f t="shared" si="11"/>
        <v>-999</v>
      </c>
      <c r="AH20" s="33">
        <f t="shared" si="12"/>
        <v>-999</v>
      </c>
      <c r="AI20" s="34">
        <f t="shared" si="13"/>
        <v>0.5225571779327182</v>
      </c>
      <c r="AJ20" s="4">
        <v>16.689991822403904</v>
      </c>
      <c r="AK20" s="32">
        <f t="shared" si="14"/>
        <v>-999</v>
      </c>
      <c r="AL20" s="34">
        <f t="shared" si="15"/>
        <v>-999</v>
      </c>
      <c r="AY20" s="103" t="s">
        <v>211</v>
      </c>
      <c r="AZ20" s="103" t="s">
        <v>437</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v>
      </c>
      <c r="E21" s="38">
        <f>IF(LEFT(VLOOKUP($B21,'Indicator chart'!$D$1:$J$36,5,FALSE),1)=" "," ",VLOOKUP($B21,'Indicator chart'!$D$1:$J$36,5,FALSE))</f>
        <v>220.38567493112947</v>
      </c>
      <c r="F21" s="38">
        <f>IF(LEFT(VLOOKUP($B21,'Indicator chart'!$D$1:$J$36,6,FALSE),1)=" "," ",VLOOKUP($B21,'Indicator chart'!$D$1:$J$36,6,FALSE))</f>
        <v>94.89345905398662</v>
      </c>
      <c r="G21" s="38">
        <f>IF(LEFT(VLOOKUP($B21,'Indicator chart'!$D$1:$J$36,7,FALSE),1)=" "," ",VLOOKUP($B21,'Indicator chart'!$D$1:$J$36,7,FALSE))</f>
        <v>434.2743110738633</v>
      </c>
      <c r="H21" s="50">
        <f t="shared" si="0"/>
        <v>2</v>
      </c>
      <c r="I21" s="38">
        <v>61.46357345581055</v>
      </c>
      <c r="J21" s="38">
        <v>222.74851989746094</v>
      </c>
      <c r="K21" s="38">
        <v>320.53900146484375</v>
      </c>
      <c r="L21" s="38">
        <v>446.48614501953125</v>
      </c>
      <c r="M21" s="38">
        <v>737.7439575195312</v>
      </c>
      <c r="N21" s="80">
        <f>VLOOKUP('Hide - Control'!B$3,'All practice data'!A:CA,A21+29,FALSE)</f>
        <v>355.78086354230874</v>
      </c>
      <c r="O21" s="80">
        <f>VLOOKUP('Hide - Control'!C$3,'All practice data'!A:CA,A21+29,FALSE)</f>
        <v>377.7293140102421</v>
      </c>
      <c r="P21" s="38">
        <f>VLOOKUP('Hide - Control'!$B$4,'All practice data'!B:BC,A21+2,FALSE)</f>
        <v>1391</v>
      </c>
      <c r="Q21" s="38">
        <f>VLOOKUP('Hide - Control'!$B$4,'All practice data'!B:BC,3,FALSE)</f>
        <v>390971</v>
      </c>
      <c r="R21" s="38">
        <f aca="true" t="shared" si="21" ref="R21:R27">100000*(P21*(1-1/(9*P21)-1.96/(3*SQRT(P21)))^3)/Q21</f>
        <v>337.3270510214881</v>
      </c>
      <c r="S21" s="38">
        <f aca="true" t="shared" si="22" ref="S21:S27">100000*((P21+1)*(1-1/(9*(P21+1))+1.96/(3*SQRT(P21+1)))^3)/Q21</f>
        <v>374.9816679668693</v>
      </c>
      <c r="T21" s="53">
        <f t="shared" si="19"/>
        <v>737.7439575195312</v>
      </c>
      <c r="U21" s="51">
        <f t="shared" si="20"/>
        <v>61.46357345581055</v>
      </c>
      <c r="V21" s="7"/>
      <c r="W21" s="27">
        <f t="shared" si="2"/>
        <v>-96.66595458984375</v>
      </c>
      <c r="X21" s="27">
        <f t="shared" si="3"/>
        <v>737.7439575195312</v>
      </c>
      <c r="Y21" s="27">
        <f t="shared" si="4"/>
        <v>-96.66595458984375</v>
      </c>
      <c r="Z21" s="27">
        <f t="shared" si="5"/>
        <v>737.7439575195312</v>
      </c>
      <c r="AA21" s="32">
        <f t="shared" si="6"/>
        <v>0.18951060593935823</v>
      </c>
      <c r="AB21" s="33">
        <f t="shared" si="7"/>
        <v>0.38280282850407416</v>
      </c>
      <c r="AC21" s="33">
        <v>0.5</v>
      </c>
      <c r="AD21" s="33">
        <f t="shared" si="8"/>
        <v>0.6509415716746403</v>
      </c>
      <c r="AE21" s="33">
        <f t="shared" si="9"/>
        <v>1</v>
      </c>
      <c r="AF21" s="33">
        <f t="shared" si="10"/>
        <v>-999</v>
      </c>
      <c r="AG21" s="33">
        <f t="shared" si="11"/>
        <v>0.37997107287408866</v>
      </c>
      <c r="AH21" s="33">
        <f t="shared" si="12"/>
        <v>-999</v>
      </c>
      <c r="AI21" s="34">
        <f t="shared" si="13"/>
        <v>0.5685398288244469</v>
      </c>
      <c r="AJ21" s="4">
        <v>17.765987247785823</v>
      </c>
      <c r="AK21" s="32">
        <f t="shared" si="14"/>
        <v>-999</v>
      </c>
      <c r="AL21" s="34">
        <f t="shared" si="15"/>
        <v>-999</v>
      </c>
      <c r="AY21" s="103" t="s">
        <v>123</v>
      </c>
      <c r="AZ21" s="103" t="s">
        <v>411</v>
      </c>
      <c r="BA21" s="103" t="s">
        <v>336</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98.30146026611328</v>
      </c>
      <c r="K22" s="38">
        <v>172.46234130859375</v>
      </c>
      <c r="L22" s="38">
        <v>261.1814880371094</v>
      </c>
      <c r="M22" s="38">
        <v>721.0503540039062</v>
      </c>
      <c r="N22" s="80">
        <f>VLOOKUP('Hide - Control'!B$3,'All practice data'!A:CA,A22+29,FALSE)</f>
        <v>200.27060830598688</v>
      </c>
      <c r="O22" s="80">
        <f>VLOOKUP('Hide - Control'!C$3,'All practice data'!A:CA,A22+29,FALSE)</f>
        <v>282.45290788403287</v>
      </c>
      <c r="P22" s="38">
        <f>VLOOKUP('Hide - Control'!$B$4,'All practice data'!B:BC,A22+2,FALSE)</f>
        <v>783</v>
      </c>
      <c r="Q22" s="38">
        <f>VLOOKUP('Hide - Control'!$B$4,'All practice data'!B:BC,3,FALSE)</f>
        <v>390971</v>
      </c>
      <c r="R22" s="38">
        <f t="shared" si="21"/>
        <v>186.48638264051326</v>
      </c>
      <c r="S22" s="38">
        <f t="shared" si="22"/>
        <v>214.80403175883802</v>
      </c>
      <c r="T22" s="53">
        <f t="shared" si="19"/>
        <v>721.0503540039062</v>
      </c>
      <c r="U22" s="51">
        <f t="shared" si="20"/>
        <v>18.07059669494629</v>
      </c>
      <c r="V22" s="7"/>
      <c r="W22" s="27">
        <f t="shared" si="2"/>
        <v>-376.12567138671875</v>
      </c>
      <c r="X22" s="27">
        <f t="shared" si="3"/>
        <v>721.0503540039062</v>
      </c>
      <c r="Y22" s="27">
        <f t="shared" si="4"/>
        <v>-376.12567138671875</v>
      </c>
      <c r="Z22" s="27">
        <f t="shared" si="5"/>
        <v>721.0503540039062</v>
      </c>
      <c r="AA22" s="32">
        <f t="shared" si="6"/>
        <v>0.35928261186833743</v>
      </c>
      <c r="AB22" s="33">
        <f t="shared" si="7"/>
        <v>0.4324074903878098</v>
      </c>
      <c r="AC22" s="33">
        <v>0.5</v>
      </c>
      <c r="AD22" s="33">
        <f t="shared" si="8"/>
        <v>0.580861361053646</v>
      </c>
      <c r="AE22" s="33">
        <f t="shared" si="9"/>
        <v>1</v>
      </c>
      <c r="AF22" s="33">
        <f t="shared" si="10"/>
        <v>-999</v>
      </c>
      <c r="AG22" s="33">
        <f t="shared" si="11"/>
        <v>-999</v>
      </c>
      <c r="AH22" s="33">
        <f t="shared" si="12"/>
        <v>-999</v>
      </c>
      <c r="AI22" s="34">
        <f t="shared" si="13"/>
        <v>0.6002487878244326</v>
      </c>
      <c r="AJ22" s="4">
        <v>18.841982673167745</v>
      </c>
      <c r="AK22" s="32">
        <f t="shared" si="14"/>
        <v>-999</v>
      </c>
      <c r="AL22" s="34">
        <f t="shared" si="15"/>
        <v>-999</v>
      </c>
      <c r="AY22" s="103" t="s">
        <v>149</v>
      </c>
      <c r="AZ22" s="103" t="s">
        <v>421</v>
      </c>
      <c r="BA22" s="103" t="s">
        <v>336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27.65628433227539</v>
      </c>
      <c r="K23" s="38">
        <v>49.854713439941406</v>
      </c>
      <c r="L23" s="38">
        <v>84.74007415771484</v>
      </c>
      <c r="M23" s="38">
        <v>156.73980712890625</v>
      </c>
      <c r="N23" s="80">
        <f>VLOOKUP('Hide - Control'!B$3,'All practice data'!A:CA,A23+29,FALSE)</f>
        <v>53.45665023748565</v>
      </c>
      <c r="O23" s="80">
        <f>VLOOKUP('Hide - Control'!C$3,'All practice data'!A:CA,A23+29,FALSE)</f>
        <v>70.46674929228394</v>
      </c>
      <c r="P23" s="38">
        <f>VLOOKUP('Hide - Control'!$B$4,'All practice data'!B:BC,A23+2,FALSE)</f>
        <v>209</v>
      </c>
      <c r="Q23" s="38">
        <f>VLOOKUP('Hide - Control'!$B$4,'All practice data'!B:BC,3,FALSE)</f>
        <v>390971</v>
      </c>
      <c r="R23" s="38">
        <f t="shared" si="21"/>
        <v>46.45411939734691</v>
      </c>
      <c r="S23" s="38">
        <f t="shared" si="22"/>
        <v>61.21655901992495</v>
      </c>
      <c r="T23" s="53">
        <f t="shared" si="19"/>
        <v>156.73980712890625</v>
      </c>
      <c r="U23" s="51">
        <f t="shared" si="20"/>
        <v>3.248678207397461</v>
      </c>
      <c r="V23" s="7"/>
      <c r="W23" s="27">
        <f t="shared" si="2"/>
        <v>-57.03038024902344</v>
      </c>
      <c r="X23" s="27">
        <f t="shared" si="3"/>
        <v>156.73980712890625</v>
      </c>
      <c r="Y23" s="27">
        <f t="shared" si="4"/>
        <v>-57.03038024902344</v>
      </c>
      <c r="Z23" s="27">
        <f t="shared" si="5"/>
        <v>156.73980712890625</v>
      </c>
      <c r="AA23" s="32">
        <f t="shared" si="6"/>
        <v>0.28198065967848</v>
      </c>
      <c r="AB23" s="33">
        <f t="shared" si="7"/>
        <v>0.3961575073683177</v>
      </c>
      <c r="AC23" s="33">
        <v>0.5</v>
      </c>
      <c r="AD23" s="33">
        <f t="shared" si="8"/>
        <v>0.6631909535453544</v>
      </c>
      <c r="AE23" s="33">
        <f t="shared" si="9"/>
        <v>1</v>
      </c>
      <c r="AF23" s="33">
        <f t="shared" si="10"/>
        <v>-999</v>
      </c>
      <c r="AG23" s="33">
        <f t="shared" si="11"/>
        <v>-999</v>
      </c>
      <c r="AH23" s="33">
        <f t="shared" si="12"/>
        <v>-999</v>
      </c>
      <c r="AI23" s="34">
        <f t="shared" si="13"/>
        <v>0.5964214706698179</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169.48121643066406</v>
      </c>
      <c r="K24" s="38">
        <v>254.26055908203125</v>
      </c>
      <c r="L24" s="38">
        <v>410.1486511230469</v>
      </c>
      <c r="M24" s="38">
        <v>822.884033203125</v>
      </c>
      <c r="N24" s="80">
        <f>VLOOKUP('Hide - Control'!B$3,'All practice data'!A:CA,A24+29,FALSE)</f>
        <v>300.7895726281489</v>
      </c>
      <c r="O24" s="80">
        <f>VLOOKUP('Hide - Control'!C$3,'All practice data'!A:CA,A24+29,FALSE)</f>
        <v>323.23046266988894</v>
      </c>
      <c r="P24" s="38">
        <f>VLOOKUP('Hide - Control'!$B$4,'All practice data'!B:BC,A24+2,FALSE)</f>
        <v>1176</v>
      </c>
      <c r="Q24" s="38">
        <f>VLOOKUP('Hide - Control'!$B$4,'All practice data'!B:BC,3,FALSE)</f>
        <v>390971</v>
      </c>
      <c r="R24" s="38">
        <f t="shared" si="21"/>
        <v>283.84143078575</v>
      </c>
      <c r="S24" s="38">
        <f t="shared" si="22"/>
        <v>318.4852876499628</v>
      </c>
      <c r="T24" s="53">
        <f t="shared" si="19"/>
        <v>822.884033203125</v>
      </c>
      <c r="U24" s="51">
        <f t="shared" si="20"/>
        <v>27.3076171875</v>
      </c>
      <c r="V24" s="7"/>
      <c r="W24" s="27">
        <f t="shared" si="2"/>
        <v>-314.3629150390625</v>
      </c>
      <c r="X24" s="27">
        <f t="shared" si="3"/>
        <v>822.884033203125</v>
      </c>
      <c r="Y24" s="27">
        <f t="shared" si="4"/>
        <v>-314.3629150390625</v>
      </c>
      <c r="Z24" s="27">
        <f t="shared" si="5"/>
        <v>822.884033203125</v>
      </c>
      <c r="AA24" s="32">
        <f t="shared" si="6"/>
        <v>0.3004365346987069</v>
      </c>
      <c r="AB24" s="33">
        <f t="shared" si="7"/>
        <v>0.4254521256070123</v>
      </c>
      <c r="AC24" s="33">
        <v>0.5</v>
      </c>
      <c r="AD24" s="33">
        <f t="shared" si="8"/>
        <v>0.6370749706402534</v>
      </c>
      <c r="AE24" s="33">
        <f t="shared" si="9"/>
        <v>1</v>
      </c>
      <c r="AF24" s="33">
        <f t="shared" si="10"/>
        <v>-999</v>
      </c>
      <c r="AG24" s="33">
        <f t="shared" si="11"/>
        <v>-999</v>
      </c>
      <c r="AH24" s="33">
        <f t="shared" si="12"/>
        <v>-999</v>
      </c>
      <c r="AI24" s="34">
        <f t="shared" si="13"/>
        <v>0.5606463738543882</v>
      </c>
      <c r="AJ24" s="4">
        <v>20.99397352393159</v>
      </c>
      <c r="AK24" s="32">
        <f t="shared" si="14"/>
        <v>-999</v>
      </c>
      <c r="AL24" s="34">
        <f t="shared" si="15"/>
        <v>-999</v>
      </c>
      <c r="AY24" s="103" t="s">
        <v>65</v>
      </c>
      <c r="AZ24" s="103" t="s">
        <v>66</v>
      </c>
      <c r="BA24" s="103" t="s">
        <v>517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21</v>
      </c>
      <c r="E25" s="38">
        <f>IF(LEFT(VLOOKUP($B25,'Indicator chart'!$D$1:$J$36,5,FALSE),1)=" "," ",VLOOKUP($B25,'Indicator chart'!$D$1:$J$36,5,FALSE))</f>
        <v>578.5123966942149</v>
      </c>
      <c r="F25" s="38">
        <f>IF(LEFT(VLOOKUP($B25,'Indicator chart'!$D$1:$J$36,6,FALSE),1)=" "," ",VLOOKUP($B25,'Indicator chart'!$D$1:$J$36,6,FALSE))</f>
        <v>357.96905405650585</v>
      </c>
      <c r="G25" s="38">
        <f>IF(LEFT(VLOOKUP($B25,'Indicator chart'!$D$1:$J$36,7,FALSE),1)=" "," ",VLOOKUP($B25,'Indicator chart'!$D$1:$J$36,7,FALSE))</f>
        <v>884.3652232533258</v>
      </c>
      <c r="H25" s="50">
        <f t="shared" si="0"/>
        <v>2</v>
      </c>
      <c r="I25" s="38">
        <v>215.74972534179688</v>
      </c>
      <c r="J25" s="38">
        <v>438.2232360839844</v>
      </c>
      <c r="K25" s="38">
        <v>700.5672607421875</v>
      </c>
      <c r="L25" s="38">
        <v>929.73681640625</v>
      </c>
      <c r="M25" s="38">
        <v>1547.8056640625</v>
      </c>
      <c r="N25" s="80">
        <f>VLOOKUP('Hide - Control'!B$3,'All practice data'!A:CA,A25+29,FALSE)</f>
        <v>700.8192423478979</v>
      </c>
      <c r="O25" s="80">
        <f>VLOOKUP('Hide - Control'!C$3,'All practice data'!A:CA,A25+29,FALSE)</f>
        <v>562.6134400960308</v>
      </c>
      <c r="P25" s="38">
        <f>VLOOKUP('Hide - Control'!$B$4,'All practice data'!B:BC,A25+2,FALSE)</f>
        <v>2740</v>
      </c>
      <c r="Q25" s="38">
        <f>VLOOKUP('Hide - Control'!$B$4,'All practice data'!B:BC,3,FALSE)</f>
        <v>390971</v>
      </c>
      <c r="R25" s="38">
        <f t="shared" si="21"/>
        <v>674.8208783919932</v>
      </c>
      <c r="S25" s="38">
        <f t="shared" si="22"/>
        <v>727.5626855983305</v>
      </c>
      <c r="T25" s="53">
        <f t="shared" si="19"/>
        <v>1547.8056640625</v>
      </c>
      <c r="U25" s="51">
        <f t="shared" si="20"/>
        <v>215.74972534179688</v>
      </c>
      <c r="V25" s="7"/>
      <c r="W25" s="27">
        <f t="shared" si="2"/>
        <v>-146.671142578125</v>
      </c>
      <c r="X25" s="27">
        <f t="shared" si="3"/>
        <v>1547.8056640625</v>
      </c>
      <c r="Y25" s="27">
        <f t="shared" si="4"/>
        <v>-146.671142578125</v>
      </c>
      <c r="Z25" s="27">
        <f t="shared" si="5"/>
        <v>1547.8056640625</v>
      </c>
      <c r="AA25" s="32">
        <f t="shared" si="6"/>
        <v>0.21388364036592347</v>
      </c>
      <c r="AB25" s="33">
        <f t="shared" si="7"/>
        <v>0.3451769751996124</v>
      </c>
      <c r="AC25" s="33">
        <v>0.5</v>
      </c>
      <c r="AD25" s="33">
        <f t="shared" si="8"/>
        <v>0.6352450235765701</v>
      </c>
      <c r="AE25" s="33">
        <f t="shared" si="9"/>
        <v>1</v>
      </c>
      <c r="AF25" s="33">
        <f t="shared" si="10"/>
        <v>-999</v>
      </c>
      <c r="AG25" s="33">
        <f t="shared" si="11"/>
        <v>0.4279689969377912</v>
      </c>
      <c r="AH25" s="33">
        <f t="shared" si="12"/>
        <v>-999</v>
      </c>
      <c r="AI25" s="34">
        <f t="shared" si="13"/>
        <v>0.41858618536086295</v>
      </c>
      <c r="AJ25" s="4">
        <v>22.06996894931352</v>
      </c>
      <c r="AK25" s="32">
        <f t="shared" si="14"/>
        <v>-999</v>
      </c>
      <c r="AL25" s="34">
        <f t="shared" si="15"/>
        <v>-999</v>
      </c>
      <c r="AY25" s="103" t="s">
        <v>257</v>
      </c>
      <c r="AZ25" s="103" t="s">
        <v>258</v>
      </c>
      <c r="BA25" s="103" t="s">
        <v>517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18</v>
      </c>
      <c r="E26" s="38">
        <f>IF(LEFT(VLOOKUP($B26,'Indicator chart'!$D$1:$J$36,5,FALSE),1)=" "," ",VLOOKUP($B26,'Indicator chart'!$D$1:$J$36,5,FALSE))</f>
        <v>495.8677685950413</v>
      </c>
      <c r="F26" s="38">
        <f>IF(LEFT(VLOOKUP($B26,'Indicator chart'!$D$1:$J$36,6,FALSE),1)=" "," ",VLOOKUP($B26,'Indicator chart'!$D$1:$J$36,6,FALSE))</f>
        <v>293.7296690821128</v>
      </c>
      <c r="G26" s="38">
        <f>IF(LEFT(VLOOKUP($B26,'Indicator chart'!$D$1:$J$36,7,FALSE),1)=" "," ",VLOOKUP($B26,'Indicator chart'!$D$1:$J$36,7,FALSE))</f>
        <v>783.7312777063232</v>
      </c>
      <c r="H26" s="50">
        <f t="shared" si="0"/>
        <v>3</v>
      </c>
      <c r="I26" s="38">
        <v>109.28961944580078</v>
      </c>
      <c r="J26" s="38">
        <v>196.7545166015625</v>
      </c>
      <c r="K26" s="38">
        <v>268.1042175292969</v>
      </c>
      <c r="L26" s="38">
        <v>314.74322509765625</v>
      </c>
      <c r="M26" s="38">
        <v>647.0880737304688</v>
      </c>
      <c r="N26" s="80">
        <f>VLOOKUP('Hide - Control'!B$3,'All practice data'!A:CA,A26+29,FALSE)</f>
        <v>269.3294387563272</v>
      </c>
      <c r="O26" s="80">
        <f>VLOOKUP('Hide - Control'!C$3,'All practice data'!A:CA,A26+29,FALSE)</f>
        <v>405.57105879375996</v>
      </c>
      <c r="P26" s="38">
        <f>VLOOKUP('Hide - Control'!$B$4,'All practice data'!B:BC,A26+2,FALSE)</f>
        <v>1053</v>
      </c>
      <c r="Q26" s="38">
        <f>VLOOKUP('Hide - Control'!$B$4,'All practice data'!B:BC,3,FALSE)</f>
        <v>390971</v>
      </c>
      <c r="R26" s="38">
        <f t="shared" si="21"/>
        <v>253.3052332065357</v>
      </c>
      <c r="S26" s="38">
        <f t="shared" si="22"/>
        <v>286.1016270632297</v>
      </c>
      <c r="T26" s="53">
        <f t="shared" si="19"/>
        <v>647.0880737304688</v>
      </c>
      <c r="U26" s="51">
        <f t="shared" si="20"/>
        <v>109.28961944580078</v>
      </c>
      <c r="V26" s="7"/>
      <c r="W26" s="27">
        <f t="shared" si="2"/>
        <v>-110.879638671875</v>
      </c>
      <c r="X26" s="27">
        <f t="shared" si="3"/>
        <v>647.0880737304688</v>
      </c>
      <c r="Y26" s="27">
        <f t="shared" si="4"/>
        <v>-110.879638671875</v>
      </c>
      <c r="Z26" s="27">
        <f t="shared" si="5"/>
        <v>647.0880737304688</v>
      </c>
      <c r="AA26" s="32">
        <f t="shared" si="6"/>
        <v>0.29047313561663396</v>
      </c>
      <c r="AB26" s="33">
        <f t="shared" si="7"/>
        <v>0.4058670972915261</v>
      </c>
      <c r="AC26" s="33">
        <v>0.5</v>
      </c>
      <c r="AD26" s="33">
        <f t="shared" si="8"/>
        <v>0.5615316547198814</v>
      </c>
      <c r="AE26" s="33">
        <f t="shared" si="9"/>
        <v>1</v>
      </c>
      <c r="AF26" s="33">
        <f t="shared" si="10"/>
        <v>-999</v>
      </c>
      <c r="AG26" s="33">
        <f t="shared" si="11"/>
        <v>-999</v>
      </c>
      <c r="AH26" s="33">
        <f t="shared" si="12"/>
        <v>0.8004924185277739</v>
      </c>
      <c r="AI26" s="34">
        <f t="shared" si="13"/>
        <v>0.6813623971247643</v>
      </c>
      <c r="AJ26" s="4">
        <v>23.145964374695435</v>
      </c>
      <c r="AK26" s="32">
        <f t="shared" si="14"/>
        <v>-999</v>
      </c>
      <c r="AL26" s="34">
        <f t="shared" si="15"/>
        <v>0.8004924185277739</v>
      </c>
      <c r="AY26" s="103" t="s">
        <v>120</v>
      </c>
      <c r="AZ26" s="103" t="s">
        <v>410</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35</v>
      </c>
      <c r="E27" s="38">
        <f>IF(LEFT(VLOOKUP($B27,'Indicator chart'!$D$1:$J$36,5,FALSE),1)=" "," ",VLOOKUP($B27,'Indicator chart'!$D$1:$J$36,5,FALSE))</f>
        <v>964.1873278236915</v>
      </c>
      <c r="F27" s="38">
        <f>IF(LEFT(VLOOKUP($B27,'Indicator chart'!$D$1:$J$36,6,FALSE),1)=" "," ",VLOOKUP($B27,'Indicator chart'!$D$1:$J$36,6,FALSE))</f>
        <v>671.4887896744088</v>
      </c>
      <c r="G27" s="38">
        <f>IF(LEFT(VLOOKUP($B27,'Indicator chart'!$D$1:$J$36,7,FALSE),1)=" "," ",VLOOKUP($B27,'Indicator chart'!$D$1:$J$36,7,FALSE))</f>
        <v>1340.9992709384044</v>
      </c>
      <c r="H27" s="50">
        <f t="shared" si="0"/>
        <v>2</v>
      </c>
      <c r="I27" s="38">
        <v>446.5947265625</v>
      </c>
      <c r="J27" s="38">
        <v>895.4817504882812</v>
      </c>
      <c r="K27" s="38">
        <v>1087.932861328125</v>
      </c>
      <c r="L27" s="38">
        <v>1329.48291015625</v>
      </c>
      <c r="M27" s="38">
        <v>2547.02197265625</v>
      </c>
      <c r="N27" s="80">
        <f>VLOOKUP('Hide - Control'!B$3,'All practice data'!A:CA,A27+29,FALSE)</f>
        <v>1119.2646001877376</v>
      </c>
      <c r="O27" s="80">
        <f>VLOOKUP('Hide - Control'!C$3,'All practice data'!A:CA,A27+29,FALSE)</f>
        <v>1059.3522061277838</v>
      </c>
      <c r="P27" s="38">
        <f>VLOOKUP('Hide - Control'!$B$4,'All practice data'!B:BC,A27+2,FALSE)</f>
        <v>4376</v>
      </c>
      <c r="Q27" s="38">
        <f>VLOOKUP('Hide - Control'!$B$4,'All practice data'!B:BC,3,FALSE)</f>
        <v>390971</v>
      </c>
      <c r="R27" s="38">
        <f t="shared" si="21"/>
        <v>1086.3447454746008</v>
      </c>
      <c r="S27" s="38">
        <f t="shared" si="22"/>
        <v>1152.9285422739163</v>
      </c>
      <c r="T27" s="53">
        <f t="shared" si="19"/>
        <v>2547.02197265625</v>
      </c>
      <c r="U27" s="51">
        <f t="shared" si="20"/>
        <v>446.5947265625</v>
      </c>
      <c r="V27" s="7"/>
      <c r="W27" s="27">
        <f t="shared" si="2"/>
        <v>-371.15625</v>
      </c>
      <c r="X27" s="27">
        <f t="shared" si="3"/>
        <v>2547.02197265625</v>
      </c>
      <c r="Y27" s="27">
        <f t="shared" si="4"/>
        <v>-371.15625</v>
      </c>
      <c r="Z27" s="27">
        <f t="shared" si="5"/>
        <v>2547.02197265625</v>
      </c>
      <c r="AA27" s="32">
        <f t="shared" si="6"/>
        <v>0.2802265366157617</v>
      </c>
      <c r="AB27" s="33">
        <f t="shared" si="7"/>
        <v>0.4340509399509306</v>
      </c>
      <c r="AC27" s="33">
        <v>0.5</v>
      </c>
      <c r="AD27" s="33">
        <f t="shared" si="8"/>
        <v>0.5827742620216855</v>
      </c>
      <c r="AE27" s="33">
        <f t="shared" si="9"/>
        <v>1</v>
      </c>
      <c r="AF27" s="33">
        <f t="shared" si="10"/>
        <v>-999</v>
      </c>
      <c r="AG27" s="33">
        <f t="shared" si="11"/>
        <v>0.4575949362709605</v>
      </c>
      <c r="AH27" s="33">
        <f t="shared" si="12"/>
        <v>-999</v>
      </c>
      <c r="AI27" s="34">
        <f t="shared" si="13"/>
        <v>0.4902059939388055</v>
      </c>
      <c r="AJ27" s="4">
        <v>24.221959800077364</v>
      </c>
      <c r="AK27" s="32">
        <f t="shared" si="14"/>
        <v>-999</v>
      </c>
      <c r="AL27" s="34">
        <f t="shared" si="15"/>
        <v>-999</v>
      </c>
      <c r="AY27" s="103" t="s">
        <v>115</v>
      </c>
      <c r="AZ27" s="103" t="s">
        <v>409</v>
      </c>
      <c r="BA27" s="103" t="s">
        <v>517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468.3195592286501</v>
      </c>
      <c r="F28" s="38">
        <f>IF(LEFT(VLOOKUP($B28,'Indicator chart'!$D$1:$J$36,6,FALSE),1)=" "," ",VLOOKUP($B28,'Indicator chart'!$D$1:$J$36,6,FALSE))</f>
        <v>272.65491934371084</v>
      </c>
      <c r="G28" s="38">
        <f>IF(LEFT(VLOOKUP($B28,'Indicator chart'!$D$1:$J$36,7,FALSE),1)=" "," ",VLOOKUP($B28,'Indicator chart'!$D$1:$J$36,7,FALSE))</f>
        <v>749.8708186670772</v>
      </c>
      <c r="H28" s="50">
        <f t="shared" si="0"/>
        <v>2</v>
      </c>
      <c r="I28" s="38">
        <v>155.9251708984375</v>
      </c>
      <c r="J28" s="38">
        <v>422.4472351074219</v>
      </c>
      <c r="K28" s="38">
        <v>489.91131591796875</v>
      </c>
      <c r="L28" s="38">
        <v>618.369873046875</v>
      </c>
      <c r="M28" s="38">
        <v>1042.3052978515625</v>
      </c>
      <c r="N28" s="80">
        <f>VLOOKUP('Hide - Control'!B$3,'All practice data'!A:CA,A28+29,FALSE)</f>
        <v>515.3834939164286</v>
      </c>
      <c r="O28" s="80">
        <f>VLOOKUP('Hide - Control'!C$3,'All practice data'!A:CA,A28+29,FALSE)</f>
        <v>582.9390489900089</v>
      </c>
      <c r="P28" s="38">
        <f>VLOOKUP('Hide - Control'!$B$4,'All practice data'!B:BC,A28+2,FALSE)</f>
        <v>2015</v>
      </c>
      <c r="Q28" s="38">
        <f>VLOOKUP('Hide - Control'!$B$4,'All practice data'!B:BC,3,FALSE)</f>
        <v>390971</v>
      </c>
      <c r="R28" s="38">
        <f>100000*(P28*(1-1/(9*P28)-1.96/(3*SQRT(P28)))^3)/Q28</f>
        <v>493.1231946357484</v>
      </c>
      <c r="S28" s="38">
        <f>100000*((P28+1)*(1-1/(9*(P28+1))+1.96/(3*SQRT(P28+1)))^3)/Q28</f>
        <v>538.3896606583573</v>
      </c>
      <c r="T28" s="53">
        <f t="shared" si="19"/>
        <v>1042.3052978515625</v>
      </c>
      <c r="U28" s="51">
        <f t="shared" si="20"/>
        <v>155.9251708984375</v>
      </c>
      <c r="V28" s="7"/>
      <c r="W28" s="27">
        <f t="shared" si="2"/>
        <v>-62.482666015625</v>
      </c>
      <c r="X28" s="27">
        <f t="shared" si="3"/>
        <v>1042.3052978515625</v>
      </c>
      <c r="Y28" s="27">
        <f t="shared" si="4"/>
        <v>-62.482666015625</v>
      </c>
      <c r="Z28" s="27">
        <f t="shared" si="5"/>
        <v>1042.3052978515625</v>
      </c>
      <c r="AA28" s="32">
        <f t="shared" si="6"/>
        <v>0.1976920857732285</v>
      </c>
      <c r="AB28" s="33">
        <f t="shared" si="7"/>
        <v>0.43893481553293145</v>
      </c>
      <c r="AC28" s="33">
        <v>0.5</v>
      </c>
      <c r="AD28" s="33">
        <f t="shared" si="8"/>
        <v>0.6162743995501647</v>
      </c>
      <c r="AE28" s="33">
        <f t="shared" si="9"/>
        <v>1</v>
      </c>
      <c r="AF28" s="33">
        <f t="shared" si="10"/>
        <v>-999</v>
      </c>
      <c r="AG28" s="33">
        <f t="shared" si="11"/>
        <v>0.4804561984783587</v>
      </c>
      <c r="AH28" s="33">
        <f t="shared" si="12"/>
        <v>-999</v>
      </c>
      <c r="AI28" s="34">
        <f t="shared" si="13"/>
        <v>0.5842041514884059</v>
      </c>
      <c r="AJ28" s="4">
        <v>25.297955225459287</v>
      </c>
      <c r="AK28" s="32">
        <f t="shared" si="14"/>
        <v>-999</v>
      </c>
      <c r="AL28" s="34">
        <f t="shared" si="15"/>
        <v>-999</v>
      </c>
      <c r="AY28" s="103" t="s">
        <v>241</v>
      </c>
      <c r="AZ28" s="103" t="s">
        <v>242</v>
      </c>
      <c r="BA28" s="103" t="s">
        <v>517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412</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433</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392</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457</v>
      </c>
      <c r="BA33" s="103" t="s">
        <v>517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581</v>
      </c>
      <c r="I35" s="291"/>
      <c r="Y35" s="43"/>
      <c r="Z35" s="44"/>
      <c r="AA35" s="44"/>
      <c r="AB35" s="43"/>
      <c r="AC35" s="43"/>
      <c r="AY35" s="103" t="s">
        <v>159</v>
      </c>
      <c r="AZ35" s="103" t="s">
        <v>425</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414</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431</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458</v>
      </c>
      <c r="BA41" s="103" t="s">
        <v>517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455</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443</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434</v>
      </c>
      <c r="BA46" s="103" t="s">
        <v>517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438</v>
      </c>
      <c r="BA48" s="103" t="s">
        <v>517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449</v>
      </c>
      <c r="BA49" s="103" t="s">
        <v>517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415</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448</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389</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435</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405</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450</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395</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439</v>
      </c>
      <c r="BA61" s="103" t="s">
        <v>517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428</v>
      </c>
      <c r="BA63" s="103" t="s">
        <v>336</v>
      </c>
      <c r="BB63" s="10">
        <v>318405</v>
      </c>
      <c r="BE63" s="70"/>
      <c r="BF63" s="239"/>
    </row>
    <row r="64" spans="1:58" ht="12.75">
      <c r="A64" s="3"/>
      <c r="B64" s="12"/>
      <c r="C64" s="3"/>
      <c r="I64" s="11"/>
      <c r="V64" s="3"/>
      <c r="AY64" s="103" t="s">
        <v>78</v>
      </c>
      <c r="AZ64" s="103" t="s">
        <v>396</v>
      </c>
      <c r="BA64" s="103" t="s">
        <v>517</v>
      </c>
      <c r="BB64" s="10">
        <v>181285</v>
      </c>
      <c r="BE64" s="70"/>
      <c r="BF64" s="241"/>
    </row>
    <row r="65" spans="1:58" ht="12.75">
      <c r="A65" s="3"/>
      <c r="B65" s="12"/>
      <c r="C65" s="3"/>
      <c r="AY65" s="103" t="s">
        <v>506</v>
      </c>
      <c r="AZ65" s="103" t="s">
        <v>507</v>
      </c>
      <c r="BA65" s="103" t="s">
        <v>336</v>
      </c>
      <c r="BB65" s="10">
        <v>1169302</v>
      </c>
      <c r="BE65" s="70"/>
      <c r="BF65" s="241"/>
    </row>
    <row r="66" spans="1:58" ht="12.75">
      <c r="A66" s="3"/>
      <c r="B66" s="12"/>
      <c r="C66" s="3"/>
      <c r="E66" s="2"/>
      <c r="F66" s="2"/>
      <c r="G66" s="2"/>
      <c r="V66" s="2"/>
      <c r="AY66" s="103" t="s">
        <v>200</v>
      </c>
      <c r="AZ66" s="103" t="s">
        <v>436</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459</v>
      </c>
      <c r="BA70" s="103" t="s">
        <v>516</v>
      </c>
      <c r="BB70" s="10">
        <v>141474</v>
      </c>
      <c r="BE70" s="70"/>
      <c r="BF70" s="239"/>
    </row>
    <row r="71" spans="1:58" ht="12.75">
      <c r="A71" s="3"/>
      <c r="B71" s="12"/>
      <c r="C71" s="3"/>
      <c r="AY71" s="103" t="s">
        <v>127</v>
      </c>
      <c r="AZ71" s="103" t="s">
        <v>413</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388</v>
      </c>
      <c r="BA73" s="103" t="s">
        <v>336</v>
      </c>
      <c r="BB73" s="10">
        <v>190143</v>
      </c>
      <c r="BE73" s="70"/>
      <c r="BF73" s="239"/>
    </row>
    <row r="74" spans="1:58" ht="12.75">
      <c r="A74" s="3"/>
      <c r="B74" s="12"/>
      <c r="C74" s="3"/>
      <c r="AY74" s="103" t="s">
        <v>165</v>
      </c>
      <c r="AZ74" s="103" t="s">
        <v>166</v>
      </c>
      <c r="BA74" s="103" t="s">
        <v>517</v>
      </c>
      <c r="BB74" s="10">
        <v>419928</v>
      </c>
      <c r="BE74" s="70"/>
      <c r="BF74" s="241"/>
    </row>
    <row r="75" spans="1:58" ht="12.75">
      <c r="A75" s="3"/>
      <c r="B75" s="12"/>
      <c r="C75" s="3"/>
      <c r="AY75" s="103" t="s">
        <v>113</v>
      </c>
      <c r="AZ75" s="103" t="s">
        <v>407</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517</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441</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430</v>
      </c>
      <c r="BA81" s="103" t="s">
        <v>517</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404</v>
      </c>
      <c r="BA83" s="103" t="s">
        <v>517</v>
      </c>
      <c r="BB83" s="10">
        <v>208442</v>
      </c>
      <c r="BE83" s="70"/>
      <c r="BF83" s="241"/>
    </row>
    <row r="84" spans="1:58" ht="12.75">
      <c r="A84" s="3"/>
      <c r="B84" s="12"/>
      <c r="C84" s="3"/>
      <c r="AY84" s="103" t="s">
        <v>203</v>
      </c>
      <c r="AZ84" s="103" t="s">
        <v>204</v>
      </c>
      <c r="BA84" s="103" t="s">
        <v>517</v>
      </c>
      <c r="BB84" s="10">
        <v>545543</v>
      </c>
      <c r="BE84" s="70"/>
      <c r="BF84" s="241"/>
    </row>
    <row r="85" spans="1:58" ht="12.75">
      <c r="A85" s="3"/>
      <c r="B85" s="12"/>
      <c r="C85" s="3"/>
      <c r="AY85" s="103" t="s">
        <v>135</v>
      </c>
      <c r="AZ85" s="103" t="s">
        <v>419</v>
      </c>
      <c r="BA85" s="103" t="s">
        <v>517</v>
      </c>
      <c r="BB85" s="10">
        <v>274067</v>
      </c>
      <c r="BE85" s="70"/>
      <c r="BF85" s="241"/>
    </row>
    <row r="86" spans="1:58" ht="12.75">
      <c r="A86" s="3"/>
      <c r="B86" s="12"/>
      <c r="C86" s="3"/>
      <c r="AY86" s="103" t="s">
        <v>251</v>
      </c>
      <c r="AZ86" s="103" t="s">
        <v>252</v>
      </c>
      <c r="BA86" s="103" t="s">
        <v>517</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517</v>
      </c>
      <c r="BB88" s="10">
        <v>258492</v>
      </c>
      <c r="BE88" s="70"/>
      <c r="BF88" s="241"/>
    </row>
    <row r="89" spans="1:58" ht="12.75">
      <c r="A89" s="3"/>
      <c r="B89" s="12"/>
      <c r="C89" s="3"/>
      <c r="AY89" s="103" t="s">
        <v>81</v>
      </c>
      <c r="AZ89" s="103" t="s">
        <v>397</v>
      </c>
      <c r="BA89" s="103" t="s">
        <v>336</v>
      </c>
      <c r="BB89" s="10">
        <v>283085</v>
      </c>
      <c r="BE89" s="70"/>
      <c r="BF89" s="241"/>
    </row>
    <row r="90" spans="1:58" ht="12.75">
      <c r="A90" s="3"/>
      <c r="B90" s="12"/>
      <c r="C90" s="3"/>
      <c r="AY90" s="103" t="s">
        <v>76</v>
      </c>
      <c r="AZ90" s="103" t="s">
        <v>394</v>
      </c>
      <c r="BA90" s="103" t="s">
        <v>336</v>
      </c>
      <c r="BB90" s="10">
        <v>357346</v>
      </c>
      <c r="BE90" s="70"/>
      <c r="BF90" s="241"/>
    </row>
    <row r="91" spans="1:58" ht="12.75">
      <c r="A91" s="3"/>
      <c r="B91" s="12"/>
      <c r="C91" s="3"/>
      <c r="AY91" s="103" t="s">
        <v>243</v>
      </c>
      <c r="AZ91" s="103" t="s">
        <v>447</v>
      </c>
      <c r="BA91" s="103" t="s">
        <v>517</v>
      </c>
      <c r="BB91" s="10">
        <v>748575</v>
      </c>
      <c r="BE91" s="247"/>
      <c r="BF91" s="249"/>
    </row>
    <row r="92" spans="1:58" ht="12.75">
      <c r="A92" s="3"/>
      <c r="B92" s="12"/>
      <c r="C92" s="3"/>
      <c r="AY92" s="103" t="s">
        <v>249</v>
      </c>
      <c r="AZ92" s="103" t="s">
        <v>250</v>
      </c>
      <c r="BA92" s="103" t="s">
        <v>517</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432</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398</v>
      </c>
      <c r="BA98" s="103" t="s">
        <v>336</v>
      </c>
      <c r="BB98" s="10">
        <v>214052</v>
      </c>
      <c r="BE98" s="248"/>
      <c r="BF98" s="241"/>
    </row>
    <row r="99" spans="1:58" ht="12.75">
      <c r="A99" s="3"/>
      <c r="B99" s="12"/>
      <c r="C99" s="3"/>
      <c r="AY99" s="103" t="s">
        <v>205</v>
      </c>
      <c r="AZ99" s="103" t="s">
        <v>206</v>
      </c>
      <c r="BA99" s="103" t="s">
        <v>517</v>
      </c>
      <c r="BB99" s="10">
        <v>795503</v>
      </c>
      <c r="BE99" s="70"/>
      <c r="BF99" s="249"/>
    </row>
    <row r="100" spans="1:58" ht="12.75">
      <c r="A100" s="3"/>
      <c r="B100" s="12"/>
      <c r="C100" s="3"/>
      <c r="AY100" s="103" t="s">
        <v>226</v>
      </c>
      <c r="AZ100" s="103" t="s">
        <v>442</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429</v>
      </c>
      <c r="BA103" s="103" t="s">
        <v>336</v>
      </c>
      <c r="BB103" s="10">
        <v>656875</v>
      </c>
      <c r="BE103" s="70"/>
      <c r="BF103" s="239"/>
    </row>
    <row r="104" spans="51:58" ht="12.75">
      <c r="AY104" s="103" t="s">
        <v>114</v>
      </c>
      <c r="AZ104" s="103" t="s">
        <v>408</v>
      </c>
      <c r="BA104" s="103" t="s">
        <v>336</v>
      </c>
      <c r="BB104" s="10">
        <v>236592</v>
      </c>
      <c r="BF104" s="252"/>
    </row>
    <row r="105" spans="51:58" ht="12.75">
      <c r="AY105" s="103" t="s">
        <v>259</v>
      </c>
      <c r="AZ105" s="103" t="s">
        <v>451</v>
      </c>
      <c r="BA105" s="103" t="s">
        <v>517</v>
      </c>
      <c r="BB105" s="10">
        <v>671572</v>
      </c>
      <c r="BE105" s="237"/>
      <c r="BF105" s="238"/>
    </row>
    <row r="106" spans="51:58" ht="12.75">
      <c r="AY106" s="103" t="s">
        <v>239</v>
      </c>
      <c r="AZ106" s="103" t="s">
        <v>240</v>
      </c>
      <c r="BA106" s="103" t="s">
        <v>517</v>
      </c>
      <c r="BB106" s="10">
        <v>177882</v>
      </c>
      <c r="BF106" s="252"/>
    </row>
    <row r="107" spans="51:58" ht="12.75">
      <c r="AY107" s="103" t="s">
        <v>91</v>
      </c>
      <c r="AZ107" s="103" t="s">
        <v>401</v>
      </c>
      <c r="BA107" s="103" t="s">
        <v>336</v>
      </c>
      <c r="BB107" s="10">
        <v>274443</v>
      </c>
      <c r="BF107" s="252"/>
    </row>
    <row r="108" spans="51:58" ht="12.75">
      <c r="AY108" s="103" t="s">
        <v>95</v>
      </c>
      <c r="AZ108" s="103" t="s">
        <v>403</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423</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444</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422</v>
      </c>
      <c r="BA117" s="103" t="s">
        <v>517</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454</v>
      </c>
      <c r="BA119" s="103" t="s">
        <v>336</v>
      </c>
      <c r="BB119" s="10">
        <v>538131</v>
      </c>
      <c r="BE119" s="70"/>
      <c r="BF119" s="239"/>
    </row>
    <row r="120" spans="51:58" ht="12.75">
      <c r="AY120" s="103" t="s">
        <v>150</v>
      </c>
      <c r="AZ120" s="103" t="s">
        <v>151</v>
      </c>
      <c r="BA120" s="103" t="s">
        <v>517</v>
      </c>
      <c r="BB120" s="10">
        <v>389725</v>
      </c>
      <c r="BE120" s="70"/>
      <c r="BF120" s="239"/>
    </row>
    <row r="121" spans="51:58" ht="12.75">
      <c r="AY121" s="103" t="s">
        <v>212</v>
      </c>
      <c r="AZ121" s="103" t="s">
        <v>213</v>
      </c>
      <c r="BA121" s="103" t="s">
        <v>517</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446</v>
      </c>
      <c r="BA123" s="103" t="s">
        <v>517</v>
      </c>
      <c r="BB123" s="10">
        <v>615835</v>
      </c>
      <c r="BF123" s="252"/>
    </row>
    <row r="124" spans="51:58" ht="12.75">
      <c r="AY124" s="103" t="s">
        <v>130</v>
      </c>
      <c r="AZ124" s="103" t="s">
        <v>416</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418</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402</v>
      </c>
      <c r="BA128" s="103" t="s">
        <v>517</v>
      </c>
      <c r="BB128" s="10">
        <v>298190</v>
      </c>
      <c r="BE128" s="250"/>
      <c r="BF128" s="249"/>
    </row>
    <row r="129" spans="51:58" ht="12.75">
      <c r="AY129" s="103" t="s">
        <v>85</v>
      </c>
      <c r="AZ129" s="103" t="s">
        <v>399</v>
      </c>
      <c r="BA129" s="103" t="s">
        <v>336</v>
      </c>
      <c r="BB129" s="10">
        <v>191885</v>
      </c>
      <c r="BE129" s="70"/>
      <c r="BF129" s="249"/>
    </row>
    <row r="130" spans="51:58" ht="12.75">
      <c r="AY130" s="103" t="s">
        <v>233</v>
      </c>
      <c r="AZ130" s="103" t="s">
        <v>445</v>
      </c>
      <c r="BA130" s="103" t="s">
        <v>336</v>
      </c>
      <c r="BB130" s="10">
        <v>268223</v>
      </c>
      <c r="BE130" s="70"/>
      <c r="BF130" s="249"/>
    </row>
    <row r="131" spans="51:58" ht="12.75">
      <c r="AY131" s="103" t="s">
        <v>245</v>
      </c>
      <c r="AZ131" s="103" t="s">
        <v>246</v>
      </c>
      <c r="BA131" s="103" t="s">
        <v>517</v>
      </c>
      <c r="BB131" s="10">
        <v>616983</v>
      </c>
      <c r="BE131" s="247"/>
      <c r="BF131" s="249"/>
    </row>
    <row r="132" spans="51:58" ht="12.75">
      <c r="AY132" s="103" t="s">
        <v>131</v>
      </c>
      <c r="AZ132" s="103" t="s">
        <v>417</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424</v>
      </c>
      <c r="BA134" s="103" t="s">
        <v>336</v>
      </c>
      <c r="BB134" s="10">
        <v>390971</v>
      </c>
      <c r="BE134" s="243"/>
      <c r="BF134" s="238"/>
    </row>
    <row r="135" spans="51:58" ht="12.75">
      <c r="AY135" s="103" t="s">
        <v>121</v>
      </c>
      <c r="AZ135" s="103" t="s">
        <v>122</v>
      </c>
      <c r="BA135" s="103" t="s">
        <v>516</v>
      </c>
      <c r="BB135" s="10">
        <v>218182</v>
      </c>
      <c r="BE135" s="250"/>
      <c r="BF135" s="249"/>
    </row>
    <row r="136" spans="51:58" ht="12.75">
      <c r="AY136" s="103" t="s">
        <v>148</v>
      </c>
      <c r="AZ136" s="103" t="s">
        <v>420</v>
      </c>
      <c r="BA136" s="103" t="s">
        <v>517</v>
      </c>
      <c r="BB136" s="10">
        <v>236598</v>
      </c>
      <c r="BE136" s="237"/>
      <c r="BF136" s="238"/>
    </row>
    <row r="137" spans="51:58" ht="12.75">
      <c r="AY137" s="103" t="s">
        <v>160</v>
      </c>
      <c r="AZ137" s="103" t="s">
        <v>426</v>
      </c>
      <c r="BA137" s="103" t="s">
        <v>517</v>
      </c>
      <c r="BB137" s="10">
        <v>165993</v>
      </c>
      <c r="BF137" s="252"/>
    </row>
    <row r="138" spans="51:58" ht="12.75">
      <c r="AY138" s="103" t="s">
        <v>54</v>
      </c>
      <c r="AZ138" s="103" t="s">
        <v>55</v>
      </c>
      <c r="BA138" s="103" t="s">
        <v>336</v>
      </c>
      <c r="BB138" s="10">
        <v>145889</v>
      </c>
      <c r="BE138" s="70"/>
      <c r="BF138" s="239"/>
    </row>
    <row r="139" spans="51:58" ht="12.75">
      <c r="AY139" s="103" t="s">
        <v>75</v>
      </c>
      <c r="AZ139" s="103" t="s">
        <v>393</v>
      </c>
      <c r="BA139" s="103" t="s">
        <v>336</v>
      </c>
      <c r="BB139" s="10">
        <v>267393</v>
      </c>
      <c r="BE139" s="237"/>
      <c r="BF139" s="238"/>
    </row>
    <row r="140" spans="51:58" ht="12.75">
      <c r="AY140" s="103" t="s">
        <v>201</v>
      </c>
      <c r="AZ140" s="103" t="s">
        <v>202</v>
      </c>
      <c r="BA140" s="103" t="s">
        <v>517</v>
      </c>
      <c r="BB140" s="10">
        <v>232551</v>
      </c>
      <c r="BE140" s="70"/>
      <c r="BF140" s="239"/>
    </row>
    <row r="141" spans="51:58" ht="12.75">
      <c r="AY141" s="103" t="s">
        <v>167</v>
      </c>
      <c r="AZ141" s="103" t="s">
        <v>168</v>
      </c>
      <c r="BA141" s="103" t="s">
        <v>517</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440</v>
      </c>
      <c r="BA148" s="103" t="s">
        <v>517</v>
      </c>
      <c r="BB148" s="10">
        <v>707573</v>
      </c>
      <c r="BF148" s="252"/>
    </row>
    <row r="149" spans="51:58" ht="12.75">
      <c r="AY149" s="103" t="s">
        <v>218</v>
      </c>
      <c r="AZ149" s="103" t="s">
        <v>219</v>
      </c>
      <c r="BA149" s="103" t="s">
        <v>517</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517</v>
      </c>
      <c r="BB152" s="10">
        <v>462395</v>
      </c>
      <c r="BE152" s="250"/>
      <c r="BF152" s="239"/>
    </row>
    <row r="153" spans="51:58" ht="12.75">
      <c r="AY153" s="103" t="s">
        <v>191</v>
      </c>
      <c r="AZ153" s="103" t="s">
        <v>192</v>
      </c>
      <c r="BA153" s="103" t="s">
        <v>336</v>
      </c>
      <c r="BB153" s="10">
        <v>332176</v>
      </c>
      <c r="BF153" s="252"/>
    </row>
    <row r="154" spans="51:58" ht="12.75">
      <c r="AY154" s="103" t="s">
        <v>161</v>
      </c>
      <c r="AZ154" s="103" t="s">
        <v>427</v>
      </c>
      <c r="BA154" s="103" t="s">
        <v>336</v>
      </c>
      <c r="BB154" s="10">
        <v>246213</v>
      </c>
      <c r="BE154" s="237"/>
      <c r="BF154" s="238"/>
    </row>
    <row r="155" spans="51:58" ht="12.75">
      <c r="AY155" s="103" t="s">
        <v>235</v>
      </c>
      <c r="AZ155" s="103" t="s">
        <v>236</v>
      </c>
      <c r="BA155" s="103" t="s">
        <v>517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424</v>
      </c>
      <c r="C3" s="56" t="s">
        <v>24</v>
      </c>
    </row>
    <row r="4" spans="1:2" ht="12.75">
      <c r="A4" s="76">
        <v>1</v>
      </c>
      <c r="B4" s="78" t="s">
        <v>156</v>
      </c>
    </row>
    <row r="5" ht="12.75">
      <c r="A5" s="280" t="s">
        <v>552</v>
      </c>
    </row>
    <row r="6" ht="12.75">
      <c r="A6" s="280" t="s">
        <v>554</v>
      </c>
    </row>
    <row r="7" ht="12.75">
      <c r="A7" s="280" t="s">
        <v>564</v>
      </c>
    </row>
    <row r="8" ht="12.75">
      <c r="A8" s="280" t="s">
        <v>567</v>
      </c>
    </row>
    <row r="9" ht="12.75">
      <c r="A9" s="280" t="s">
        <v>583</v>
      </c>
    </row>
    <row r="10" ht="12.75">
      <c r="A10" s="280" t="s">
        <v>527</v>
      </c>
    </row>
    <row r="11" ht="12.75">
      <c r="A11" s="280" t="s">
        <v>522</v>
      </c>
    </row>
    <row r="12" ht="12.75">
      <c r="A12" s="280" t="s">
        <v>535</v>
      </c>
    </row>
    <row r="13" ht="12.75">
      <c r="A13" s="280" t="s">
        <v>543</v>
      </c>
    </row>
    <row r="14" ht="12.75">
      <c r="A14" s="280" t="s">
        <v>553</v>
      </c>
    </row>
    <row r="15" ht="12.75">
      <c r="A15" s="280" t="s">
        <v>562</v>
      </c>
    </row>
    <row r="16" ht="12.75">
      <c r="A16" s="280" t="s">
        <v>540</v>
      </c>
    </row>
    <row r="17" ht="12.75">
      <c r="A17" s="280" t="s">
        <v>585</v>
      </c>
    </row>
    <row r="18" ht="12.75">
      <c r="A18" s="280" t="s">
        <v>582</v>
      </c>
    </row>
    <row r="19" ht="12.75">
      <c r="A19" s="280" t="s">
        <v>568</v>
      </c>
    </row>
    <row r="20" ht="12.75">
      <c r="A20" s="280" t="s">
        <v>548</v>
      </c>
    </row>
    <row r="21" ht="12.75">
      <c r="A21" s="280" t="s">
        <v>530</v>
      </c>
    </row>
    <row r="22" ht="12.75">
      <c r="A22" s="280" t="s">
        <v>541</v>
      </c>
    </row>
    <row r="23" ht="12.75">
      <c r="A23" s="280" t="s">
        <v>546</v>
      </c>
    </row>
    <row r="24" ht="12.75">
      <c r="A24" s="280" t="s">
        <v>551</v>
      </c>
    </row>
    <row r="25" ht="12.75">
      <c r="A25" s="280" t="s">
        <v>570</v>
      </c>
    </row>
    <row r="26" ht="12.75">
      <c r="A26" s="280" t="s">
        <v>544</v>
      </c>
    </row>
    <row r="27" ht="12.75">
      <c r="A27" s="280" t="s">
        <v>584</v>
      </c>
    </row>
    <row r="28" ht="12.75">
      <c r="A28" s="280" t="s">
        <v>557</v>
      </c>
    </row>
    <row r="29" ht="12.75">
      <c r="A29" s="280" t="s">
        <v>559</v>
      </c>
    </row>
    <row r="30" ht="12.75">
      <c r="A30" s="280" t="s">
        <v>539</v>
      </c>
    </row>
    <row r="31" ht="12.75">
      <c r="A31" s="280" t="s">
        <v>526</v>
      </c>
    </row>
    <row r="32" ht="12.75">
      <c r="A32" s="280" t="s">
        <v>537</v>
      </c>
    </row>
    <row r="33" ht="12.75">
      <c r="A33" s="280" t="s">
        <v>532</v>
      </c>
    </row>
    <row r="34" ht="12.75">
      <c r="A34" s="280" t="s">
        <v>549</v>
      </c>
    </row>
    <row r="35" ht="12.75">
      <c r="A35" s="280" t="s">
        <v>538</v>
      </c>
    </row>
    <row r="36" ht="12.75">
      <c r="A36" s="280" t="s">
        <v>558</v>
      </c>
    </row>
    <row r="37" ht="12.75">
      <c r="A37" s="280" t="s">
        <v>545</v>
      </c>
    </row>
    <row r="38" ht="12.75">
      <c r="A38" s="280" t="s">
        <v>536</v>
      </c>
    </row>
    <row r="39" ht="12.75">
      <c r="A39" s="280" t="s">
        <v>565</v>
      </c>
    </row>
    <row r="40" ht="12.75">
      <c r="A40" s="280" t="s">
        <v>525</v>
      </c>
    </row>
    <row r="41" ht="12.75">
      <c r="A41" s="280" t="s">
        <v>524</v>
      </c>
    </row>
    <row r="42" ht="12.75">
      <c r="A42" s="280" t="s">
        <v>569</v>
      </c>
    </row>
    <row r="43" ht="12.75">
      <c r="A43" s="280" t="s">
        <v>542</v>
      </c>
    </row>
    <row r="44" ht="12.75">
      <c r="A44" s="280" t="s">
        <v>550</v>
      </c>
    </row>
    <row r="45" ht="12.75">
      <c r="A45" s="280" t="s">
        <v>561</v>
      </c>
    </row>
    <row r="46" ht="12.75">
      <c r="A46" s="280" t="s">
        <v>528</v>
      </c>
    </row>
    <row r="47" ht="12.75">
      <c r="A47" s="280" t="s">
        <v>534</v>
      </c>
    </row>
    <row r="48" ht="12.75">
      <c r="A48" s="280" t="s">
        <v>523</v>
      </c>
    </row>
    <row r="49" ht="12.75">
      <c r="A49" s="280" t="s">
        <v>578</v>
      </c>
    </row>
    <row r="50" ht="12.75">
      <c r="A50" s="280" t="s">
        <v>556</v>
      </c>
    </row>
    <row r="51" ht="12.75">
      <c r="A51" s="280" t="s">
        <v>529</v>
      </c>
    </row>
    <row r="52" ht="12.75">
      <c r="A52" s="280" t="s">
        <v>563</v>
      </c>
    </row>
    <row r="53" ht="12.75">
      <c r="A53" s="280" t="s">
        <v>566</v>
      </c>
    </row>
    <row r="54" ht="12.75">
      <c r="A54" s="280" t="s">
        <v>555</v>
      </c>
    </row>
    <row r="55" ht="12.75">
      <c r="A55" s="280" t="s">
        <v>547</v>
      </c>
    </row>
    <row r="56" ht="12.75">
      <c r="A56" s="280" t="s">
        <v>560</v>
      </c>
    </row>
    <row r="57" ht="12.75">
      <c r="A57" s="280" t="s">
        <v>533</v>
      </c>
    </row>
    <row r="58" ht="12.75">
      <c r="A58" s="280" t="s">
        <v>531</v>
      </c>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