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<sst xmlns="http://schemas.openxmlformats.org/spreadsheetml/2006/main" count="1777" uniqueCount="602">
  <si>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</si>
  <si>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</si>
  <si>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</si>
  <si>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</si>
  <si>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</si>
  <si>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</si>
  <si>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</si>
  <si>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</si>
  <si>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</si>
  <si>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</si>
  <si>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</si>
  <si>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</si>
  <si>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</si>
  <si>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</si>
  <si>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</si>
  <si>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</si>
  <si>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</si>
  <si>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</si>
  <si>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</si>
  <si>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</si>
  <si>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</si>
  <si>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</si>
  <si>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</si>
  <si>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</si>
  <si>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</si>
  <si>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</si>
  <si>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</si>
  <si>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</si>
  <si>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</si>
  <si>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</si>
  <si>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</si>
  <si>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</si>
  <si>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</si>
  <si>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</si>
  <si>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</si>
  <si>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</si>
  <si>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</si>
  <si>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</si>
  <si>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</si>
  <si>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</si>
  <si>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</si>
  <si>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</si>
  <si>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</si>
  <si>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</si>
  <si>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</si>
  <si>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</si>
  <si>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</si>
  <si>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</si>
  <si>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</si>
  <si>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</si>
  <si>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</si>
  <si>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</si>
  <si>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</si>
  <si>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</si>
  <si>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</si>
  <si>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</si>
  <si>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</si>
  <si>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</si>
  <si>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</si>
  <si>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</si>
  <si>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</si>
  <si>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</si>
  <si>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</si>
  <si>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</si>
  <si>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</si>
  <si>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</si>
  <si>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</si>
  <si>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</si>
  <si>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</si>
  <si>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</si>
  <si>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</si>
  <si>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</si>
  <si>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</si>
  <si>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</si>
  <si>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</si>
  <si>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</si>
  <si>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</si>
  <si>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</si>
  <si>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</si>
  <si>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</si>
  <si>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</si>
  <si>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</si>
  <si>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</si>
  <si>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</si>
  <si>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</si>
  <si>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</si>
  <si>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</si>
  <si>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</si>
  <si>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</si>
  <si>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</si>
  <si>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</si>
  <si>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</si>
  <si>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</si>
  <si>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</si>
  <si>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</si>
  <si>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</si>
  <si>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</si>
  <si>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</si>
  <si>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</si>
  <si>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</si>
  <si>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</si>
  <si>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</si>
  <si>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</si>
  <si>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</si>
  <si>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</si>
  <si>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</si>
  <si>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</si>
  <si>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</si>
  <si>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</si>
  <si>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</si>
  <si>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</si>
  <si>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</si>
  <si>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</si>
  <si>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</si>
  <si>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</si>
  <si>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</si>
  <si>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</si>
  <si>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</si>
  <si>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</si>
  <si>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</si>
  <si>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</si>
  <si>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</si>
  <si>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</si>
  <si>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</si>
  <si>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</si>
  <si>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</si>
  <si>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</si>
  <si>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</si>
  <si>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</si>
  <si>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</si>
  <si>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</si>
  <si>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</si>
  <si>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</si>
  <si>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</si>
  <si>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</si>
  <si>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</si>
  <si>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</si>
  <si>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</si>
  <si>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</si>
  <si>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</si>
  <si>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</si>
  <si>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</si>
  <si>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</si>
  <si>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</si>
  <si>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</si>
  <si>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</si>
  <si>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</si>
  <si>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</si>
  <si>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</si>
  <si>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</si>
  <si>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</si>
  <si>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</si>
  <si>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</si>
  <si>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</si>
  <si>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</si>
  <si>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</si>
  <si>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</si>
  <si>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</si>
  <si>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</si>
  <si>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</si>
  <si>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</si>
  <si>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</si>
  <si>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</si>
  <si>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</si>
  <si>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</si>
  <si>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</si>
  <si>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</si>
  <si>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</si>
  <si>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</si>
  <si>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</si>
  <si>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</si>
  <si>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</si>
  <si>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</si>
  <si>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</si>
  <si>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</si>
  <si>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</si>
  <si>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</si>
  <si>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</si>
  <si>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</si>
  <si>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</si>
  <si>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</si>
  <si>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</si>
  <si>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</si>
  <si>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</si>
  <si>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</si>
  <si>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</si>
  <si>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</si>
  <si>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</si>
  <si>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</si>
  <si>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</si>
  <si>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</si>
  <si>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</si>
  <si>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</si>
  <si>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</si>
  <si>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</si>
  <si>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</si>
  <si>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</si>
  <si>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</si>
  <si>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</si>
  <si>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</si>
  <si>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</si>
  <si>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</si>
  <si>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</si>
  <si>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</si>
  <si>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</si>
  <si>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</si>
  <si>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</si>
  <si>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</si>
  <si>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</si>
  <si>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</si>
  <si>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</si>
  <si>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</si>
  <si>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</si>
  <si>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</si>
  <si>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</si>
  <si>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</si>
  <si>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</si>
  <si>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</si>
  <si>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</si>
  <si>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</si>
  <si>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</si>
  <si>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</si>
  <si>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</si>
  <si>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</si>
  <si>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</si>
  <si>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</si>
  <si>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</si>
  <si>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</si>
  <si>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</si>
  <si>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</si>
  <si>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</si>
  <si>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</si>
  <si>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</si>
  <si>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</si>
  <si>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</si>
  <si>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</si>
  <si>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</si>
  <si>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</si>
  <si>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</si>
  <si>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</si>
  <si>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</si>
  <si>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</si>
  <si>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</si>
  <si>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</si>
  <si>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</si>
  <si>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</si>
  <si>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</si>
  <si>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</si>
  <si>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</si>
  <si>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</si>
  <si>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</si>
  <si>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</si>
  <si>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</si>
  <si>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</si>
  <si>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</si>
  <si>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</si>
  <si>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</si>
  <si>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</si>
  <si>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</si>
  <si>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</si>
  <si>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</si>
  <si>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</si>
  <si>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</si>
  <si>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</si>
  <si>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</si>
  <si>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</si>
  <si>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</si>
  <si>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</si>
  <si>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</si>
  <si>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</si>
  <si>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</si>
  <si>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</si>
  <si>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</si>
  <si>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</si>
  <si>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</si>
  <si>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</si>
  <si>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</si>
  <si>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</si>
  <si>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</si>
  <si>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</si>
  <si>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</si>
  <si>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</si>
  <si>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M84012</t>
  </si>
  <si>
    <t>M86001</t>
  </si>
  <si>
    <t>M86002</t>
  </si>
  <si>
    <t>M86003</t>
  </si>
  <si>
    <t>M86004</t>
  </si>
  <si>
    <t>M86005</t>
  </si>
  <si>
    <t>M86006</t>
  </si>
  <si>
    <t>M86007</t>
  </si>
  <si>
    <t>M86008</t>
  </si>
  <si>
    <t>M86009</t>
  </si>
  <si>
    <t>M86010</t>
  </si>
  <si>
    <t>M86011</t>
  </si>
  <si>
    <t>M86012</t>
  </si>
  <si>
    <t>M86013</t>
  </si>
  <si>
    <t>M86014</t>
  </si>
  <si>
    <t>M86015</t>
  </si>
  <si>
    <t>M86016</t>
  </si>
  <si>
    <t>M86017</t>
  </si>
  <si>
    <t>M86018</t>
  </si>
  <si>
    <t>M86019</t>
  </si>
  <si>
    <t>M86020</t>
  </si>
  <si>
    <t>M86021</t>
  </si>
  <si>
    <t>M86022</t>
  </si>
  <si>
    <t>M86023</t>
  </si>
  <si>
    <t>M86026</t>
  </si>
  <si>
    <t>M86027</t>
  </si>
  <si>
    <t>M86028</t>
  </si>
  <si>
    <t>M86029</t>
  </si>
  <si>
    <t>M86030</t>
  </si>
  <si>
    <t>M86032</t>
  </si>
  <si>
    <t>M86033</t>
  </si>
  <si>
    <t>M86034</t>
  </si>
  <si>
    <t>M86035</t>
  </si>
  <si>
    <t>M86037</t>
  </si>
  <si>
    <t>M86038</t>
  </si>
  <si>
    <t>M86039</t>
  </si>
  <si>
    <t>M86040</t>
  </si>
  <si>
    <t>M86041</t>
  </si>
  <si>
    <t>M86043</t>
  </si>
  <si>
    <t>M86044</t>
  </si>
  <si>
    <t>M86045</t>
  </si>
  <si>
    <t>M86046</t>
  </si>
  <si>
    <t>M86048</t>
  </si>
  <si>
    <t>M86604</t>
  </si>
  <si>
    <t>M86605</t>
  </si>
  <si>
    <t>M86607</t>
  </si>
  <si>
    <t>M86610</t>
  </si>
  <si>
    <t>M86612</t>
  </si>
  <si>
    <t>M86613</t>
  </si>
  <si>
    <t>M86617</t>
  </si>
  <si>
    <t>M86619</t>
  </si>
  <si>
    <t>M86621</t>
  </si>
  <si>
    <t>M86622</t>
  </si>
  <si>
    <t>M86624</t>
  </si>
  <si>
    <t>M86627</t>
  </si>
  <si>
    <t>M86629</t>
  </si>
  <si>
    <t>M86630</t>
  </si>
  <si>
    <t>M86633</t>
  </si>
  <si>
    <t>M86638</t>
  </si>
  <si>
    <t>5CC</t>
  </si>
  <si>
    <t>Y00140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</si>
  <si>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</si>
  <si>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</si>
  <si>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</si>
  <si>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</si>
  <si>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</si>
  <si>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</si>
  <si>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</si>
  <si>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</si>
  <si>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</si>
  <si>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</si>
  <si>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</si>
  <si>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</si>
  <si>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</si>
  <si>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</si>
  <si>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</si>
  <si>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</si>
  <si>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</si>
  <si>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</si>
  <si>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</si>
  <si>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</si>
  <si>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</si>
  <si>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</si>
  <si>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</si>
  <si>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</si>
  <si>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</si>
  <si>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</si>
  <si>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</si>
  <si>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</si>
  <si>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</si>
  <si>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</si>
  <si>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</si>
  <si>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</si>
  <si>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</si>
  <si>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</si>
  <si>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</si>
  <si>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</si>
  <si>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</si>
  <si>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</si>
  <si>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</si>
  <si>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</si>
  <si>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</si>
  <si>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</si>
  <si>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</si>
  <si>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</si>
  <si>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</si>
  <si>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</si>
  <si>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</si>
  <si>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</si>
  <si>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</si>
  <si>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</si>
  <si>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</si>
  <si>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</si>
  <si>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</si>
  <si>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</si>
  <si>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</si>
  <si>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</si>
  <si>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</si>
  <si>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</si>
  <si>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</si>
  <si>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</si>
  <si>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</si>
  <si>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</si>
  <si>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</si>
  <si>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</si>
  <si>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</si>
  <si>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</si>
  <si>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</si>
  <si>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</si>
  <si>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</si>
  <si>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</si>
  <si>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</si>
  <si>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</si>
  <si>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</si>
  <si>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</si>
  <si>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</si>
  <si>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</si>
  <si>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</si>
  <si>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</si>
  <si>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</si>
  <si>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</si>
  <si>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</si>
  <si>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</si>
  <si>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</si>
  <si>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</si>
  <si>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</si>
  <si>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</si>
  <si>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</si>
  <si>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</si>
  <si>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</si>
  <si>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</si>
  <si>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</si>
  <si>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</si>
  <si>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</si>
  <si>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</si>
  <si>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</si>
  <si>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</si>
  <si>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</si>
  <si>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</si>
  <si>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</si>
  <si>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</si>
  <si>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</si>
  <si>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</si>
  <si>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</si>
  <si>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</si>
  <si>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</si>
  <si>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</si>
  <si>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</si>
  <si>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</si>
  <si>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</si>
  <si>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</si>
  <si>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</si>
  <si>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</si>
  <si>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</si>
  <si>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</si>
  <si>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</si>
  <si>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</si>
  <si>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</si>
  <si>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</si>
  <si>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</si>
  <si>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</si>
  <si>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</si>
  <si>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</si>
  <si>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</si>
  <si>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</si>
  <si>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</si>
  <si>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</si>
  <si>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</si>
  <si>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</si>
  <si>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</si>
  <si>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</si>
  <si>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</si>
  <si>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</si>
  <si>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</si>
  <si>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</si>
  <si>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</si>
  <si>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</si>
  <si>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</si>
  <si>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</si>
  <si>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</si>
  <si>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</si>
  <si>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</si>
  <si>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</si>
  <si>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</si>
  <si>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</si>
  <si>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</si>
  <si>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</si>
  <si>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</si>
  <si>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</si>
  <si>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</si>
  <si>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</si>
  <si>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</si>
  <si>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</si>
  <si>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</si>
  <si>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</si>
  <si>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</si>
  <si>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</si>
  <si>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</si>
  <si>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</si>
  <si>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</si>
  <si>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</si>
  <si>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</si>
  <si>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</si>
  <si>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</si>
  <si>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</si>
  <si>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</si>
  <si>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</si>
  <si>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</si>
  <si>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</si>
  <si>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</si>
  <si>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</si>
  <si>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</si>
  <si>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</si>
  <si>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</si>
  <si>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</si>
  <si>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</si>
  <si>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</si>
  <si>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</si>
  <si>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</si>
  <si>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</si>
  <si>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</si>
  <si>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</si>
  <si>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</si>
  <si>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Y02857</t>
  </si>
  <si>
    <t>2010/11</t>
  </si>
  <si>
    <t>2008/09-2010/11</t>
  </si>
  <si>
    <t>2005/06-2010/11</t>
  </si>
  <si>
    <t>(M84012) PARK LEYS MEDICAL PRACTICE</t>
  </si>
  <si>
    <t>(M86001) WILLENHALL PRIMARY CARE CENTRE - 1</t>
  </si>
  <si>
    <t>(M86002) BELL GREEN HEALTH CENTRE</t>
  </si>
  <si>
    <t>(M86003) SKY BLUE MEDICAL GROUP</t>
  </si>
  <si>
    <t>(M86004) ALLESLEY PARK MEDICAL CENTRE</t>
  </si>
  <si>
    <t>(M86005) HILLFIELDS HEALTH CENTRE - 1</t>
  </si>
  <si>
    <t>(M86006) JUBILEE HEALTHCARE</t>
  </si>
  <si>
    <t>(M86007) PHOENIX FAMILY CARE</t>
  </si>
  <si>
    <t>(M86008) THE GABLES MEDICENTRE</t>
  </si>
  <si>
    <t>(M86009) ENGLETON HOUSE SURGERY</t>
  </si>
  <si>
    <t>(M86010) FORREST MEDICAL CENTRE</t>
  </si>
  <si>
    <t>(M86011) THE CROSSLEY PRACTICE</t>
  </si>
  <si>
    <t>(M86012) PRIORY GATE PRACTICE</t>
  </si>
  <si>
    <t>(M86013) HOLYHEAD SURGERY</t>
  </si>
  <si>
    <t>(M86014) THE FORUM HEALTH CENTRE</t>
  </si>
  <si>
    <t>(M86015) KENYON MEDICAL CENTRES</t>
  </si>
  <si>
    <t>(M86016) STONEY STANTON MEDICAL CENTRE</t>
  </si>
  <si>
    <t>(M86017) MANSFIELD MEDICAL CENTRE</t>
  </si>
  <si>
    <t>(M86018) MOSELEY AVENUE SURGERY</t>
  </si>
  <si>
    <t>(M86019) WESTWOOD MEDICAL HEALTH CENTRE</t>
  </si>
  <si>
    <t>(M86020) WOOD END HEALTH CENTRE</t>
  </si>
  <si>
    <t>(M86021) SPRINGFIELD MEDICAL PRACTICE</t>
  </si>
  <si>
    <t>(M86022) WALSGRAVE ROAD SURGERY - 1</t>
  </si>
  <si>
    <t>(M86023) BALLIOL ROAD SURGERY</t>
  </si>
  <si>
    <t>(M86026) WILLENHALL PRIMARY CARE CENTRE - 2</t>
  </si>
  <si>
    <t>(M86027) THE CHEYLESMORE SURGERY</t>
  </si>
  <si>
    <t>(M86028) CENTRAL MEDICAL CENTRE</t>
  </si>
  <si>
    <t>(M86029) BROOMFIELD PARK MEDICAL CENTRE</t>
  </si>
  <si>
    <t>(M86030) KENSINGTON ROAD SURGERY</t>
  </si>
  <si>
    <t>(M86032) HOLBROOKS HEALTH TEAM</t>
  </si>
  <si>
    <t>(M86033) WILLENHAL OAK MEDICAL CENTRE</t>
  </si>
  <si>
    <t>(M86034) WOODSIDE MEDICAL CENTRE</t>
  </si>
  <si>
    <t>(M86035) HENLEY GREEN MEDICAL CENTRE</t>
  </si>
  <si>
    <t>(M86037) QUINTON PARK MEDICAL CENTRE</t>
  </si>
  <si>
    <t>(M86038) BREDON AVENUE SURGERY</t>
  </si>
  <si>
    <t>(M86039) ALLESLEY VILLAGE SURGERY</t>
  </si>
  <si>
    <t>(M86040) WALSGRAVE HEALTH CENTRE</t>
  </si>
  <si>
    <t>(M86041) HKMC</t>
  </si>
  <si>
    <t>(M86043) MAIDAVALE SURGERY</t>
  </si>
  <si>
    <t>(M86044) PARK HOUSE</t>
  </si>
  <si>
    <t>(M86045) PARADISE MEDICAL CENTRE</t>
  </si>
  <si>
    <t>(M86046) COPSEWOOD MEDICAL CENTRE</t>
  </si>
  <si>
    <t>(M86048) WINDMILL SURGERY</t>
  </si>
  <si>
    <t>(M86604) WYKEN MEDICAL CENTRE</t>
  </si>
  <si>
    <t>(M86605) LIMBRICK WOOD SURGERY</t>
  </si>
  <si>
    <t>(M86607) LONGFORD MEDICAL CENTRE</t>
  </si>
  <si>
    <t>(M86610) DADHANIA SURGERY</t>
  </si>
  <si>
    <t>(M86612) GEORGE ELIOT MEDICAL CENTRE</t>
  </si>
  <si>
    <t>(M86613) GOSFORD GREEN SURGERY</t>
  </si>
  <si>
    <t>(M86617) HILLFIELDS HEALTH CENTRE - 3</t>
  </si>
  <si>
    <t>(M86619) STATION STREET WEST SURGERY</t>
  </si>
  <si>
    <t>(M86621) SWANSWELL MEDICAL CENTRE</t>
  </si>
  <si>
    <t>(M86622) GOVIND HEALTH CENTRE</t>
  </si>
  <si>
    <t>(M86624) JUBILEE HEALTH CENTRE</t>
  </si>
  <si>
    <t>(M86627) STOKE ALDERMOOR MEDICAL CENTRE</t>
  </si>
  <si>
    <t>(M86629) TILE HILL SURGERY</t>
  </si>
  <si>
    <t>(M86630) BARLEY LEA HOUSE</t>
  </si>
  <si>
    <t>(M86633) EDGWICK MEDICAL CENTRE</t>
  </si>
  <si>
    <t>(M86638) WOODWAY MEDICAL CENTRE</t>
  </si>
  <si>
    <t>(Y00140) TORCROSS MEDICAL CENTRE</t>
  </si>
  <si>
    <t>(Y02857) BROAD LANE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</si>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</sst>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0.7111173118065871</c:v>
                </c:pt>
                <c:pt idx="8">
                  <c:v>0.8333333002196431</c:v>
                </c:pt>
                <c:pt idx="9">
                  <c:v>1</c:v>
                </c:pt>
                <c:pt idx="10">
                  <c:v>0.6593499497883998</c:v>
                </c:pt>
                <c:pt idx="11">
                  <c:v>0.724191080032058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0.6377161610564961</c:v>
                </c:pt>
                <c:pt idx="3">
                  <c:v>0.674999992549419</c:v>
                </c:pt>
                <c:pt idx="4">
                  <c:v>0.5624327625521045</c:v>
                </c:pt>
                <c:pt idx="5">
                  <c:v>0.53391371855496</c:v>
                </c:pt>
                <c:pt idx="6">
                  <c:v>0.5937500218278744</c:v>
                </c:pt>
                <c:pt idx="7">
                  <c:v>0.588326687429253</c:v>
                </c:pt>
                <c:pt idx="8">
                  <c:v>0.5833333002196431</c:v>
                </c:pt>
                <c:pt idx="9">
                  <c:v>0.6458357798920155</c:v>
                </c:pt>
                <c:pt idx="10">
                  <c:v>0.5611012107383289</c:v>
                </c:pt>
                <c:pt idx="11">
                  <c:v>0.5927849964884098</c:v>
                </c:pt>
                <c:pt idx="12">
                  <c:v>0.6014245686482113</c:v>
                </c:pt>
                <c:pt idx="13">
                  <c:v>0</c:v>
                </c:pt>
                <c:pt idx="14">
                  <c:v>0.6325678782990828</c:v>
                </c:pt>
                <c:pt idx="15">
                  <c:v>0.5989583233733555</c:v>
                </c:pt>
                <c:pt idx="16">
                  <c:v>0.5704308513132997</c:v>
                </c:pt>
                <c:pt idx="17">
                  <c:v>0.5670822190700137</c:v>
                </c:pt>
                <c:pt idx="18">
                  <c:v>0.5725386197036595</c:v>
                </c:pt>
                <c:pt idx="19">
                  <c:v>0.5455204038371849</c:v>
                </c:pt>
                <c:pt idx="20">
                  <c:v>0.5936653752897789</c:v>
                </c:pt>
                <c:pt idx="21">
                  <c:v>0.5777213962509368</c:v>
                </c:pt>
                <c:pt idx="22">
                  <c:v>0.6174332750110596</c:v>
                </c:pt>
                <c:pt idx="23">
                  <c:v>0.6719561002645776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0.3682517545109916</c:v>
                </c:pt>
                <c:pt idx="3">
                  <c:v>0.3999999776482569</c:v>
                </c:pt>
                <c:pt idx="4">
                  <c:v>0.41541539538912625</c:v>
                </c:pt>
                <c:pt idx="5">
                  <c:v>0.4778086987635451</c:v>
                </c:pt>
                <c:pt idx="6">
                  <c:v>0.37499997089616754</c:v>
                </c:pt>
                <c:pt idx="7">
                  <c:v>0.4125360296006734</c:v>
                </c:pt>
                <c:pt idx="8">
                  <c:v>0.41666665010982157</c:v>
                </c:pt>
                <c:pt idx="9">
                  <c:v>0.3863355806227004</c:v>
                </c:pt>
                <c:pt idx="10">
                  <c:v>0.3935890055192332</c:v>
                </c:pt>
                <c:pt idx="11">
                  <c:v>0.37564770536913267</c:v>
                </c:pt>
                <c:pt idx="12">
                  <c:v>0.4487371143715038</c:v>
                </c:pt>
                <c:pt idx="13">
                  <c:v>0</c:v>
                </c:pt>
                <c:pt idx="14">
                  <c:v>0.3770833213193867</c:v>
                </c:pt>
                <c:pt idx="15">
                  <c:v>0.3888888828180453</c:v>
                </c:pt>
                <c:pt idx="16">
                  <c:v>0.4019256036814344</c:v>
                </c:pt>
                <c:pt idx="17">
                  <c:v>0.41988417082902396</c:v>
                </c:pt>
                <c:pt idx="18">
                  <c:v>0.4427016247320283</c:v>
                </c:pt>
                <c:pt idx="19">
                  <c:v>0.46880433918291053</c:v>
                </c:pt>
                <c:pt idx="20">
                  <c:v>0.3820733729471389</c:v>
                </c:pt>
                <c:pt idx="21">
                  <c:v>0.4530149995914443</c:v>
                </c:pt>
                <c:pt idx="22">
                  <c:v>0.35158250136067715</c:v>
                </c:pt>
                <c:pt idx="23">
                  <c:v>0.38193808895000786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0.05067321013610442</c:v>
                </c:pt>
                <c:pt idx="3">
                  <c:v>0.22499996647238532</c:v>
                </c:pt>
                <c:pt idx="4">
                  <c:v>0.22718341223760652</c:v>
                </c:pt>
                <c:pt idx="5">
                  <c:v>0.4311519706945174</c:v>
                </c:pt>
                <c:pt idx="6">
                  <c:v>0.18749997089616754</c:v>
                </c:pt>
                <c:pt idx="7">
                  <c:v>0</c:v>
                </c:pt>
                <c:pt idx="8">
                  <c:v>0</c:v>
                </c:pt>
                <c:pt idx="9">
                  <c:v>0.11063145718113904</c:v>
                </c:pt>
                <c:pt idx="10">
                  <c:v>0</c:v>
                </c:pt>
                <c:pt idx="11">
                  <c:v>0</c:v>
                </c:pt>
                <c:pt idx="12">
                  <c:v>0.322435982842693</c:v>
                </c:pt>
                <c:pt idx="13">
                  <c:v>0</c:v>
                </c:pt>
                <c:pt idx="14">
                  <c:v>0.16702187382068293</c:v>
                </c:pt>
                <c:pt idx="15">
                  <c:v>0.1680220636979258</c:v>
                </c:pt>
                <c:pt idx="16">
                  <c:v>0.2537012393005162</c:v>
                </c:pt>
                <c:pt idx="17">
                  <c:v>0.3300280945234134</c:v>
                </c:pt>
                <c:pt idx="18">
                  <c:v>0.3491934949033775</c:v>
                </c:pt>
                <c:pt idx="19">
                  <c:v>0.4241487035061874</c:v>
                </c:pt>
                <c:pt idx="20">
                  <c:v>0.16745426699455881</c:v>
                </c:pt>
                <c:pt idx="21">
                  <c:v>0.3406138831168971</c:v>
                </c:pt>
                <c:pt idx="22">
                  <c:v>0.07313927577724096</c:v>
                </c:pt>
                <c:pt idx="23">
                  <c:v>0.16952545223770651</c:v>
                </c:pt>
                <c:pt idx="24">
                  <c:v>0</c:v>
                </c:pt>
                <c:pt idx="25">
                  <c:v>0</c:v>
                </c:pt>
                <c:pt idx="26">
                  <c:v>0</c:v>
                </c:pt>
              </c:numCache>
            </c:numRef>
          </c:val>
        </c:ser>
        <c:overlap val="100"/>
        <c:gapWidth val="100"/>
        <c:axId val="5752501"/>
        <c:axId val="5177251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0.5334152682872921</c:v>
                </c:pt>
                <c:pt idx="3">
                  <c:v>0.42527323497840314</c:v>
                </c:pt>
                <c:pt idx="4">
                  <c:v>0.5125393005003609</c:v>
                </c:pt>
                <c:pt idx="5">
                  <c:v>0.5195003524614127</c:v>
                </c:pt>
                <c:pt idx="6">
                  <c:v>0.5606476888795145</c:v>
                </c:pt>
                <c:pt idx="7">
                  <c:v>0.561979716906785</c:v>
                </c:pt>
                <c:pt idx="8">
                  <c:v>0.6222843224867325</c:v>
                </c:pt>
                <c:pt idx="9">
                  <c:v>0.6125946144206793</c:v>
                </c:pt>
                <c:pt idx="10">
                  <c:v>0.43226309468046226</c:v>
                </c:pt>
                <c:pt idx="11">
                  <c:v>0.48425641205233855</c:v>
                </c:pt>
                <c:pt idx="12">
                  <c:v>0.48999601122849107</c:v>
                </c:pt>
                <c:pt idx="13">
                  <c:v>0.5</c:v>
                </c:pt>
                <c:pt idx="14">
                  <c:v>0.611760980700725</c:v>
                </c:pt>
                <c:pt idx="15">
                  <c:v>0.4990006728818173</c:v>
                </c:pt>
                <c:pt idx="16">
                  <c:v>0.45655885201515306</c:v>
                </c:pt>
                <c:pt idx="17">
                  <c:v>0.49310913784103155</c:v>
                </c:pt>
                <c:pt idx="18">
                  <c:v>0.4960774909364297</c:v>
                </c:pt>
                <c:pt idx="19">
                  <c:v>0.5032645042994286</c:v>
                </c:pt>
                <c:pt idx="20">
                  <c:v>0.4299166852167538</c:v>
                </c:pt>
                <c:pt idx="21">
                  <c:v>0.5321183629580485</c:v>
                </c:pt>
                <c:pt idx="22">
                  <c:v>0.45488331798275583</c:v>
                </c:pt>
                <c:pt idx="23">
                  <c:v>0.5039131917466227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0.48685471629346055</c:v>
                </c:pt>
                <c:pt idx="6">
                  <c:v>-999</c:v>
                </c:pt>
                <c:pt idx="7">
                  <c:v>-999</c:v>
                </c:pt>
                <c:pt idx="8">
                  <c:v>-999</c:v>
                </c:pt>
                <c:pt idx="9">
                  <c:v>0.4632288662398943</c:v>
                </c:pt>
                <c:pt idx="10">
                  <c:v>-999</c:v>
                </c:pt>
                <c:pt idx="11">
                  <c:v>-999</c:v>
                </c:pt>
                <c:pt idx="12">
                  <c:v>-999</c:v>
                </c:pt>
                <c:pt idx="13">
                  <c:v>-999</c:v>
                </c:pt>
                <c:pt idx="14">
                  <c:v>0.3770833213193867</c:v>
                </c:pt>
                <c:pt idx="15">
                  <c:v>0.4973118154725932</c:v>
                </c:pt>
                <c:pt idx="16">
                  <c:v>-999</c:v>
                </c:pt>
                <c:pt idx="17">
                  <c:v>-999</c:v>
                </c:pt>
                <c:pt idx="18">
                  <c:v>-999</c:v>
                </c:pt>
                <c:pt idx="19">
                  <c:v>0.5062577238917289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0.22279829444482663</c:v>
                </c:pt>
                <c:pt idx="3">
                  <c:v>0.22499996572732722</c:v>
                </c:pt>
                <c:pt idx="4">
                  <c:v>0.27954055820929447</c:v>
                </c:pt>
                <c:pt idx="5">
                  <c:v>-999</c:v>
                </c:pt>
                <c:pt idx="6">
                  <c:v>0.3124999735737201</c:v>
                </c:pt>
                <c:pt idx="7">
                  <c:v>0.671496125533712</c:v>
                </c:pt>
                <c:pt idx="8">
                  <c:v>-999</c:v>
                </c:pt>
                <c:pt idx="9">
                  <c:v>-999</c:v>
                </c:pt>
                <c:pt idx="10">
                  <c:v>0.6193524008208504</c:v>
                </c:pt>
                <c:pt idx="11">
                  <c:v>0.6425074942369468</c:v>
                </c:pt>
                <c:pt idx="12">
                  <c:v>0.44873711942189465</c:v>
                </c:pt>
                <c:pt idx="13">
                  <c:v>0.5757605382723128</c:v>
                </c:pt>
                <c:pt idx="14">
                  <c:v>-999</c:v>
                </c:pt>
                <c:pt idx="15">
                  <c:v>-999</c:v>
                </c:pt>
                <c:pt idx="16">
                  <c:v>0.3278395896420158</c:v>
                </c:pt>
                <c:pt idx="17">
                  <c:v>0.4402266355105189</c:v>
                </c:pt>
                <c:pt idx="18">
                  <c:v>-999</c:v>
                </c:pt>
                <c:pt idx="19">
                  <c:v>-999</c:v>
                </c:pt>
                <c:pt idx="20">
                  <c:v>0.31693144728312306</c:v>
                </c:pt>
                <c:pt idx="21">
                  <c:v>0.42575676232299425</c:v>
                </c:pt>
                <c:pt idx="22">
                  <c:v>0.20150795176143896</c:v>
                </c:pt>
                <c:pt idx="23">
                  <c:v>0.2887668683755085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299407"/>
        <c:axId val="32823752"/>
      </c:scatterChart>
      <c:catAx>
        <c:axId val="5752501"/>
        <c:scaling>
          <c:orientation val="maxMin"/>
        </c:scaling>
        <c:axPos val="l"/>
        <c:delete val="0"/>
        <c:numFmt formatCode="General" sourceLinked="1"/>
        <c:majorTickMark val="out"/>
        <c:minorTickMark val="none"/>
        <c:tickLblPos val="none"/>
        <c:spPr>
          <a:ln w="3175">
            <a:noFill/>
          </a:ln>
        </c:spPr>
        <c:crossAx val="51772510"/>
        <c:crosses val="autoZero"/>
        <c:auto val="1"/>
        <c:lblOffset val="100"/>
        <c:tickLblSkip val="1"/>
        <c:noMultiLvlLbl val="0"/>
      </c:catAx>
      <c:valAx>
        <c:axId val="51772510"/>
        <c:scaling>
          <c:orientation val="minMax"/>
          <c:max val="1"/>
          <c:min val="0"/>
        </c:scaling>
        <c:axPos val="t"/>
        <c:delete val="0"/>
        <c:numFmt formatCode="General" sourceLinked="1"/>
        <c:majorTickMark val="none"/>
        <c:minorTickMark val="none"/>
        <c:tickLblPos val="none"/>
        <c:spPr>
          <a:ln w="3175">
            <a:noFill/>
          </a:ln>
        </c:spPr>
        <c:crossAx val="5752501"/>
        <c:crossesAt val="1"/>
        <c:crossBetween val="between"/>
        <c:dispUnits/>
        <c:majorUnit val="1"/>
      </c:valAx>
      <c:valAx>
        <c:axId val="63299407"/>
        <c:scaling>
          <c:orientation val="minMax"/>
          <c:max val="1"/>
          <c:min val="0"/>
        </c:scaling>
        <c:axPos val="t"/>
        <c:delete val="0"/>
        <c:numFmt formatCode="General" sourceLinked="1"/>
        <c:majorTickMark val="none"/>
        <c:minorTickMark val="none"/>
        <c:tickLblPos val="none"/>
        <c:spPr>
          <a:ln w="3175">
            <a:noFill/>
          </a:ln>
        </c:spPr>
        <c:crossAx val="32823752"/>
        <c:crosses val="max"/>
        <c:crossBetween val="midCat"/>
        <c:dispUnits/>
        <c:majorUnit val="0.1"/>
        <c:minorUnit val="0.020000000000000004"/>
      </c:valAx>
      <c:valAx>
        <c:axId val="32823752"/>
        <c:scaling>
          <c:orientation val="maxMin"/>
          <c:max val="29"/>
          <c:min val="0"/>
        </c:scaling>
        <c:axPos val="l"/>
        <c:delete val="0"/>
        <c:numFmt formatCode="General" sourceLinked="1"/>
        <c:majorTickMark val="none"/>
        <c:minorTickMark val="none"/>
        <c:tickLblPos val="none"/>
        <c:spPr>
          <a:ln w="3175">
            <a:noFill/>
          </a:ln>
        </c:spPr>
        <c:crossAx val="632994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(M86004) ALLESLEY PARK MEDICAL CENTRE, COVENTRY TEACHING PCT (5MD)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593</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592</v>
      </c>
      <c r="C8" s="115"/>
      <c r="D8" s="115"/>
      <c r="E8" s="128">
        <f>VLOOKUP('Hide - Control'!A$3,'All practice data'!A:CA,4,FALSE)</f>
        <v>15250</v>
      </c>
      <c r="F8" s="310" t="str">
        <f>VLOOKUP('Hide - Control'!B4,'Hide - Calculation'!AY:BA,3,FALSE)</f>
        <v> </v>
      </c>
      <c r="G8" s="310"/>
      <c r="H8" s="310"/>
      <c r="I8" s="115"/>
      <c r="J8" s="115"/>
      <c r="K8" s="115"/>
      <c r="L8" s="115"/>
      <c r="M8" s="109"/>
      <c r="N8" s="314" t="s">
        <v>507</v>
      </c>
      <c r="O8" s="314"/>
      <c r="P8" s="314"/>
      <c r="Q8" s="314" t="s">
        <v>32</v>
      </c>
      <c r="R8" s="314"/>
      <c r="S8" s="314"/>
      <c r="T8" s="314" t="s">
        <v>596</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356144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1279</v>
      </c>
      <c r="H13" s="190">
        <f>IF(VLOOKUP('Hide - Control'!A$3,'All practice data'!A:CA,C13+30,FALSE)=" "," ",VLOOKUP('Hide - Control'!A$3,'All practice data'!A:CA,C13+30,FALSE))</f>
        <v>0.08386885245901639</v>
      </c>
      <c r="I13" s="191">
        <f>IF(LEFT(G13,1)=" "," n/a",+((2*G13+1.96^2-1.96*SQRT(1.96^2+4*G13*(1-G13/E$8)))/(2*(E$8+1.96^2))))</f>
        <v>0.07957348908515553</v>
      </c>
      <c r="J13" s="191">
        <f>IF(LEFT(G13,1)=" "," n/a",+((2*G13+1.96^2+1.96*SQRT(1.96^2+4*G13*(1-G13/E$8)))/(2*(E$8+1.96^2))))</f>
        <v>0.08837381672664733</v>
      </c>
      <c r="K13" s="190">
        <f>IF('Hide - Calculation'!N7="","",'Hide - Calculation'!N7)</f>
        <v>0.14443315063569792</v>
      </c>
      <c r="L13" s="192">
        <f>'Hide - Calculation'!O7</f>
        <v>0.1599882305185145</v>
      </c>
      <c r="M13" s="208">
        <f>IF(ISBLANK('Hide - Calculation'!K7),"",'Hide - Calculation'!U7)</f>
        <v>0.041688110679388046</v>
      </c>
      <c r="N13" s="173"/>
      <c r="O13" s="173"/>
      <c r="P13" s="173"/>
      <c r="Q13" s="173"/>
      <c r="R13" s="173"/>
      <c r="S13" s="173"/>
      <c r="T13" s="173"/>
      <c r="U13" s="173"/>
      <c r="V13" s="173"/>
      <c r="W13" s="173"/>
      <c r="X13" s="173"/>
      <c r="Y13" s="173"/>
      <c r="Z13" s="173"/>
      <c r="AA13" s="226">
        <f>IF(ISBLANK('Hide - Calculation'!K7),"",'Hide - Calculation'!T7)</f>
        <v>0.2743288576602936</v>
      </c>
      <c r="AB13" s="233" t="s">
        <v>590</v>
      </c>
      <c r="AC13" s="209" t="s">
        <v>591</v>
      </c>
    </row>
    <row r="14" spans="2:29" ht="33.75" customHeight="1">
      <c r="B14" s="306"/>
      <c r="C14" s="137">
        <v>2</v>
      </c>
      <c r="D14" s="132" t="s">
        <v>501</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0.06605775982606572</v>
      </c>
      <c r="J14" s="120">
        <f>IF(LEFT(G14,1)=" "," n/a",+((2*H14*E8+1.96^2+1.96*SQRT(1.96^2+4*H14*E8*(1-H14*E8/E$8)))/(2*(E$8+1.96^2))))</f>
        <v>0.07415882666320267</v>
      </c>
      <c r="K14" s="119">
        <f>IF('Hide - Calculation'!N8="","",'Hide - Calculation'!N8)</f>
        <v>0.18423528123455682</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0.3799999952316284</v>
      </c>
      <c r="AB14" s="234" t="s">
        <v>39</v>
      </c>
      <c r="AC14" s="130" t="s">
        <v>591</v>
      </c>
    </row>
    <row r="15" spans="2:39" s="63" customFormat="1" ht="33.75" customHeight="1">
      <c r="B15" s="306"/>
      <c r="C15" s="137">
        <v>3</v>
      </c>
      <c r="D15" s="132" t="s">
        <v>355</v>
      </c>
      <c r="E15" s="85"/>
      <c r="F15" s="85"/>
      <c r="G15" s="121">
        <f>IF(VLOOKUP('Hide - Control'!A$3,'All practice data'!A:CA,C15+4,FALSE)=" "," ",VLOOKUP('Hide - Control'!A$3,'All practice data'!A:CA,C15+4,FALSE))</f>
        <v>24</v>
      </c>
      <c r="H15" s="122">
        <f>IF(VLOOKUP('Hide - Control'!A$3,'All practice data'!A:CA,C15+30,FALSE)=" "," ",VLOOKUP('Hide - Control'!A$3,'All practice data'!A:CA,C15+30,FALSE))</f>
        <v>157.37704918032787</v>
      </c>
      <c r="I15" s="123">
        <f>IF(LEFT(G15,1)=" "," n/a",IF(G15&lt;5,100000*VLOOKUP(G15,'Hide - Calculation'!AQ:AR,2,FALSE)/$E$8,100000*(G15*(1-1/(9*G15)-1.96/(3*SQRT(G15)))^3)/$E$8))</f>
        <v>100.80386750662028</v>
      </c>
      <c r="J15" s="123">
        <f>IF(LEFT(G15,1)=" "," n/a",IF(G15&lt;5,100000*VLOOKUP(G15,'Hide - Calculation'!AQ:AS,3,FALSE)/$E$8,100000*((G15+1)*(1-1/(9*(G15+1))+1.96/(3*SQRT(G15+1)))^3)/$E$8))</f>
        <v>234.17603172007463</v>
      </c>
      <c r="K15" s="122">
        <f>IF('Hide - Calculation'!N9="","",'Hide - Calculation'!N9)</f>
        <v>399.55748236668313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1048.65771484375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25</v>
      </c>
      <c r="H16" s="122">
        <f>IF(VLOOKUP('Hide - Control'!A$3,'All practice data'!A:CA,C16+30,FALSE)=" "," ",VLOOKUP('Hide - Control'!A$3,'All practice data'!A:CA,C16+30,FALSE))</f>
        <v>163.9344262295082</v>
      </c>
      <c r="I16" s="123">
        <f>IF(LEFT(G16,1)=" "," n/a",IF(G16&lt;5,100000*VLOOKUP(G16,'Hide - Calculation'!AQ:AR,2,FALSE)/$E$8,100000*(G16*(1-1/(9*G16)-1.96/(3*SQRT(G16)))^3)/$E$8))</f>
        <v>106.05987683644786</v>
      </c>
      <c r="J16" s="123">
        <f>IF(LEFT(G16,1)=" "," n/a",IF(G16&lt;5,100000*VLOOKUP(G16,'Hide - Calculation'!AQ:AS,3,FALSE)/$E$8,100000*((G16+1)*(1-1/(9*(G16+1))+1.96/(3*SQRT(G16+1)))^3)/$E$8))</f>
        <v>242.01103372436506</v>
      </c>
      <c r="K16" s="122">
        <f>IF('Hide - Calculation'!N10="","",'Hide - Calculation'!N10)</f>
        <v>215.9238959521991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1267.1976318359375</v>
      </c>
      <c r="AB16" s="234" t="s">
        <v>349</v>
      </c>
      <c r="AC16" s="131" t="s">
        <v>526</v>
      </c>
    </row>
    <row r="17" spans="2:29" s="63" customFormat="1" ht="33.75" customHeight="1" thickBot="1">
      <c r="B17" s="309"/>
      <c r="C17" s="180">
        <v>5</v>
      </c>
      <c r="D17" s="195" t="s">
        <v>354</v>
      </c>
      <c r="E17" s="182"/>
      <c r="F17" s="182"/>
      <c r="G17" s="140">
        <f>IF(VLOOKUP('Hide - Control'!A$3,'All practice data'!A:CA,C17+4,FALSE)=" "," ",VLOOKUP('Hide - Control'!A$3,'All practice data'!A:CA,C17+4,FALSE))</f>
        <v>128</v>
      </c>
      <c r="H17" s="141">
        <f>IF(VLOOKUP('Hide - Control'!A$3,'All practice data'!A:CA,C17+30,FALSE)=" "," ",VLOOKUP('Hide - Control'!A$3,'All practice data'!A:CA,C17+30,FALSE))</f>
        <v>0.008</v>
      </c>
      <c r="I17" s="142">
        <f>IF(LEFT(G17,1)=" "," n/a",+((2*G17+1.96^2-1.96*SQRT(1.96^2+4*G17*(1-G17/E$8)))/(2*(E$8+1.96^2))))</f>
        <v>0.007064174894690233</v>
      </c>
      <c r="J17" s="142">
        <f>IF(LEFT(G17,1)=" "," n/a",+((2*G17+1.96^2+1.96*SQRT(1.96^2+4*G17*(1-G17/E$8)))/(2*(E$8+1.96^2))))</f>
        <v>0.00997032741717329</v>
      </c>
      <c r="K17" s="141">
        <f>IF('Hide - Calculation'!N11="","",'Hide - Calculation'!N11)</f>
        <v>0.013640549889932163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0.029999999329447746</v>
      </c>
      <c r="AB17" s="235" t="s">
        <v>494</v>
      </c>
      <c r="AC17" s="189" t="s">
        <v>526</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689</v>
      </c>
      <c r="H18" s="220">
        <f>IF(OR(VLOOKUP('Hide - Control'!A$3,'All practice data'!A:CA,C18+30,FALSE)=" ",VLOOKUP('Hide - Control'!A$3,'All practice data'!A:CA,C18+52,FALSE)=0)," n/a",VLOOKUP('Hide - Control'!A$3,'All practice data'!A:CA,C18+30,FALSE))</f>
        <v>0.801163</v>
      </c>
      <c r="I18" s="191">
        <f>IF(OR(LEFT(H18,1)=" ",VLOOKUP('Hide - Control'!A$3,'All practice data'!A:CA,C18+52,FALSE)=0)," n/a",+((2*G18+1.96^2-1.96*SQRT(1.96^2+4*G18*(1-G18/(VLOOKUP('Hide - Control'!A$3,'All practice data'!A:CA,C18+52,FALSE)))))/(2*(((VLOOKUP('Hide - Control'!A$3,'All practice data'!A:CA,C18+52,FALSE)))+1.96^2))))</f>
        <v>0.7731734778311056</v>
      </c>
      <c r="J18" s="191">
        <f>IF(OR(LEFT(H18,1)=" ",VLOOKUP('Hide - Control'!A$3,'All practice data'!A:CA,C18+52,FALSE)=0)," n/a",+((2*G18+1.96^2+1.96*SQRT(1.96^2+4*G18*(1-G18/(VLOOKUP('Hide - Control'!A$3,'All practice data'!A:CA,C18+52,FALSE)))))/(2*((VLOOKUP('Hide - Control'!A$3,'All practice data'!A:CA,C18+52,FALSE))+1.96^2))))</f>
        <v>0.8264734944841894</v>
      </c>
      <c r="K18" s="220">
        <f>IF('Hide - Calculation'!N12="","",'Hide - Calculation'!N12)</f>
        <v>0.6941920414732105</v>
      </c>
      <c r="L18" s="192">
        <f>'Hide - Calculation'!O12</f>
        <v>0.7248631360507991</v>
      </c>
      <c r="M18" s="193">
        <f>IF(ISBLANK('Hide - Calculation'!K12),"",'Hide - Calculation'!U12)</f>
        <v>0.33333298563957214</v>
      </c>
      <c r="N18" s="194"/>
      <c r="O18" s="173"/>
      <c r="P18" s="173"/>
      <c r="Q18" s="173"/>
      <c r="R18" s="173"/>
      <c r="S18" s="173"/>
      <c r="T18" s="173"/>
      <c r="U18" s="173"/>
      <c r="V18" s="173"/>
      <c r="W18" s="173"/>
      <c r="X18" s="173"/>
      <c r="Y18" s="173"/>
      <c r="Z18" s="174"/>
      <c r="AA18" s="193">
        <f>IF(ISBLANK('Hide - Calculation'!K12),"",'Hide - Calculation'!T12)</f>
        <v>0.8287670016288757</v>
      </c>
      <c r="AB18" s="233" t="s">
        <v>48</v>
      </c>
      <c r="AC18" s="175" t="s">
        <v>527</v>
      </c>
    </row>
    <row r="19" spans="2:29" s="63" customFormat="1" ht="33.75" customHeight="1">
      <c r="B19" s="306"/>
      <c r="C19" s="137">
        <v>7</v>
      </c>
      <c r="D19" s="132" t="s">
        <v>503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0.6986596061558829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526</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1681</v>
      </c>
      <c r="H20" s="218">
        <f>IF(OR(VLOOKUP('Hide - Control'!A$3,'All practice data'!A:CA,C20+30,FALSE)=" ",VLOOKUP('Hide - Control'!A$3,'All practice data'!A:CA,C20+52,FALSE)=0)," n/a",VLOOKUP('Hide - Control'!A$3,'All practice data'!A:CA,C20+30,FALSE))</f>
        <v>0.717456</v>
      </c>
      <c r="I20" s="120">
        <f>IF(OR(LEFT(H20,1)=" ",VLOOKUP('Hide - Control'!A$3,'All practice data'!A:CA,C20+52,FALSE)=0)," n/a",+((2*G20+1.96^2-1.96*SQRT(1.96^2+4*G20*(1-G20/(VLOOKUP('Hide - Control'!A$3,'All practice data'!A:CA,C20+52,FALSE)))))/(2*(((VLOOKUP('Hide - Control'!A$3,'All practice data'!A:CA,C20+52,FALSE)))+1.96^2))))</f>
        <v>0.6988807434107766</v>
      </c>
      <c r="J20" s="120">
        <f>IF(OR(LEFT(H20,1)=" ",VLOOKUP('Hide - Control'!A$3,'All practice data'!A:CA,C20+52,FALSE)=0)," n/a",+((2*G20+1.96^2+1.96*SQRT(1.96^2+4*G20*(1-G20/(VLOOKUP('Hide - Control'!A$3,'All practice data'!A:CA,C20+52,FALSE)))))/(2*((VLOOKUP('Hide - Control'!A$3,'All practice data'!A:CA,C20+52,FALSE))+1.96^2))))</f>
        <v>0.7353198434545661</v>
      </c>
      <c r="K20" s="218">
        <f>IF('Hide - Calculation'!N14="","",'Hide - Calculation'!N14)</f>
        <v>0.7306644846915721</v>
      </c>
      <c r="L20" s="155">
        <f>'Hide - Calculation'!O14</f>
        <v>0.7559681673907895</v>
      </c>
      <c r="M20" s="152">
        <f>IF(ISBLANK('Hide - Calculation'!K14),"",'Hide - Calculation'!U14)</f>
        <v>0.6265429854393005</v>
      </c>
      <c r="N20" s="160"/>
      <c r="O20" s="84"/>
      <c r="P20" s="84"/>
      <c r="Q20" s="84"/>
      <c r="R20" s="84"/>
      <c r="S20" s="84"/>
      <c r="T20" s="84"/>
      <c r="U20" s="84"/>
      <c r="V20" s="84"/>
      <c r="W20" s="84"/>
      <c r="X20" s="84"/>
      <c r="Y20" s="84"/>
      <c r="Z20" s="88"/>
      <c r="AA20" s="152">
        <f>IF(ISBLANK('Hide - Calculation'!K14),"",'Hide - Calculation'!T14)</f>
        <v>0.8558560013771057</v>
      </c>
      <c r="AB20" s="234" t="s">
        <v>48</v>
      </c>
      <c r="AC20" s="131" t="s">
        <v>528</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481</v>
      </c>
      <c r="H21" s="218">
        <f>IF(OR(VLOOKUP('Hide - Control'!A$3,'All practice data'!A:CA,C21+30,FALSE)=" ",VLOOKUP('Hide - Control'!A$3,'All practice data'!A:CA,C21+52,FALSE)=0)," n/a",VLOOKUP('Hide - Control'!A$3,'All practice data'!A:CA,C21+30,FALSE))</f>
        <v>0.652646</v>
      </c>
      <c r="I21" s="120">
        <f>IF(OR(LEFT(H21,1)=" ",VLOOKUP('Hide - Control'!A$3,'All practice data'!A:CA,C21+52,FALSE)=0)," n/a",+((2*G21+1.96^2-1.96*SQRT(1.96^2+4*G21*(1-G21/(VLOOKUP('Hide - Control'!A$3,'All practice data'!A:CA,C21+52,FALSE)))))/(2*(((VLOOKUP('Hide - Control'!A$3,'All practice data'!A:CA,C21+52,FALSE)))+1.96^2))))</f>
        <v>0.6175590613557119</v>
      </c>
      <c r="J21" s="120">
        <f>IF(OR(LEFT(H21,1)=" ",VLOOKUP('Hide - Control'!A$3,'All practice data'!A:CA,C21+52,FALSE)=0)," n/a",+((2*G21+1.96^2+1.96*SQRT(1.96^2+4*G21*(1-G21/(VLOOKUP('Hide - Control'!A$3,'All practice data'!A:CA,C21+52,FALSE)))))/(2*((VLOOKUP('Hide - Control'!A$3,'All practice data'!A:CA,C21+52,FALSE))+1.96^2))))</f>
        <v>0.6861495856749085</v>
      </c>
      <c r="K21" s="218">
        <f>IF('Hide - Calculation'!N15="","",'Hide - Calculation'!N15)</f>
        <v>0.5691399393649273</v>
      </c>
      <c r="L21" s="155">
        <f>'Hide - Calculation'!O15</f>
        <v>0.5147293797466616</v>
      </c>
      <c r="M21" s="152">
        <f>IF(ISBLANK('Hide - Calculation'!K15),"",'Hide - Calculation'!U15)</f>
        <v>0.19607800245285034</v>
      </c>
      <c r="N21" s="160"/>
      <c r="O21" s="84"/>
      <c r="P21" s="84"/>
      <c r="Q21" s="84"/>
      <c r="R21" s="84"/>
      <c r="S21" s="84"/>
      <c r="T21" s="84"/>
      <c r="U21" s="84"/>
      <c r="V21" s="84"/>
      <c r="W21" s="84"/>
      <c r="X21" s="84"/>
      <c r="Y21" s="84"/>
      <c r="Z21" s="88"/>
      <c r="AA21" s="152">
        <f>IF(ISBLANK('Hide - Calculation'!K15),"",'Hide - Calculation'!T15)</f>
        <v>0.6821309924125671</v>
      </c>
      <c r="AB21" s="234" t="s">
        <v>48</v>
      </c>
      <c r="AC21" s="131" t="s">
        <v>527</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274</v>
      </c>
      <c r="H22" s="223">
        <f>IF(OR(VLOOKUP('Hide - Control'!A$3,'All practice data'!A:CA,C22+30,FALSE)=" ",VLOOKUP('Hide - Control'!A$3,'All practice data'!A:CA,C22+52,FALSE)=0)," n/a",VLOOKUP('Hide - Control'!A$3,'All practice data'!A:CA,C22+30,FALSE))</f>
        <v>0.685</v>
      </c>
      <c r="I22" s="196">
        <f>IF(OR(LEFT(H22,1)=" ",VLOOKUP('Hide - Control'!A$3,'All practice data'!A:CA,C22+52,FALSE)=0)," n/a",+((2*G22+1.96^2-1.96*SQRT(1.96^2+4*G22*(1-G22/(VLOOKUP('Hide - Control'!A$3,'All practice data'!A:CA,C22+52,FALSE)))))/(2*(((VLOOKUP('Hide - Control'!A$3,'All practice data'!A:CA,C22+52,FALSE)))+1.96^2))))</f>
        <v>0.6379004762565755</v>
      </c>
      <c r="J22" s="196">
        <f>IF(OR(LEFT(H22,1)=" ",VLOOKUP('Hide - Control'!A$3,'All practice data'!A:CA,C22+52,FALSE)=0)," n/a",+((2*G22+1.96^2+1.96*SQRT(1.96^2+4*G22*(1-G22/(VLOOKUP('Hide - Control'!A$3,'All practice data'!A:CA,C22+52,FALSE)))))/(2*((VLOOKUP('Hide - Control'!A$3,'All practice data'!A:CA,C22+52,FALSE))+1.96^2))))</f>
        <v>0.7285798467215427</v>
      </c>
      <c r="K22" s="223">
        <f>IF('Hide - Calculation'!N16="","",'Hide - Calculation'!N16)</f>
        <v>0.598641930398933</v>
      </c>
      <c r="L22" s="197">
        <f>'Hide - Calculation'!O16</f>
        <v>0.5752927626212945</v>
      </c>
      <c r="M22" s="198">
        <f>IF(ISBLANK('Hide - Calculation'!K16),"",'Hide - Calculation'!U16)</f>
        <v>0.23958300054073334</v>
      </c>
      <c r="N22" s="199"/>
      <c r="O22" s="91"/>
      <c r="P22" s="91"/>
      <c r="Q22" s="91"/>
      <c r="R22" s="91"/>
      <c r="S22" s="91"/>
      <c r="T22" s="91"/>
      <c r="U22" s="91"/>
      <c r="V22" s="91"/>
      <c r="W22" s="91"/>
      <c r="X22" s="91"/>
      <c r="Y22" s="91"/>
      <c r="Z22" s="188"/>
      <c r="AA22" s="198">
        <f>IF(ISBLANK('Hide - Calculation'!K16),"",'Hide - Calculation'!T16)</f>
        <v>0.7416269779205322</v>
      </c>
      <c r="AB22" s="235" t="s">
        <v>48</v>
      </c>
      <c r="AC22" s="189" t="s">
        <v>526</v>
      </c>
    </row>
    <row r="23" spans="2:29" s="63" customFormat="1" ht="33.75" customHeight="1">
      <c r="B23" s="308" t="s">
        <v>344</v>
      </c>
      <c r="C23" s="163">
        <v>11</v>
      </c>
      <c r="D23" s="179" t="s">
        <v>356</v>
      </c>
      <c r="E23" s="165"/>
      <c r="F23" s="165"/>
      <c r="G23" s="118">
        <f>IF(VLOOKUP('Hide - Control'!A$3,'All practice data'!A:CA,C23+4,FALSE)=" "," ",VLOOKUP('Hide - Control'!A$3,'All practice data'!A:CA,C23+4,FALSE))</f>
        <v>224</v>
      </c>
      <c r="H23" s="216">
        <f>IF(VLOOKUP('Hide - Control'!A$3,'All practice data'!A:CA,C23+30,FALSE)=" "," ",VLOOKUP('Hide - Control'!A$3,'All practice data'!A:CA,C23+30,FALSE))</f>
        <v>1468.8524590163934</v>
      </c>
      <c r="I23" s="215">
        <f>IF(LEFT(G23,1)=" "," n/a",IF(G23&lt;5,100000*VLOOKUP(G23,'Hide - Calculation'!AQ:AR,2,FALSE)/$E$8,100000*(G23*(1-1/(9*G23)-1.96/(3*SQRT(G23)))^3)/$E$8))</f>
        <v>1282.7711336497634</v>
      </c>
      <c r="J23" s="215">
        <f>IF(LEFT(G23,1)=" "," n/a",IF(G23&lt;5,100000*VLOOKUP(G23,'Hide - Calculation'!AQ:AS,3,FALSE)/$E$8,100000*((G23+1)*(1-1/(9*(G23+1))+1.96/(3*SQRT(G23+1)))^3)/$E$8))</f>
        <v>1674.336352782509</v>
      </c>
      <c r="K23" s="216">
        <f>IF('Hide - Calculation'!N17="","",'Hide - Calculation'!N17)</f>
        <v>2098.0277640504964</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6055.900390625</v>
      </c>
      <c r="AB23" s="233" t="s">
        <v>26</v>
      </c>
      <c r="AC23" s="175" t="s">
        <v>526</v>
      </c>
    </row>
    <row r="24" spans="2:29" s="63" customFormat="1" ht="33.75" customHeight="1">
      <c r="B24" s="306"/>
      <c r="C24" s="137">
        <v>12</v>
      </c>
      <c r="D24" s="147" t="s">
        <v>512</v>
      </c>
      <c r="E24" s="85"/>
      <c r="F24" s="85"/>
      <c r="G24" s="118">
        <f>IF(VLOOKUP('Hide - Control'!A$3,'All practice data'!A:CA,C24+4,FALSE)=" "," ",VLOOKUP('Hide - Control'!A$3,'All practice data'!A:CA,C24+4,FALSE))</f>
        <v>224</v>
      </c>
      <c r="H24" s="119">
        <f>IF(VLOOKUP('Hide - Control'!A$3,'All practice data'!A:CA,C24+30,FALSE)=" "," ",VLOOKUP('Hide - Control'!A$3,'All practice data'!A:CA,C24+30,FALSE))</f>
        <v>1.254353333</v>
      </c>
      <c r="I24" s="212">
        <f>IF(LEFT(VLOOKUP('Hide - Control'!A$3,'All practice data'!A:CA,C24+44,FALSE),1)=" "," n/a",VLOOKUP('Hide - Control'!A$3,'All practice data'!A:CA,C24+44,FALSE))</f>
        <v>1.0954551700000001</v>
      </c>
      <c r="J24" s="212">
        <f>IF(LEFT(VLOOKUP('Hide - Control'!A$3,'All practice data'!A:CA,C24+45,FALSE),1)=" "," n/a",VLOOKUP('Hide - Control'!A$3,'All practice data'!A:CA,C24+45,FALSE))</f>
        <v>1.429822083</v>
      </c>
      <c r="K24" s="152" t="s">
        <v>595</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2.678666353225708</v>
      </c>
      <c r="AB24" s="234" t="s">
        <v>26</v>
      </c>
      <c r="AC24" s="131" t="s">
        <v>526</v>
      </c>
    </row>
    <row r="25" spans="2:29" s="63" customFormat="1" ht="33.75" customHeight="1">
      <c r="B25" s="306"/>
      <c r="C25" s="137">
        <v>13</v>
      </c>
      <c r="D25" s="147" t="s">
        <v>351</v>
      </c>
      <c r="E25" s="85"/>
      <c r="F25" s="85"/>
      <c r="G25" s="118">
        <f>IF(VLOOKUP('Hide - Control'!A$3,'All practice data'!A:CA,C25+4,FALSE)=" "," ",VLOOKUP('Hide - Control'!A$3,'All practice data'!A:CA,C25+4,FALSE))</f>
        <v>14</v>
      </c>
      <c r="H25" s="119">
        <f>IF(VLOOKUP('Hide - Control'!A$3,'All practice data'!A:CA,C25+30,FALSE)=" "," ",VLOOKUP('Hide - Control'!A$3,'All practice data'!A:CA,C25+30,FALSE))</f>
        <v>0.0625</v>
      </c>
      <c r="I25" s="120">
        <f>IF(LEFT(G25,1)=" "," n/a",IF(G25=0," n/a",+((2*G25+1.96^2-1.96*SQRT(1.96^2+4*G25*(1-G25/G23)))/(2*(G23+1.96^2)))))</f>
        <v>0.037591106720875164</v>
      </c>
      <c r="J25" s="120">
        <f>IF(LEFT(G25,1)=" "," n/a",IF(G25=0," n/a",+((2*G25+1.96^2+1.96*SQRT(1.96^2+4*G25*(1-G25/G23)))/(2*(G23+1.96^2)))))</f>
        <v>0.10216212534912435</v>
      </c>
      <c r="K25" s="125">
        <f>IF('Hide - Calculation'!N19="","",'Hide - Calculation'!N19)</f>
        <v>0.08190578158458243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0.18644067645072937</v>
      </c>
      <c r="AB25" s="234" t="s">
        <v>26</v>
      </c>
      <c r="AC25" s="131" t="s">
        <v>526</v>
      </c>
    </row>
    <row r="26" spans="2:29" s="63" customFormat="1" ht="33.75" customHeight="1">
      <c r="B26" s="306"/>
      <c r="C26" s="137">
        <v>14</v>
      </c>
      <c r="D26" s="147" t="s">
        <v>495</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0.45161290322580644</v>
      </c>
      <c r="I26" s="120">
        <f>IF(OR(LEFT(G26,1)=" ",LEFT(G25,1)=" ")," n/a",IF(G26=0," n/a",+((2*G25+1.96^2-1.96*SQRT(1.96^2+4*G25*(1-G25/G26)))/(2*(G26+1.96^2)))))</f>
        <v>0.2916148283658611</v>
      </c>
      <c r="J26" s="120">
        <f>IF(OR(LEFT(G26,1)=" ",LEFT(G25,1)=" ")," n/a",IF(G26=0," n/a",+((2*G25+1.96^2+1.96*SQRT(1.96^2+4*G25*(1-G25/G26)))/(2*(G26+1.96^2)))))</f>
        <v>0.6222812039633087</v>
      </c>
      <c r="K26" s="125">
        <f>IF('Hide - Calculation'!N20="","",'Hide - Calculation'!N20)</f>
        <v>0.4751552795031056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526</v>
      </c>
    </row>
    <row r="27" spans="2:29" s="63" customFormat="1" ht="33.75" customHeight="1">
      <c r="B27" s="306"/>
      <c r="C27" s="137">
        <v>15</v>
      </c>
      <c r="D27" s="147" t="s">
        <v>482</v>
      </c>
      <c r="E27" s="85"/>
      <c r="F27" s="85"/>
      <c r="G27" s="121">
        <f>IF(VLOOKUP('Hide - Control'!A$3,'All practice data'!A:CA,C27+4,FALSE)=" "," ",VLOOKUP('Hide - Control'!A$3,'All practice data'!A:CA,C27+4,FALSE))</f>
        <v>27</v>
      </c>
      <c r="H27" s="122">
        <f>IF(VLOOKUP('Hide - Control'!A$3,'All practice data'!A:CA,C27+30,FALSE)=" "," ",VLOOKUP('Hide - Control'!A$3,'All practice data'!A:CA,C27+30,FALSE))</f>
        <v>177.04918032786884</v>
      </c>
      <c r="I27" s="123">
        <f>IF(LEFT(G27,1)=" "," n/a",IF(G27&lt;5,100000*VLOOKUP(G27,'Hide - Calculation'!AQ:AR,2,FALSE)/$E$8,100000*(G27*(1-1/(9*G27)-1.96/(3*SQRT(G27)))^3)/$E$8))</f>
        <v>116.6480181906667</v>
      </c>
      <c r="J27" s="123">
        <f>IF(LEFT(G27,1)=" "," n/a",IF(G27&lt;5,100000*VLOOKUP(G27,'Hide - Calculation'!AQ:AS,3,FALSE)/$E$8,100000*((G27+1)*(1-1/(9*(G27+1))+1.96/(3*SQRT(G27+1)))^3)/$E$8))</f>
        <v>257.60877057559634</v>
      </c>
      <c r="K27" s="122">
        <f>IF('Hide - Calculation'!N21="","",'Hide - Calculation'!N21)</f>
        <v>441.39449211554876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1224.9827880859375</v>
      </c>
      <c r="AB27" s="234" t="s">
        <v>26</v>
      </c>
      <c r="AC27" s="131" t="s">
        <v>526</v>
      </c>
    </row>
    <row r="28" spans="2:29" s="63" customFormat="1" ht="33.75" customHeight="1">
      <c r="B28" s="306"/>
      <c r="C28" s="137">
        <v>16</v>
      </c>
      <c r="D28" s="147" t="s">
        <v>483</v>
      </c>
      <c r="E28" s="85"/>
      <c r="F28" s="85"/>
      <c r="G28" s="121">
        <f>IF(VLOOKUP('Hide - Control'!A$3,'All practice data'!A:CA,C28+4,FALSE)=" "," ",VLOOKUP('Hide - Control'!A$3,'All practice data'!A:CA,C28+4,FALSE))</f>
        <v>30</v>
      </c>
      <c r="H28" s="122">
        <f>IF(VLOOKUP('Hide - Control'!A$3,'All practice data'!A:CA,C28+30,FALSE)=" "," ",VLOOKUP('Hide - Control'!A$3,'All practice data'!A:CA,C28+30,FALSE))</f>
        <v>196.72131147540983</v>
      </c>
      <c r="I28" s="123">
        <f>IF(LEFT(G28,1)=" "," n/a",IF(G28&lt;5,100000*VLOOKUP(G28,'Hide - Calculation'!AQ:AR,2,FALSE)/$E$8,100000*(G28*(1-1/(9*G28)-1.96/(3*SQRT(G28)))^3)/$E$8))</f>
        <v>132.70024502160538</v>
      </c>
      <c r="J28" s="123">
        <f>IF(LEFT(G28,1)=" "," n/a",IF(G28&lt;5,100000*VLOOKUP(G28,'Hide - Calculation'!AQ:AS,3,FALSE)/$E$8,100000*((G28+1)*(1-1/(9*(G28+1))+1.96/(3*SQRT(G28+1)))^3)/$E$8))</f>
        <v>280.84341432673284</v>
      </c>
      <c r="K28" s="122">
        <f>IF('Hide - Calculation'!N22="","",'Hide - Calculation'!N22)</f>
        <v>322.06073947616693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1104.2098388671875</v>
      </c>
      <c r="AB28" s="234" t="s">
        <v>26</v>
      </c>
      <c r="AC28" s="131" t="s">
        <v>526</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73.84653398625275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301.07525634765625</v>
      </c>
      <c r="AB29" s="234" t="s">
        <v>26</v>
      </c>
      <c r="AC29" s="131" t="s">
        <v>526</v>
      </c>
    </row>
    <row r="30" spans="2:29" s="63" customFormat="1" ht="33.75" customHeight="1" thickBot="1">
      <c r="B30" s="309"/>
      <c r="C30" s="180">
        <v>18</v>
      </c>
      <c r="D30" s="181" t="s">
        <v>485</v>
      </c>
      <c r="E30" s="182"/>
      <c r="F30" s="182"/>
      <c r="G30" s="183">
        <f>IF(VLOOKUP('Hide - Control'!A$3,'All practice data'!A:CA,C30+4,FALSE)=" "," ",VLOOKUP('Hide - Control'!A$3,'All practice data'!A:CA,C30+4,FALSE))</f>
        <v>51</v>
      </c>
      <c r="H30" s="184">
        <f>IF(VLOOKUP('Hide - Control'!A$3,'All practice data'!A:CA,C30+30,FALSE)=" "," ",VLOOKUP('Hide - Control'!A$3,'All practice data'!A:CA,C30+30,FALSE))</f>
        <v>334.42622950819674</v>
      </c>
      <c r="I30" s="185">
        <f>IF(LEFT(G30,1)=" "," n/a",IF(G30&lt;5,100000*VLOOKUP(G30,'Hide - Calculation'!AQ:AR,2,FALSE)/$E$8,100000*(G30*(1-1/(9*G30)-1.96/(3*SQRT(G30)))^3)/$E$8))</f>
        <v>248.98235951441478</v>
      </c>
      <c r="J30" s="185">
        <f>IF(LEFT(G30,1)=" "," n/a",IF(G30&lt;5,100000*VLOOKUP(G30,'Hide - Calculation'!AQ:AS,3,FALSE)/$E$8,100000*((G30+1)*(1-1/(9*(G30+1))+1.96/(3*SQRT(G30+1)))^3)/$E$8))</f>
        <v>439.71982262755114</v>
      </c>
      <c r="K30" s="184">
        <f>IF('Hide - Calculation'!N24="","",'Hide - Calculation'!N24)</f>
        <v>359.68596972011323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2181.2080078125</v>
      </c>
      <c r="AB30" s="235" t="s">
        <v>26</v>
      </c>
      <c r="AC30" s="189" t="s">
        <v>526</v>
      </c>
    </row>
    <row r="31" spans="2:29" s="63" customFormat="1" ht="33.75" customHeight="1">
      <c r="B31" s="304" t="s">
        <v>353</v>
      </c>
      <c r="C31" s="163">
        <v>19</v>
      </c>
      <c r="D31" s="164" t="s">
        <v>357</v>
      </c>
      <c r="E31" s="165"/>
      <c r="F31" s="165"/>
      <c r="G31" s="166">
        <f>IF(VLOOKUP('Hide - Control'!A$3,'All practice data'!A:CA,C31+4,FALSE)=" "," ",VLOOKUP('Hide - Control'!A$3,'All practice data'!A:CA,C31+4,FALSE))</f>
        <v>59</v>
      </c>
      <c r="H31" s="167">
        <f>IF(VLOOKUP('Hide - Control'!A$3,'All practice data'!A:CA,C31+30,FALSE)=" "," ",VLOOKUP('Hide - Control'!A$3,'All practice data'!A:CA,C31+30,FALSE))</f>
        <v>386.88524590163934</v>
      </c>
      <c r="I31" s="168">
        <f>IF(LEFT(G31,1)=" "," n/a",IF(G31&lt;5,100000*VLOOKUP(G31,'Hide - Calculation'!AQ:AR,2,FALSE)/$E$8,100000*(G31*(1-1/(9*G31)-1.96/(3*SQRT(G31)))^3)/$E$8))</f>
        <v>294.49649338976195</v>
      </c>
      <c r="J31" s="168">
        <f>IF(LEFT(G31,1)=" "," n/a",IF(G31&lt;5,100000*VLOOKUP(G31,'Hide - Calculation'!AQ:AS,3,FALSE)/$E$8,100000*((G31+1)*(1-1/(9*(G31+1))+1.96/(3*SQRT(G31+1)))^3)/$E$8))</f>
        <v>499.0646854329278</v>
      </c>
      <c r="K31" s="167">
        <f>IF('Hide - Calculation'!N25="","",'Hide - Calculation'!N25)</f>
        <v>677.2541443910328</v>
      </c>
      <c r="L31" s="169">
        <f>'Hide - Calculation'!O25</f>
        <v>562.6134400960308</v>
      </c>
      <c r="M31" s="170">
        <f>IF(ISBLANK('Hide - Calculation'!K25),"",'Hide - Calculation'!U25)</f>
        <v>154.40040588378906</v>
      </c>
      <c r="N31" s="171"/>
      <c r="O31" s="172"/>
      <c r="P31" s="172"/>
      <c r="Q31" s="172"/>
      <c r="R31" s="173"/>
      <c r="S31" s="173"/>
      <c r="T31" s="173"/>
      <c r="U31" s="173"/>
      <c r="V31" s="173"/>
      <c r="W31" s="173"/>
      <c r="X31" s="173"/>
      <c r="Y31" s="173"/>
      <c r="Z31" s="174"/>
      <c r="AA31" s="170">
        <f>IF(ISBLANK('Hide - Calculation'!K25),"",'Hide - Calculation'!T25)</f>
        <v>1449.275390625</v>
      </c>
      <c r="AB31" s="233" t="s">
        <v>47</v>
      </c>
      <c r="AC31" s="175" t="s">
        <v>526</v>
      </c>
    </row>
    <row r="32" spans="2:29" s="63" customFormat="1" ht="33.75" customHeight="1">
      <c r="B32" s="305"/>
      <c r="C32" s="137">
        <v>20</v>
      </c>
      <c r="D32" s="132" t="s">
        <v>358</v>
      </c>
      <c r="E32" s="85"/>
      <c r="F32" s="85"/>
      <c r="G32" s="121">
        <f>IF(VLOOKUP('Hide - Control'!A$3,'All practice data'!A:CA,C32+4,FALSE)=" "," ",VLOOKUP('Hide - Control'!A$3,'All practice data'!A:CA,C32+4,FALSE))</f>
        <v>37</v>
      </c>
      <c r="H32" s="122">
        <f>IF(VLOOKUP('Hide - Control'!A$3,'All practice data'!A:CA,C32+30,FALSE)=" "," ",VLOOKUP('Hide - Control'!A$3,'All practice data'!A:CA,C32+30,FALSE))</f>
        <v>242.62295081967213</v>
      </c>
      <c r="I32" s="123">
        <f>IF(LEFT(G32,1)=" "," n/a",IF(G32&lt;5,100000*VLOOKUP(G32,'Hide - Calculation'!AQ:AR,2,FALSE)/$E$8,100000*(G32*(1-1/(9*G32)-1.96/(3*SQRT(G32)))^3)/$E$8))</f>
        <v>170.80518784187777</v>
      </c>
      <c r="J32" s="123">
        <f>IF(LEFT(G32,1)=" "," n/a",IF(G32&lt;5,100000*VLOOKUP(G32,'Hide - Calculation'!AQ:AS,3,FALSE)/$E$8,100000*((G32+1)*(1-1/(9*(G32+1))+1.96/(3*SQRT(G32+1)))^3)/$E$8))</f>
        <v>334.4351916524001</v>
      </c>
      <c r="K32" s="122">
        <f>IF('Hide - Calculation'!N26="","",'Hide - Calculation'!N26)</f>
        <v>374.006020036839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1122.3751220703125</v>
      </c>
      <c r="AB32" s="234" t="s">
        <v>47</v>
      </c>
      <c r="AC32" s="131" t="s">
        <v>526</v>
      </c>
    </row>
    <row r="33" spans="2:29" s="63" customFormat="1" ht="33.75" customHeight="1">
      <c r="B33" s="305"/>
      <c r="C33" s="137">
        <v>21</v>
      </c>
      <c r="D33" s="132" t="s">
        <v>360</v>
      </c>
      <c r="E33" s="85"/>
      <c r="F33" s="85"/>
      <c r="G33" s="121">
        <f>IF(VLOOKUP('Hide - Control'!A$3,'All practice data'!A:CA,C33+4,FALSE)=" "," ",VLOOKUP('Hide - Control'!A$3,'All practice data'!A:CA,C33+4,FALSE))</f>
        <v>96</v>
      </c>
      <c r="H33" s="122">
        <f>IF(VLOOKUP('Hide - Control'!A$3,'All practice data'!A:CA,C33+30,FALSE)=" "," ",VLOOKUP('Hide - Control'!A$3,'All practice data'!A:CA,C33+30,FALSE))</f>
        <v>629.5081967213115</v>
      </c>
      <c r="I33" s="123">
        <f>IF(LEFT(G33,1)=" "," n/a",IF(G33&lt;5,100000*VLOOKUP(G33,'Hide - Calculation'!AQ:AR,2,FALSE)/$E$8,100000*(G33*(1-1/(9*G33)-1.96/(3*SQRT(G33)))^3)/$E$8))</f>
        <v>509.88898180054457</v>
      </c>
      <c r="J33" s="123">
        <f>IF(LEFT(G33,1)=" "," n/a",IF(G33&lt;5,100000*VLOOKUP(G33,'Hide - Calculation'!AQ:AS,3,FALSE)/$E$8,100000*((G33+1)*(1-1/(9*(G33+1))+1.96/(3*SQRT(G33+1)))^3)/$E$8))</f>
        <v>768.7474927565762</v>
      </c>
      <c r="K33" s="122">
        <f>IF('Hide - Calculation'!N27="","",'Hide - Calculation'!N27)</f>
        <v>1113.3137158003503</v>
      </c>
      <c r="L33" s="156">
        <f>'Hide - Calculation'!O27</f>
        <v>1059.3522061277838</v>
      </c>
      <c r="M33" s="148">
        <f>IF(ISBLANK('Hide - Calculation'!K27),"",'Hide - Calculation'!U27)</f>
        <v>411.73443603515625</v>
      </c>
      <c r="N33" s="86"/>
      <c r="O33" s="87"/>
      <c r="P33" s="87"/>
      <c r="Q33" s="87"/>
      <c r="R33" s="84"/>
      <c r="S33" s="84"/>
      <c r="T33" s="84"/>
      <c r="U33" s="84"/>
      <c r="V33" s="84"/>
      <c r="W33" s="84"/>
      <c r="X33" s="84"/>
      <c r="Y33" s="84"/>
      <c r="Z33" s="88"/>
      <c r="AA33" s="148">
        <f>IF(ISBLANK('Hide - Calculation'!K27),"",'Hide - Calculation'!T27)</f>
        <v>1984.126953125</v>
      </c>
      <c r="AB33" s="234" t="s">
        <v>47</v>
      </c>
      <c r="AC33" s="131" t="s">
        <v>526</v>
      </c>
    </row>
    <row r="34" spans="2:29" s="63" customFormat="1" ht="33.75" customHeight="1">
      <c r="B34" s="305"/>
      <c r="C34" s="137">
        <v>22</v>
      </c>
      <c r="D34" s="132" t="s">
        <v>359</v>
      </c>
      <c r="E34" s="85"/>
      <c r="F34" s="85"/>
      <c r="G34" s="118">
        <f>IF(VLOOKUP('Hide - Control'!A$3,'All practice data'!A:CA,C34+4,FALSE)=" "," ",VLOOKUP('Hide - Control'!A$3,'All practice data'!A:CA,C34+4,FALSE))</f>
        <v>47</v>
      </c>
      <c r="H34" s="122">
        <f>IF(VLOOKUP('Hide - Control'!A$3,'All practice data'!A:CA,C34+30,FALSE)=" "," ",VLOOKUP('Hide - Control'!A$3,'All practice data'!A:CA,C34+30,FALSE))</f>
        <v>308.1967213114754</v>
      </c>
      <c r="I34" s="123">
        <f>IF(LEFT(G34,1)=" "," n/a",IF(G34&lt;5,100000*VLOOKUP(G34,'Hide - Calculation'!AQ:AR,2,FALSE)/$E$8,100000*(G34*(1-1/(9*G34)-1.96/(3*SQRT(G34)))^3)/$E$8))</f>
        <v>226.4305358043574</v>
      </c>
      <c r="J34" s="123">
        <f>IF(LEFT(G34,1)=" "," n/a",IF(G34&lt;5,100000*VLOOKUP(G34,'Hide - Calculation'!AQ:AS,3,FALSE)/$E$8,100000*((G34+1)*(1-1/(9*(G34+1))+1.96/(3*SQRT(G34+1)))^3)/$E$8))</f>
        <v>409.84749206641015</v>
      </c>
      <c r="K34" s="122">
        <f>IF('Hide - Calculation'!N28="","",'Hide - Calculation'!N28)</f>
        <v>584.314209982479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1216.4429931640625</v>
      </c>
      <c r="AB34" s="234" t="s">
        <v>47</v>
      </c>
      <c r="AC34" s="131" t="s">
        <v>526</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594</v>
      </c>
      <c r="C39" s="244"/>
      <c r="D39" s="244"/>
      <c r="E39" s="303" t="s">
        <v>598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286</v>
      </c>
      <c r="C4" s="79" t="s">
        <v>159</v>
      </c>
      <c r="D4" s="99">
        <v>15250</v>
      </c>
      <c r="E4" s="99">
        <v>1279</v>
      </c>
      <c r="F4" s="99" t="s">
        <v>367</v>
      </c>
      <c r="G4" s="99">
        <v>24</v>
      </c>
      <c r="H4" s="99">
        <v>25</v>
      </c>
      <c r="I4" s="99">
        <v>128</v>
      </c>
      <c r="J4" s="99">
        <v>689</v>
      </c>
      <c r="K4" s="99" t="s">
        <v>597</v>
      </c>
      <c r="L4" s="99">
        <v>1681</v>
      </c>
      <c r="M4" s="99">
        <v>481</v>
      </c>
      <c r="N4" s="99">
        <v>274</v>
      </c>
      <c r="O4" s="99">
        <v>224</v>
      </c>
      <c r="P4" s="159">
        <v>224</v>
      </c>
      <c r="Q4" s="99">
        <v>14</v>
      </c>
      <c r="R4" s="99">
        <v>31</v>
      </c>
      <c r="S4" s="99">
        <v>27</v>
      </c>
      <c r="T4" s="99">
        <v>30</v>
      </c>
      <c r="U4" s="99" t="s">
        <v>597</v>
      </c>
      <c r="V4" s="99">
        <v>51</v>
      </c>
      <c r="W4" s="99">
        <v>59</v>
      </c>
      <c r="X4" s="99">
        <v>37</v>
      </c>
      <c r="Y4" s="99">
        <v>96</v>
      </c>
      <c r="Z4" s="99">
        <v>47</v>
      </c>
      <c r="AA4" s="99" t="s">
        <v>597</v>
      </c>
      <c r="AB4" s="99" t="s">
        <v>597</v>
      </c>
      <c r="AC4" s="99" t="s">
        <v>597</v>
      </c>
      <c r="AD4" s="98" t="s">
        <v>343</v>
      </c>
      <c r="AE4" s="100">
        <v>0.08386885245901639</v>
      </c>
      <c r="AF4" s="100">
        <v>0.07</v>
      </c>
      <c r="AG4" s="98">
        <v>157.37704918032787</v>
      </c>
      <c r="AH4" s="98">
        <v>163.9344262295082</v>
      </c>
      <c r="AI4" s="100">
        <v>0.008</v>
      </c>
      <c r="AJ4" s="100">
        <v>0.801163</v>
      </c>
      <c r="AK4" s="100" t="s">
        <v>597</v>
      </c>
      <c r="AL4" s="100">
        <v>0.717456</v>
      </c>
      <c r="AM4" s="100">
        <v>0.652646</v>
      </c>
      <c r="AN4" s="100">
        <v>0.685</v>
      </c>
      <c r="AO4" s="98">
        <v>1468.8524590163934</v>
      </c>
      <c r="AP4" s="158">
        <v>1.254353333</v>
      </c>
      <c r="AQ4" s="100">
        <v>0.0625</v>
      </c>
      <c r="AR4" s="100">
        <v>0.45161290322580644</v>
      </c>
      <c r="AS4" s="98">
        <v>177.04918032786884</v>
      </c>
      <c r="AT4" s="98">
        <v>196.72131147540983</v>
      </c>
      <c r="AU4" s="98" t="s">
        <v>597</v>
      </c>
      <c r="AV4" s="98">
        <v>334.42622950819674</v>
      </c>
      <c r="AW4" s="98">
        <v>386.88524590163934</v>
      </c>
      <c r="AX4" s="98">
        <v>242.62295081967213</v>
      </c>
      <c r="AY4" s="98">
        <v>629.5081967213115</v>
      </c>
      <c r="AZ4" s="98">
        <v>308.1967213114754</v>
      </c>
      <c r="BA4" s="100" t="s">
        <v>597</v>
      </c>
      <c r="BB4" s="100" t="s">
        <v>597</v>
      </c>
      <c r="BC4" s="100" t="s">
        <v>597</v>
      </c>
      <c r="BD4" s="158">
        <v>1.0954551700000001</v>
      </c>
      <c r="BE4" s="158">
        <v>1.429822083</v>
      </c>
      <c r="BF4" s="162">
        <v>860</v>
      </c>
      <c r="BG4" s="162" t="s">
        <v>597</v>
      </c>
      <c r="BH4" s="162">
        <v>2343</v>
      </c>
      <c r="BI4" s="162">
        <v>737</v>
      </c>
      <c r="BJ4" s="162">
        <v>400</v>
      </c>
      <c r="BK4" s="97"/>
      <c r="BL4" s="97"/>
      <c r="BM4" s="97"/>
      <c r="BN4" s="97"/>
    </row>
    <row r="5" spans="1:66" ht="12.75">
      <c r="A5" s="79" t="s">
        <v>564</v>
      </c>
      <c r="B5" s="79" t="s">
        <v>317</v>
      </c>
      <c r="C5" s="79" t="s">
        <v>159</v>
      </c>
      <c r="D5" s="99">
        <v>3786</v>
      </c>
      <c r="E5" s="99">
        <v>941</v>
      </c>
      <c r="F5" s="99" t="s">
        <v>367</v>
      </c>
      <c r="G5" s="99">
        <v>24</v>
      </c>
      <c r="H5" s="99">
        <v>12</v>
      </c>
      <c r="I5" s="99">
        <v>67</v>
      </c>
      <c r="J5" s="99">
        <v>484</v>
      </c>
      <c r="K5" s="99" t="s">
        <v>597</v>
      </c>
      <c r="L5" s="99">
        <v>655</v>
      </c>
      <c r="M5" s="99">
        <v>397</v>
      </c>
      <c r="N5" s="99">
        <v>198</v>
      </c>
      <c r="O5" s="99">
        <v>128</v>
      </c>
      <c r="P5" s="159">
        <v>128</v>
      </c>
      <c r="Q5" s="99">
        <v>9</v>
      </c>
      <c r="R5" s="99">
        <v>16</v>
      </c>
      <c r="S5" s="99">
        <v>22</v>
      </c>
      <c r="T5" s="99">
        <v>24</v>
      </c>
      <c r="U5" s="99">
        <v>6</v>
      </c>
      <c r="V5" s="99">
        <v>30</v>
      </c>
      <c r="W5" s="99">
        <v>35</v>
      </c>
      <c r="X5" s="99">
        <v>18</v>
      </c>
      <c r="Y5" s="99">
        <v>50</v>
      </c>
      <c r="Z5" s="99">
        <v>33</v>
      </c>
      <c r="AA5" s="99" t="s">
        <v>597</v>
      </c>
      <c r="AB5" s="99" t="s">
        <v>597</v>
      </c>
      <c r="AC5" s="99" t="s">
        <v>597</v>
      </c>
      <c r="AD5" s="98" t="s">
        <v>343</v>
      </c>
      <c r="AE5" s="100">
        <v>0.2485472794506075</v>
      </c>
      <c r="AF5" s="100">
        <v>0.08</v>
      </c>
      <c r="AG5" s="98">
        <v>633.9144215530903</v>
      </c>
      <c r="AH5" s="98">
        <v>316.95721077654514</v>
      </c>
      <c r="AI5" s="100">
        <v>0.018000000000000002</v>
      </c>
      <c r="AJ5" s="100">
        <v>0.828767</v>
      </c>
      <c r="AK5" s="100" t="s">
        <v>597</v>
      </c>
      <c r="AL5" s="100">
        <v>0.747717</v>
      </c>
      <c r="AM5" s="100">
        <v>0.682131</v>
      </c>
      <c r="AN5" s="100">
        <v>0.699647</v>
      </c>
      <c r="AO5" s="98">
        <v>3380.8769149498153</v>
      </c>
      <c r="AP5" s="158">
        <v>1.4737278749999998</v>
      </c>
      <c r="AQ5" s="100">
        <v>0.0703125</v>
      </c>
      <c r="AR5" s="100">
        <v>0.5625</v>
      </c>
      <c r="AS5" s="98">
        <v>581.0882197569995</v>
      </c>
      <c r="AT5" s="98">
        <v>633.9144215530903</v>
      </c>
      <c r="AU5" s="98">
        <v>158.47860538827257</v>
      </c>
      <c r="AV5" s="98">
        <v>792.3930269413629</v>
      </c>
      <c r="AW5" s="98">
        <v>924.45853143159</v>
      </c>
      <c r="AX5" s="98">
        <v>475.43581616481777</v>
      </c>
      <c r="AY5" s="98">
        <v>1320.6550449022716</v>
      </c>
      <c r="AZ5" s="98">
        <v>871.6323296354992</v>
      </c>
      <c r="BA5" s="100" t="s">
        <v>597</v>
      </c>
      <c r="BB5" s="100" t="s">
        <v>597</v>
      </c>
      <c r="BC5" s="100" t="s">
        <v>597</v>
      </c>
      <c r="BD5" s="158">
        <v>1.229495926</v>
      </c>
      <c r="BE5" s="158">
        <v>1.7522673030000002</v>
      </c>
      <c r="BF5" s="162">
        <v>584</v>
      </c>
      <c r="BG5" s="162" t="s">
        <v>597</v>
      </c>
      <c r="BH5" s="162">
        <v>876</v>
      </c>
      <c r="BI5" s="162">
        <v>582</v>
      </c>
      <c r="BJ5" s="162">
        <v>283</v>
      </c>
      <c r="BK5" s="97"/>
      <c r="BL5" s="97"/>
      <c r="BM5" s="97"/>
      <c r="BN5" s="97"/>
    </row>
    <row r="6" spans="1:66" ht="12.75">
      <c r="A6" s="79" t="s">
        <v>552</v>
      </c>
      <c r="B6" s="79" t="s">
        <v>305</v>
      </c>
      <c r="C6" s="79" t="s">
        <v>159</v>
      </c>
      <c r="D6" s="99">
        <v>6229</v>
      </c>
      <c r="E6" s="99">
        <v>868</v>
      </c>
      <c r="F6" s="99" t="s">
        <v>366</v>
      </c>
      <c r="G6" s="99">
        <v>21</v>
      </c>
      <c r="H6" s="99">
        <v>9</v>
      </c>
      <c r="I6" s="99">
        <v>100</v>
      </c>
      <c r="J6" s="99">
        <v>494</v>
      </c>
      <c r="K6" s="99" t="s">
        <v>597</v>
      </c>
      <c r="L6" s="99">
        <v>1193</v>
      </c>
      <c r="M6" s="99">
        <v>310</v>
      </c>
      <c r="N6" s="99">
        <v>168</v>
      </c>
      <c r="O6" s="99">
        <v>115</v>
      </c>
      <c r="P6" s="159">
        <v>115</v>
      </c>
      <c r="Q6" s="99">
        <v>10</v>
      </c>
      <c r="R6" s="99">
        <v>20</v>
      </c>
      <c r="S6" s="99">
        <v>31</v>
      </c>
      <c r="T6" s="99">
        <v>17</v>
      </c>
      <c r="U6" s="99">
        <v>6</v>
      </c>
      <c r="V6" s="99">
        <v>17</v>
      </c>
      <c r="W6" s="99">
        <v>47</v>
      </c>
      <c r="X6" s="99">
        <v>25</v>
      </c>
      <c r="Y6" s="99">
        <v>59</v>
      </c>
      <c r="Z6" s="99">
        <v>36</v>
      </c>
      <c r="AA6" s="99" t="s">
        <v>597</v>
      </c>
      <c r="AB6" s="99" t="s">
        <v>597</v>
      </c>
      <c r="AC6" s="99" t="s">
        <v>597</v>
      </c>
      <c r="AD6" s="98" t="s">
        <v>343</v>
      </c>
      <c r="AE6" s="100">
        <v>0.13934820998555145</v>
      </c>
      <c r="AF6" s="100">
        <v>0.16</v>
      </c>
      <c r="AG6" s="98">
        <v>337.1327660940761</v>
      </c>
      <c r="AH6" s="98">
        <v>144.48547118317546</v>
      </c>
      <c r="AI6" s="100">
        <v>0.016</v>
      </c>
      <c r="AJ6" s="100">
        <v>0.707736</v>
      </c>
      <c r="AK6" s="100" t="s">
        <v>597</v>
      </c>
      <c r="AL6" s="100">
        <v>0.741454</v>
      </c>
      <c r="AM6" s="100">
        <v>0.564663</v>
      </c>
      <c r="AN6" s="100">
        <v>0.581315</v>
      </c>
      <c r="AO6" s="98">
        <v>1846.203242896131</v>
      </c>
      <c r="AP6" s="158">
        <v>1.072747192</v>
      </c>
      <c r="AQ6" s="100">
        <v>0.08695652173913043</v>
      </c>
      <c r="AR6" s="100">
        <v>0.5</v>
      </c>
      <c r="AS6" s="98">
        <v>497.6721785198266</v>
      </c>
      <c r="AT6" s="98">
        <v>272.9170011237759</v>
      </c>
      <c r="AU6" s="98">
        <v>96.32364745545031</v>
      </c>
      <c r="AV6" s="98">
        <v>272.9170011237759</v>
      </c>
      <c r="AW6" s="98">
        <v>754.5352384010274</v>
      </c>
      <c r="AX6" s="98">
        <v>401.3485310643763</v>
      </c>
      <c r="AY6" s="98">
        <v>947.1825333119281</v>
      </c>
      <c r="AZ6" s="98">
        <v>577.9418847327019</v>
      </c>
      <c r="BA6" s="100" t="s">
        <v>597</v>
      </c>
      <c r="BB6" s="100" t="s">
        <v>597</v>
      </c>
      <c r="BC6" s="100" t="s">
        <v>597</v>
      </c>
      <c r="BD6" s="158">
        <v>0.8856628418</v>
      </c>
      <c r="BE6" s="158">
        <v>1.287670593</v>
      </c>
      <c r="BF6" s="162">
        <v>698</v>
      </c>
      <c r="BG6" s="162" t="s">
        <v>597</v>
      </c>
      <c r="BH6" s="162">
        <v>1609</v>
      </c>
      <c r="BI6" s="162">
        <v>549</v>
      </c>
      <c r="BJ6" s="162">
        <v>289</v>
      </c>
      <c r="BK6" s="97"/>
      <c r="BL6" s="97"/>
      <c r="BM6" s="97"/>
      <c r="BN6" s="97"/>
    </row>
    <row r="7" spans="1:66" ht="12.75">
      <c r="A7" s="79" t="s">
        <v>585</v>
      </c>
      <c r="B7" s="79" t="s">
        <v>338</v>
      </c>
      <c r="C7" s="79" t="s">
        <v>159</v>
      </c>
      <c r="D7" s="99">
        <v>1458</v>
      </c>
      <c r="E7" s="99">
        <v>214</v>
      </c>
      <c r="F7" s="99" t="s">
        <v>364</v>
      </c>
      <c r="G7" s="99">
        <v>6</v>
      </c>
      <c r="H7" s="99">
        <v>8</v>
      </c>
      <c r="I7" s="99">
        <v>15</v>
      </c>
      <c r="J7" s="99">
        <v>70</v>
      </c>
      <c r="K7" s="99">
        <v>68</v>
      </c>
      <c r="L7" s="99">
        <v>232</v>
      </c>
      <c r="M7" s="99">
        <v>45</v>
      </c>
      <c r="N7" s="99">
        <v>22</v>
      </c>
      <c r="O7" s="99">
        <v>14</v>
      </c>
      <c r="P7" s="159">
        <v>14</v>
      </c>
      <c r="Q7" s="99" t="s">
        <v>597</v>
      </c>
      <c r="R7" s="99">
        <v>12</v>
      </c>
      <c r="S7" s="99" t="s">
        <v>597</v>
      </c>
      <c r="T7" s="99" t="s">
        <v>597</v>
      </c>
      <c r="U7" s="99" t="s">
        <v>597</v>
      </c>
      <c r="V7" s="99" t="s">
        <v>597</v>
      </c>
      <c r="W7" s="99" t="s">
        <v>597</v>
      </c>
      <c r="X7" s="99" t="s">
        <v>597</v>
      </c>
      <c r="Y7" s="99">
        <v>16</v>
      </c>
      <c r="Z7" s="99">
        <v>14</v>
      </c>
      <c r="AA7" s="99" t="s">
        <v>597</v>
      </c>
      <c r="AB7" s="99" t="s">
        <v>597</v>
      </c>
      <c r="AC7" s="99" t="s">
        <v>597</v>
      </c>
      <c r="AD7" s="98" t="s">
        <v>343</v>
      </c>
      <c r="AE7" s="100">
        <v>0.1467764060356653</v>
      </c>
      <c r="AF7" s="100">
        <v>0.32</v>
      </c>
      <c r="AG7" s="98">
        <v>411.52263374485597</v>
      </c>
      <c r="AH7" s="98">
        <v>548.6968449931413</v>
      </c>
      <c r="AI7" s="100">
        <v>0.01</v>
      </c>
      <c r="AJ7" s="100">
        <v>0.625</v>
      </c>
      <c r="AK7" s="100">
        <v>0.612613</v>
      </c>
      <c r="AL7" s="100">
        <v>0.72956</v>
      </c>
      <c r="AM7" s="100">
        <v>0.505618</v>
      </c>
      <c r="AN7" s="100">
        <v>0.468085</v>
      </c>
      <c r="AO7" s="98">
        <v>960.2194787379973</v>
      </c>
      <c r="AP7" s="158">
        <v>0.6196884918</v>
      </c>
      <c r="AQ7" s="100" t="s">
        <v>597</v>
      </c>
      <c r="AR7" s="100" t="s">
        <v>597</v>
      </c>
      <c r="AS7" s="98" t="s">
        <v>597</v>
      </c>
      <c r="AT7" s="98" t="s">
        <v>597</v>
      </c>
      <c r="AU7" s="98" t="s">
        <v>597</v>
      </c>
      <c r="AV7" s="98" t="s">
        <v>597</v>
      </c>
      <c r="AW7" s="98" t="s">
        <v>597</v>
      </c>
      <c r="AX7" s="98" t="s">
        <v>597</v>
      </c>
      <c r="AY7" s="98">
        <v>1097.3936899862827</v>
      </c>
      <c r="AZ7" s="98">
        <v>960.2194787379973</v>
      </c>
      <c r="BA7" s="100" t="s">
        <v>597</v>
      </c>
      <c r="BB7" s="100" t="s">
        <v>597</v>
      </c>
      <c r="BC7" s="100" t="s">
        <v>597</v>
      </c>
      <c r="BD7" s="158">
        <v>0.338789444</v>
      </c>
      <c r="BE7" s="158">
        <v>1.039731979</v>
      </c>
      <c r="BF7" s="162">
        <v>112</v>
      </c>
      <c r="BG7" s="162">
        <v>111</v>
      </c>
      <c r="BH7" s="162">
        <v>318</v>
      </c>
      <c r="BI7" s="162">
        <v>89</v>
      </c>
      <c r="BJ7" s="162">
        <v>47</v>
      </c>
      <c r="BK7" s="97"/>
      <c r="BL7" s="97"/>
      <c r="BM7" s="97"/>
      <c r="BN7" s="97"/>
    </row>
    <row r="8" spans="1:66" ht="12.75">
      <c r="A8" s="79" t="s">
        <v>531</v>
      </c>
      <c r="B8" s="79" t="s">
        <v>284</v>
      </c>
      <c r="C8" s="79" t="s">
        <v>159</v>
      </c>
      <c r="D8" s="99">
        <v>8406</v>
      </c>
      <c r="E8" s="99">
        <v>1477</v>
      </c>
      <c r="F8" s="99" t="s">
        <v>364</v>
      </c>
      <c r="G8" s="99">
        <v>48</v>
      </c>
      <c r="H8" s="99">
        <v>19</v>
      </c>
      <c r="I8" s="99">
        <v>99</v>
      </c>
      <c r="J8" s="99">
        <v>568</v>
      </c>
      <c r="K8" s="99" t="s">
        <v>597</v>
      </c>
      <c r="L8" s="99">
        <v>1251</v>
      </c>
      <c r="M8" s="99">
        <v>409</v>
      </c>
      <c r="N8" s="99">
        <v>240</v>
      </c>
      <c r="O8" s="99">
        <v>150</v>
      </c>
      <c r="P8" s="159">
        <v>150</v>
      </c>
      <c r="Q8" s="99">
        <v>17</v>
      </c>
      <c r="R8" s="99">
        <v>31</v>
      </c>
      <c r="S8" s="99">
        <v>31</v>
      </c>
      <c r="T8" s="99">
        <v>21</v>
      </c>
      <c r="U8" s="99" t="s">
        <v>597</v>
      </c>
      <c r="V8" s="99">
        <v>18</v>
      </c>
      <c r="W8" s="99">
        <v>54</v>
      </c>
      <c r="X8" s="99">
        <v>49</v>
      </c>
      <c r="Y8" s="99">
        <v>117</v>
      </c>
      <c r="Z8" s="99">
        <v>68</v>
      </c>
      <c r="AA8" s="99" t="s">
        <v>597</v>
      </c>
      <c r="AB8" s="99" t="s">
        <v>597</v>
      </c>
      <c r="AC8" s="99" t="s">
        <v>597</v>
      </c>
      <c r="AD8" s="98" t="s">
        <v>343</v>
      </c>
      <c r="AE8" s="100">
        <v>0.17570782774208898</v>
      </c>
      <c r="AF8" s="100">
        <v>0.27</v>
      </c>
      <c r="AG8" s="98">
        <v>571.0206995003568</v>
      </c>
      <c r="AH8" s="98">
        <v>226.02902688555793</v>
      </c>
      <c r="AI8" s="100">
        <v>0.012</v>
      </c>
      <c r="AJ8" s="100">
        <v>0.628319</v>
      </c>
      <c r="AK8" s="100" t="s">
        <v>597</v>
      </c>
      <c r="AL8" s="100">
        <v>0.649196</v>
      </c>
      <c r="AM8" s="100">
        <v>0.53534</v>
      </c>
      <c r="AN8" s="100">
        <v>0.57554</v>
      </c>
      <c r="AO8" s="98">
        <v>1784.4396859386152</v>
      </c>
      <c r="AP8" s="158">
        <v>0.9737070465</v>
      </c>
      <c r="AQ8" s="100">
        <v>0.11333333333333333</v>
      </c>
      <c r="AR8" s="100">
        <v>0.5483870967741935</v>
      </c>
      <c r="AS8" s="98">
        <v>368.78420176064714</v>
      </c>
      <c r="AT8" s="98">
        <v>249.82155603140615</v>
      </c>
      <c r="AU8" s="98" t="s">
        <v>597</v>
      </c>
      <c r="AV8" s="98">
        <v>214.13276231263384</v>
      </c>
      <c r="AW8" s="98">
        <v>642.3982869379015</v>
      </c>
      <c r="AX8" s="98">
        <v>582.916964073281</v>
      </c>
      <c r="AY8" s="98">
        <v>1391.86295503212</v>
      </c>
      <c r="AZ8" s="98">
        <v>808.9459909588389</v>
      </c>
      <c r="BA8" s="100" t="s">
        <v>597</v>
      </c>
      <c r="BB8" s="100" t="s">
        <v>597</v>
      </c>
      <c r="BC8" s="100" t="s">
        <v>597</v>
      </c>
      <c r="BD8" s="158">
        <v>0.8241207885999999</v>
      </c>
      <c r="BE8" s="158">
        <v>1.142594376</v>
      </c>
      <c r="BF8" s="162">
        <v>904</v>
      </c>
      <c r="BG8" s="162" t="s">
        <v>597</v>
      </c>
      <c r="BH8" s="162">
        <v>1927</v>
      </c>
      <c r="BI8" s="162">
        <v>764</v>
      </c>
      <c r="BJ8" s="162">
        <v>417</v>
      </c>
      <c r="BK8" s="97"/>
      <c r="BL8" s="97"/>
      <c r="BM8" s="97"/>
      <c r="BN8" s="97"/>
    </row>
    <row r="9" spans="1:66" ht="12.75">
      <c r="A9" s="79" t="s">
        <v>563</v>
      </c>
      <c r="B9" s="79" t="s">
        <v>316</v>
      </c>
      <c r="C9" s="79" t="s">
        <v>159</v>
      </c>
      <c r="D9" s="99">
        <v>3802</v>
      </c>
      <c r="E9" s="99">
        <v>873</v>
      </c>
      <c r="F9" s="99" t="s">
        <v>366</v>
      </c>
      <c r="G9" s="99">
        <v>17</v>
      </c>
      <c r="H9" s="99">
        <v>8</v>
      </c>
      <c r="I9" s="99">
        <v>64</v>
      </c>
      <c r="J9" s="99">
        <v>429</v>
      </c>
      <c r="K9" s="99">
        <v>415</v>
      </c>
      <c r="L9" s="99">
        <v>653</v>
      </c>
      <c r="M9" s="99">
        <v>339</v>
      </c>
      <c r="N9" s="99">
        <v>180</v>
      </c>
      <c r="O9" s="99">
        <v>88</v>
      </c>
      <c r="P9" s="159">
        <v>88</v>
      </c>
      <c r="Q9" s="99">
        <v>6</v>
      </c>
      <c r="R9" s="99">
        <v>20</v>
      </c>
      <c r="S9" s="99">
        <v>19</v>
      </c>
      <c r="T9" s="99">
        <v>15</v>
      </c>
      <c r="U9" s="99" t="s">
        <v>597</v>
      </c>
      <c r="V9" s="99">
        <v>16</v>
      </c>
      <c r="W9" s="99">
        <v>30</v>
      </c>
      <c r="X9" s="99">
        <v>27</v>
      </c>
      <c r="Y9" s="99">
        <v>43</v>
      </c>
      <c r="Z9" s="99">
        <v>36</v>
      </c>
      <c r="AA9" s="99" t="s">
        <v>597</v>
      </c>
      <c r="AB9" s="99" t="s">
        <v>597</v>
      </c>
      <c r="AC9" s="99" t="s">
        <v>597</v>
      </c>
      <c r="AD9" s="98" t="s">
        <v>343</v>
      </c>
      <c r="AE9" s="100">
        <v>0.22961599158337717</v>
      </c>
      <c r="AF9" s="100">
        <v>0.14</v>
      </c>
      <c r="AG9" s="98">
        <v>447.1330878485008</v>
      </c>
      <c r="AH9" s="98">
        <v>210.41557075223565</v>
      </c>
      <c r="AI9" s="100">
        <v>0.017</v>
      </c>
      <c r="AJ9" s="100">
        <v>0.788603</v>
      </c>
      <c r="AK9" s="100">
        <v>0.772812</v>
      </c>
      <c r="AL9" s="100">
        <v>0.718372</v>
      </c>
      <c r="AM9" s="100">
        <v>0.658252</v>
      </c>
      <c r="AN9" s="100">
        <v>0.674157</v>
      </c>
      <c r="AO9" s="98">
        <v>2314.5712782745923</v>
      </c>
      <c r="AP9" s="158">
        <v>1.065975571</v>
      </c>
      <c r="AQ9" s="100">
        <v>0.06818181818181818</v>
      </c>
      <c r="AR9" s="100">
        <v>0.3</v>
      </c>
      <c r="AS9" s="98">
        <v>499.7369805365597</v>
      </c>
      <c r="AT9" s="98">
        <v>394.5291951604419</v>
      </c>
      <c r="AU9" s="98" t="s">
        <v>597</v>
      </c>
      <c r="AV9" s="98">
        <v>420.8311415044713</v>
      </c>
      <c r="AW9" s="98">
        <v>789.0583903208837</v>
      </c>
      <c r="AX9" s="98">
        <v>710.1525512887954</v>
      </c>
      <c r="AY9" s="98">
        <v>1130.9836927932668</v>
      </c>
      <c r="AZ9" s="98">
        <v>946.8700683850604</v>
      </c>
      <c r="BA9" s="100" t="s">
        <v>597</v>
      </c>
      <c r="BB9" s="100" t="s">
        <v>597</v>
      </c>
      <c r="BC9" s="100" t="s">
        <v>597</v>
      </c>
      <c r="BD9" s="158">
        <v>0.8549435425</v>
      </c>
      <c r="BE9" s="158">
        <v>1.3133116150000002</v>
      </c>
      <c r="BF9" s="162">
        <v>544</v>
      </c>
      <c r="BG9" s="162">
        <v>537</v>
      </c>
      <c r="BH9" s="162">
        <v>909</v>
      </c>
      <c r="BI9" s="162">
        <v>515</v>
      </c>
      <c r="BJ9" s="162">
        <v>267</v>
      </c>
      <c r="BK9" s="97"/>
      <c r="BL9" s="97"/>
      <c r="BM9" s="97"/>
      <c r="BN9" s="97"/>
    </row>
    <row r="10" spans="1:66" ht="12.75">
      <c r="A10" s="79" t="s">
        <v>589</v>
      </c>
      <c r="B10" s="79" t="s">
        <v>525</v>
      </c>
      <c r="C10" s="79" t="s">
        <v>159</v>
      </c>
      <c r="D10" s="99">
        <v>2987</v>
      </c>
      <c r="E10" s="99">
        <v>597</v>
      </c>
      <c r="F10" s="99" t="s">
        <v>365</v>
      </c>
      <c r="G10" s="99" t="s">
        <v>597</v>
      </c>
      <c r="H10" s="99" t="s">
        <v>597</v>
      </c>
      <c r="I10" s="99">
        <v>50</v>
      </c>
      <c r="J10" s="99">
        <v>265</v>
      </c>
      <c r="K10" s="99">
        <v>7</v>
      </c>
      <c r="L10" s="99">
        <v>539</v>
      </c>
      <c r="M10" s="99">
        <v>241</v>
      </c>
      <c r="N10" s="99">
        <v>140</v>
      </c>
      <c r="O10" s="99">
        <v>100</v>
      </c>
      <c r="P10" s="159">
        <v>100</v>
      </c>
      <c r="Q10" s="99">
        <v>10</v>
      </c>
      <c r="R10" s="99">
        <v>14</v>
      </c>
      <c r="S10" s="99">
        <v>12</v>
      </c>
      <c r="T10" s="99">
        <v>11</v>
      </c>
      <c r="U10" s="99" t="s">
        <v>597</v>
      </c>
      <c r="V10" s="99">
        <v>35</v>
      </c>
      <c r="W10" s="99">
        <v>17</v>
      </c>
      <c r="X10" s="99">
        <v>8</v>
      </c>
      <c r="Y10" s="99">
        <v>30</v>
      </c>
      <c r="Z10" s="99">
        <v>22</v>
      </c>
      <c r="AA10" s="99" t="s">
        <v>597</v>
      </c>
      <c r="AB10" s="99" t="s">
        <v>597</v>
      </c>
      <c r="AC10" s="99" t="s">
        <v>597</v>
      </c>
      <c r="AD10" s="98" t="s">
        <v>343</v>
      </c>
      <c r="AE10" s="100">
        <v>0.19986608637428857</v>
      </c>
      <c r="AF10" s="100">
        <v>0.1</v>
      </c>
      <c r="AG10" s="98" t="s">
        <v>597</v>
      </c>
      <c r="AH10" s="98" t="s">
        <v>597</v>
      </c>
      <c r="AI10" s="100">
        <v>0.017</v>
      </c>
      <c r="AJ10" s="100">
        <v>0.740223</v>
      </c>
      <c r="AK10" s="100">
        <v>0.7</v>
      </c>
      <c r="AL10" s="100">
        <v>0.764539</v>
      </c>
      <c r="AM10" s="100">
        <v>0.653117</v>
      </c>
      <c r="AN10" s="100">
        <v>0.654206</v>
      </c>
      <c r="AO10" s="98">
        <v>3347.8406427854034</v>
      </c>
      <c r="AP10" s="158">
        <v>1.705988922</v>
      </c>
      <c r="AQ10" s="100">
        <v>0.1</v>
      </c>
      <c r="AR10" s="100">
        <v>0.7142857142857143</v>
      </c>
      <c r="AS10" s="98">
        <v>401.7408771342484</v>
      </c>
      <c r="AT10" s="98">
        <v>368.26247070639437</v>
      </c>
      <c r="AU10" s="98" t="s">
        <v>597</v>
      </c>
      <c r="AV10" s="98">
        <v>1171.7442249748913</v>
      </c>
      <c r="AW10" s="98">
        <v>569.1329092735186</v>
      </c>
      <c r="AX10" s="98">
        <v>267.82725142283226</v>
      </c>
      <c r="AY10" s="98">
        <v>1004.352192835621</v>
      </c>
      <c r="AZ10" s="98">
        <v>736.5249414127887</v>
      </c>
      <c r="BA10" s="101" t="s">
        <v>597</v>
      </c>
      <c r="BB10" s="101" t="s">
        <v>597</v>
      </c>
      <c r="BC10" s="101" t="s">
        <v>597</v>
      </c>
      <c r="BD10" s="158">
        <v>1.38806076</v>
      </c>
      <c r="BE10" s="158">
        <v>2.074939728</v>
      </c>
      <c r="BF10" s="162">
        <v>358</v>
      </c>
      <c r="BG10" s="162">
        <v>10</v>
      </c>
      <c r="BH10" s="162">
        <v>705</v>
      </c>
      <c r="BI10" s="162">
        <v>369</v>
      </c>
      <c r="BJ10" s="162">
        <v>214</v>
      </c>
      <c r="BK10" s="97"/>
      <c r="BL10" s="97"/>
      <c r="BM10" s="97"/>
      <c r="BN10" s="97"/>
    </row>
    <row r="11" spans="1:66" ht="12.75">
      <c r="A11" s="79" t="s">
        <v>556</v>
      </c>
      <c r="B11" s="79" t="s">
        <v>309</v>
      </c>
      <c r="C11" s="79" t="s">
        <v>159</v>
      </c>
      <c r="D11" s="99">
        <v>14265</v>
      </c>
      <c r="E11" s="99">
        <v>1059</v>
      </c>
      <c r="F11" s="99" t="s">
        <v>365</v>
      </c>
      <c r="G11" s="99">
        <v>28</v>
      </c>
      <c r="H11" s="99">
        <v>9</v>
      </c>
      <c r="I11" s="99">
        <v>128</v>
      </c>
      <c r="J11" s="99">
        <v>515</v>
      </c>
      <c r="K11" s="99">
        <v>491</v>
      </c>
      <c r="L11" s="99">
        <v>1468</v>
      </c>
      <c r="M11" s="99">
        <v>417</v>
      </c>
      <c r="N11" s="99">
        <v>211</v>
      </c>
      <c r="O11" s="99">
        <v>211</v>
      </c>
      <c r="P11" s="159">
        <v>211</v>
      </c>
      <c r="Q11" s="99">
        <v>9</v>
      </c>
      <c r="R11" s="99">
        <v>24</v>
      </c>
      <c r="S11" s="99">
        <v>59</v>
      </c>
      <c r="T11" s="99">
        <v>31</v>
      </c>
      <c r="U11" s="99" t="s">
        <v>597</v>
      </c>
      <c r="V11" s="99">
        <v>38</v>
      </c>
      <c r="W11" s="99">
        <v>58</v>
      </c>
      <c r="X11" s="99">
        <v>32</v>
      </c>
      <c r="Y11" s="99">
        <v>91</v>
      </c>
      <c r="Z11" s="99">
        <v>25</v>
      </c>
      <c r="AA11" s="99" t="s">
        <v>597</v>
      </c>
      <c r="AB11" s="99" t="s">
        <v>597</v>
      </c>
      <c r="AC11" s="99" t="s">
        <v>597</v>
      </c>
      <c r="AD11" s="98" t="s">
        <v>343</v>
      </c>
      <c r="AE11" s="100">
        <v>0.07423764458464774</v>
      </c>
      <c r="AF11" s="100">
        <v>0.09</v>
      </c>
      <c r="AG11" s="98">
        <v>196.28461268839817</v>
      </c>
      <c r="AH11" s="98">
        <v>63.09148264984227</v>
      </c>
      <c r="AI11" s="100">
        <v>0.009000000000000001</v>
      </c>
      <c r="AJ11" s="100">
        <v>0.695007</v>
      </c>
      <c r="AK11" s="100">
        <v>0.684798</v>
      </c>
      <c r="AL11" s="100">
        <v>0.673086</v>
      </c>
      <c r="AM11" s="100">
        <v>0.612335</v>
      </c>
      <c r="AN11" s="100">
        <v>0.62426</v>
      </c>
      <c r="AO11" s="98">
        <v>1479.1447599018577</v>
      </c>
      <c r="AP11" s="158">
        <v>1.340731964</v>
      </c>
      <c r="AQ11" s="100">
        <v>0.04265402843601896</v>
      </c>
      <c r="AR11" s="100">
        <v>0.375</v>
      </c>
      <c r="AS11" s="98">
        <v>413.59971959341044</v>
      </c>
      <c r="AT11" s="98">
        <v>217.31510690501227</v>
      </c>
      <c r="AU11" s="98" t="s">
        <v>597</v>
      </c>
      <c r="AV11" s="98">
        <v>266.3862600771118</v>
      </c>
      <c r="AW11" s="98">
        <v>406.5895548545391</v>
      </c>
      <c r="AX11" s="98">
        <v>224.32527164388364</v>
      </c>
      <c r="AY11" s="98">
        <v>637.9249912372941</v>
      </c>
      <c r="AZ11" s="98">
        <v>175.2541184717841</v>
      </c>
      <c r="BA11" s="100" t="s">
        <v>597</v>
      </c>
      <c r="BB11" s="100" t="s">
        <v>597</v>
      </c>
      <c r="BC11" s="100" t="s">
        <v>597</v>
      </c>
      <c r="BD11" s="158">
        <v>1.165919189</v>
      </c>
      <c r="BE11" s="158">
        <v>1.534359894</v>
      </c>
      <c r="BF11" s="162">
        <v>741</v>
      </c>
      <c r="BG11" s="162">
        <v>717</v>
      </c>
      <c r="BH11" s="162">
        <v>2181</v>
      </c>
      <c r="BI11" s="162">
        <v>681</v>
      </c>
      <c r="BJ11" s="162">
        <v>338</v>
      </c>
      <c r="BK11" s="97"/>
      <c r="BL11" s="97"/>
      <c r="BM11" s="97"/>
      <c r="BN11" s="97"/>
    </row>
    <row r="12" spans="1:66" ht="12.75">
      <c r="A12" s="79" t="s">
        <v>555</v>
      </c>
      <c r="B12" s="79" t="s">
        <v>308</v>
      </c>
      <c r="C12" s="79" t="s">
        <v>159</v>
      </c>
      <c r="D12" s="99">
        <v>3287</v>
      </c>
      <c r="E12" s="99">
        <v>417</v>
      </c>
      <c r="F12" s="99" t="s">
        <v>364</v>
      </c>
      <c r="G12" s="99">
        <v>12</v>
      </c>
      <c r="H12" s="99">
        <v>6</v>
      </c>
      <c r="I12" s="99">
        <v>29</v>
      </c>
      <c r="J12" s="99">
        <v>156</v>
      </c>
      <c r="K12" s="99" t="s">
        <v>597</v>
      </c>
      <c r="L12" s="99">
        <v>482</v>
      </c>
      <c r="M12" s="99">
        <v>91</v>
      </c>
      <c r="N12" s="99">
        <v>45</v>
      </c>
      <c r="O12" s="99">
        <v>39</v>
      </c>
      <c r="P12" s="159">
        <v>39</v>
      </c>
      <c r="Q12" s="99" t="s">
        <v>597</v>
      </c>
      <c r="R12" s="99">
        <v>13</v>
      </c>
      <c r="S12" s="99">
        <v>16</v>
      </c>
      <c r="T12" s="99">
        <v>6</v>
      </c>
      <c r="U12" s="99" t="s">
        <v>597</v>
      </c>
      <c r="V12" s="99" t="s">
        <v>597</v>
      </c>
      <c r="W12" s="99">
        <v>23</v>
      </c>
      <c r="X12" s="99">
        <v>9</v>
      </c>
      <c r="Y12" s="99">
        <v>40</v>
      </c>
      <c r="Z12" s="99">
        <v>18</v>
      </c>
      <c r="AA12" s="99" t="s">
        <v>597</v>
      </c>
      <c r="AB12" s="99" t="s">
        <v>597</v>
      </c>
      <c r="AC12" s="99" t="s">
        <v>597</v>
      </c>
      <c r="AD12" s="98" t="s">
        <v>343</v>
      </c>
      <c r="AE12" s="100">
        <v>0.12686340127776088</v>
      </c>
      <c r="AF12" s="100">
        <v>0.29</v>
      </c>
      <c r="AG12" s="98">
        <v>365.07453605111044</v>
      </c>
      <c r="AH12" s="98">
        <v>182.53726802555522</v>
      </c>
      <c r="AI12" s="100">
        <v>0.009000000000000001</v>
      </c>
      <c r="AJ12" s="100">
        <v>0.534247</v>
      </c>
      <c r="AK12" s="100" t="s">
        <v>597</v>
      </c>
      <c r="AL12" s="100">
        <v>0.700581</v>
      </c>
      <c r="AM12" s="100">
        <v>0.356863</v>
      </c>
      <c r="AN12" s="100">
        <v>0.381356</v>
      </c>
      <c r="AO12" s="98">
        <v>1186.492242166109</v>
      </c>
      <c r="AP12" s="158">
        <v>0.7767754363999999</v>
      </c>
      <c r="AQ12" s="100" t="s">
        <v>597</v>
      </c>
      <c r="AR12" s="100" t="s">
        <v>597</v>
      </c>
      <c r="AS12" s="98">
        <v>486.76604806814726</v>
      </c>
      <c r="AT12" s="98">
        <v>182.53726802555522</v>
      </c>
      <c r="AU12" s="98" t="s">
        <v>597</v>
      </c>
      <c r="AV12" s="98" t="s">
        <v>597</v>
      </c>
      <c r="AW12" s="98">
        <v>699.7261940979616</v>
      </c>
      <c r="AX12" s="98">
        <v>273.8059020383328</v>
      </c>
      <c r="AY12" s="98">
        <v>1216.915120170368</v>
      </c>
      <c r="AZ12" s="98">
        <v>547.6118040766656</v>
      </c>
      <c r="BA12" s="100" t="s">
        <v>597</v>
      </c>
      <c r="BB12" s="100" t="s">
        <v>597</v>
      </c>
      <c r="BC12" s="100" t="s">
        <v>597</v>
      </c>
      <c r="BD12" s="158">
        <v>0.5523632813</v>
      </c>
      <c r="BE12" s="158">
        <v>1.061877594</v>
      </c>
      <c r="BF12" s="162">
        <v>292</v>
      </c>
      <c r="BG12" s="162" t="s">
        <v>597</v>
      </c>
      <c r="BH12" s="162">
        <v>688</v>
      </c>
      <c r="BI12" s="162">
        <v>255</v>
      </c>
      <c r="BJ12" s="162">
        <v>118</v>
      </c>
      <c r="BK12" s="97"/>
      <c r="BL12" s="97"/>
      <c r="BM12" s="97"/>
      <c r="BN12" s="97"/>
    </row>
    <row r="13" spans="1:66" ht="12.75">
      <c r="A13" s="79" t="s">
        <v>570</v>
      </c>
      <c r="B13" s="79" t="s">
        <v>323</v>
      </c>
      <c r="C13" s="79" t="s">
        <v>159</v>
      </c>
      <c r="D13" s="99">
        <v>4275</v>
      </c>
      <c r="E13" s="99">
        <v>735</v>
      </c>
      <c r="F13" s="99" t="s">
        <v>366</v>
      </c>
      <c r="G13" s="99">
        <v>18</v>
      </c>
      <c r="H13" s="99">
        <v>9</v>
      </c>
      <c r="I13" s="99">
        <v>86</v>
      </c>
      <c r="J13" s="99">
        <v>366</v>
      </c>
      <c r="K13" s="99">
        <v>355</v>
      </c>
      <c r="L13" s="99">
        <v>831</v>
      </c>
      <c r="M13" s="99">
        <v>289</v>
      </c>
      <c r="N13" s="99">
        <v>163</v>
      </c>
      <c r="O13" s="99">
        <v>85</v>
      </c>
      <c r="P13" s="159">
        <v>85</v>
      </c>
      <c r="Q13" s="99">
        <v>9</v>
      </c>
      <c r="R13" s="99">
        <v>27</v>
      </c>
      <c r="S13" s="99">
        <v>9</v>
      </c>
      <c r="T13" s="99">
        <v>7</v>
      </c>
      <c r="U13" s="99" t="s">
        <v>597</v>
      </c>
      <c r="V13" s="99">
        <v>26</v>
      </c>
      <c r="W13" s="99">
        <v>45</v>
      </c>
      <c r="X13" s="99">
        <v>15</v>
      </c>
      <c r="Y13" s="99">
        <v>67</v>
      </c>
      <c r="Z13" s="99">
        <v>23</v>
      </c>
      <c r="AA13" s="99" t="s">
        <v>597</v>
      </c>
      <c r="AB13" s="99" t="s">
        <v>597</v>
      </c>
      <c r="AC13" s="99" t="s">
        <v>597</v>
      </c>
      <c r="AD13" s="98" t="s">
        <v>343</v>
      </c>
      <c r="AE13" s="100">
        <v>0.17192982456140352</v>
      </c>
      <c r="AF13" s="100">
        <v>0.16</v>
      </c>
      <c r="AG13" s="98">
        <v>421.05263157894734</v>
      </c>
      <c r="AH13" s="98">
        <v>210.52631578947367</v>
      </c>
      <c r="AI13" s="100">
        <v>0.02</v>
      </c>
      <c r="AJ13" s="100">
        <v>0.754639</v>
      </c>
      <c r="AK13" s="100">
        <v>0.758547</v>
      </c>
      <c r="AL13" s="100">
        <v>0.805233</v>
      </c>
      <c r="AM13" s="100">
        <v>0.609705</v>
      </c>
      <c r="AN13" s="100">
        <v>0.624521</v>
      </c>
      <c r="AO13" s="98">
        <v>1988.3040935672514</v>
      </c>
      <c r="AP13" s="158">
        <v>1.056215286</v>
      </c>
      <c r="AQ13" s="100">
        <v>0.10588235294117647</v>
      </c>
      <c r="AR13" s="100">
        <v>0.3333333333333333</v>
      </c>
      <c r="AS13" s="98">
        <v>210.52631578947367</v>
      </c>
      <c r="AT13" s="98">
        <v>163.74269005847952</v>
      </c>
      <c r="AU13" s="98" t="s">
        <v>597</v>
      </c>
      <c r="AV13" s="98">
        <v>608.187134502924</v>
      </c>
      <c r="AW13" s="98">
        <v>1052.6315789473683</v>
      </c>
      <c r="AX13" s="98">
        <v>350.87719298245617</v>
      </c>
      <c r="AY13" s="98">
        <v>1567.251461988304</v>
      </c>
      <c r="AZ13" s="98">
        <v>538.0116959064327</v>
      </c>
      <c r="BA13" s="100" t="s">
        <v>597</v>
      </c>
      <c r="BB13" s="100" t="s">
        <v>597</v>
      </c>
      <c r="BC13" s="100" t="s">
        <v>597</v>
      </c>
      <c r="BD13" s="158">
        <v>0.8436672211</v>
      </c>
      <c r="BE13" s="158">
        <v>1.306026611</v>
      </c>
      <c r="BF13" s="162">
        <v>485</v>
      </c>
      <c r="BG13" s="162">
        <v>468</v>
      </c>
      <c r="BH13" s="162">
        <v>1032</v>
      </c>
      <c r="BI13" s="162">
        <v>474</v>
      </c>
      <c r="BJ13" s="162">
        <v>261</v>
      </c>
      <c r="BK13" s="97"/>
      <c r="BL13" s="97"/>
      <c r="BM13" s="97"/>
      <c r="BN13" s="97"/>
    </row>
    <row r="14" spans="1:66" ht="12.75">
      <c r="A14" s="79" t="s">
        <v>575</v>
      </c>
      <c r="B14" s="79" t="s">
        <v>328</v>
      </c>
      <c r="C14" s="79" t="s">
        <v>159</v>
      </c>
      <c r="D14" s="99">
        <v>1759</v>
      </c>
      <c r="E14" s="99">
        <v>144</v>
      </c>
      <c r="F14" s="99" t="s">
        <v>363</v>
      </c>
      <c r="G14" s="99" t="s">
        <v>597</v>
      </c>
      <c r="H14" s="99" t="s">
        <v>597</v>
      </c>
      <c r="I14" s="99">
        <v>20</v>
      </c>
      <c r="J14" s="99">
        <v>118</v>
      </c>
      <c r="K14" s="99">
        <v>117</v>
      </c>
      <c r="L14" s="99">
        <v>380</v>
      </c>
      <c r="M14" s="99">
        <v>46</v>
      </c>
      <c r="N14" s="99">
        <v>27</v>
      </c>
      <c r="O14" s="99" t="s">
        <v>597</v>
      </c>
      <c r="P14" s="159" t="s">
        <v>597</v>
      </c>
      <c r="Q14" s="99" t="s">
        <v>597</v>
      </c>
      <c r="R14" s="99">
        <v>8</v>
      </c>
      <c r="S14" s="99" t="s">
        <v>597</v>
      </c>
      <c r="T14" s="99" t="s">
        <v>597</v>
      </c>
      <c r="U14" s="99" t="s">
        <v>597</v>
      </c>
      <c r="V14" s="99" t="s">
        <v>597</v>
      </c>
      <c r="W14" s="99">
        <v>11</v>
      </c>
      <c r="X14" s="99" t="s">
        <v>597</v>
      </c>
      <c r="Y14" s="99">
        <v>15</v>
      </c>
      <c r="Z14" s="99" t="s">
        <v>597</v>
      </c>
      <c r="AA14" s="99" t="s">
        <v>597</v>
      </c>
      <c r="AB14" s="99" t="s">
        <v>597</v>
      </c>
      <c r="AC14" s="99" t="s">
        <v>597</v>
      </c>
      <c r="AD14" s="98" t="s">
        <v>343</v>
      </c>
      <c r="AE14" s="100">
        <v>0.08186469584991472</v>
      </c>
      <c r="AF14" s="100">
        <v>0.2</v>
      </c>
      <c r="AG14" s="98" t="s">
        <v>597</v>
      </c>
      <c r="AH14" s="98" t="s">
        <v>597</v>
      </c>
      <c r="AI14" s="100">
        <v>0.011000000000000001</v>
      </c>
      <c r="AJ14" s="100">
        <v>0.751592</v>
      </c>
      <c r="AK14" s="100">
        <v>0.78</v>
      </c>
      <c r="AL14" s="100">
        <v>0.855856</v>
      </c>
      <c r="AM14" s="100">
        <v>0.446602</v>
      </c>
      <c r="AN14" s="100">
        <v>0.529412</v>
      </c>
      <c r="AO14" s="98" t="s">
        <v>597</v>
      </c>
      <c r="AP14" s="158" t="s">
        <v>597</v>
      </c>
      <c r="AQ14" s="100" t="s">
        <v>597</v>
      </c>
      <c r="AR14" s="100" t="s">
        <v>597</v>
      </c>
      <c r="AS14" s="98" t="s">
        <v>597</v>
      </c>
      <c r="AT14" s="98" t="s">
        <v>597</v>
      </c>
      <c r="AU14" s="98" t="s">
        <v>597</v>
      </c>
      <c r="AV14" s="98" t="s">
        <v>597</v>
      </c>
      <c r="AW14" s="98">
        <v>625.3553155201819</v>
      </c>
      <c r="AX14" s="98" t="s">
        <v>597</v>
      </c>
      <c r="AY14" s="98">
        <v>852.7572484366117</v>
      </c>
      <c r="AZ14" s="98" t="s">
        <v>597</v>
      </c>
      <c r="BA14" s="100" t="s">
        <v>597</v>
      </c>
      <c r="BB14" s="100" t="s">
        <v>597</v>
      </c>
      <c r="BC14" s="100" t="s">
        <v>597</v>
      </c>
      <c r="BD14" s="158" t="s">
        <v>597</v>
      </c>
      <c r="BE14" s="158" t="s">
        <v>597</v>
      </c>
      <c r="BF14" s="162">
        <v>157</v>
      </c>
      <c r="BG14" s="162">
        <v>150</v>
      </c>
      <c r="BH14" s="162">
        <v>444</v>
      </c>
      <c r="BI14" s="162">
        <v>103</v>
      </c>
      <c r="BJ14" s="162">
        <v>51</v>
      </c>
      <c r="BK14" s="97"/>
      <c r="BL14" s="97"/>
      <c r="BM14" s="97"/>
      <c r="BN14" s="97"/>
    </row>
    <row r="15" spans="1:66" ht="12.75">
      <c r="A15" s="79" t="s">
        <v>586</v>
      </c>
      <c r="B15" s="79" t="s">
        <v>339</v>
      </c>
      <c r="C15" s="79" t="s">
        <v>159</v>
      </c>
      <c r="D15" s="99">
        <v>4455</v>
      </c>
      <c r="E15" s="99">
        <v>329</v>
      </c>
      <c r="F15" s="99" t="s">
        <v>364</v>
      </c>
      <c r="G15" s="99">
        <v>13</v>
      </c>
      <c r="H15" s="99" t="s">
        <v>597</v>
      </c>
      <c r="I15" s="99">
        <v>22</v>
      </c>
      <c r="J15" s="99">
        <v>138</v>
      </c>
      <c r="K15" s="99" t="s">
        <v>597</v>
      </c>
      <c r="L15" s="99">
        <v>730</v>
      </c>
      <c r="M15" s="99">
        <v>53</v>
      </c>
      <c r="N15" s="99">
        <v>27</v>
      </c>
      <c r="O15" s="99">
        <v>59</v>
      </c>
      <c r="P15" s="159">
        <v>59</v>
      </c>
      <c r="Q15" s="99" t="s">
        <v>597</v>
      </c>
      <c r="R15" s="99" t="s">
        <v>597</v>
      </c>
      <c r="S15" s="99">
        <v>26</v>
      </c>
      <c r="T15" s="99" t="s">
        <v>597</v>
      </c>
      <c r="U15" s="99" t="s">
        <v>597</v>
      </c>
      <c r="V15" s="99" t="s">
        <v>597</v>
      </c>
      <c r="W15" s="99">
        <v>15</v>
      </c>
      <c r="X15" s="99">
        <v>20</v>
      </c>
      <c r="Y15" s="99">
        <v>59</v>
      </c>
      <c r="Z15" s="99">
        <v>18</v>
      </c>
      <c r="AA15" s="99" t="s">
        <v>597</v>
      </c>
      <c r="AB15" s="99" t="s">
        <v>597</v>
      </c>
      <c r="AC15" s="99" t="s">
        <v>597</v>
      </c>
      <c r="AD15" s="98" t="s">
        <v>343</v>
      </c>
      <c r="AE15" s="100">
        <v>0.07384960718294052</v>
      </c>
      <c r="AF15" s="100">
        <v>0.3</v>
      </c>
      <c r="AG15" s="98">
        <v>291.8069584736251</v>
      </c>
      <c r="AH15" s="98" t="s">
        <v>597</v>
      </c>
      <c r="AI15" s="100">
        <v>0.005</v>
      </c>
      <c r="AJ15" s="100">
        <v>0.475862</v>
      </c>
      <c r="AK15" s="100" t="s">
        <v>597</v>
      </c>
      <c r="AL15" s="100">
        <v>0.664845</v>
      </c>
      <c r="AM15" s="100">
        <v>0.276042</v>
      </c>
      <c r="AN15" s="100">
        <v>0.287234</v>
      </c>
      <c r="AO15" s="98">
        <v>1324.354657687991</v>
      </c>
      <c r="AP15" s="158">
        <v>1.105816956</v>
      </c>
      <c r="AQ15" s="100" t="s">
        <v>597</v>
      </c>
      <c r="AR15" s="100" t="s">
        <v>597</v>
      </c>
      <c r="AS15" s="98">
        <v>583.6139169472502</v>
      </c>
      <c r="AT15" s="98" t="s">
        <v>597</v>
      </c>
      <c r="AU15" s="98" t="s">
        <v>597</v>
      </c>
      <c r="AV15" s="98" t="s">
        <v>597</v>
      </c>
      <c r="AW15" s="98">
        <v>336.7003367003367</v>
      </c>
      <c r="AX15" s="98">
        <v>448.9337822671156</v>
      </c>
      <c r="AY15" s="98">
        <v>1324.354657687991</v>
      </c>
      <c r="AZ15" s="98">
        <v>404.04040404040404</v>
      </c>
      <c r="BA15" s="100" t="s">
        <v>597</v>
      </c>
      <c r="BB15" s="100" t="s">
        <v>597</v>
      </c>
      <c r="BC15" s="100" t="s">
        <v>597</v>
      </c>
      <c r="BD15" s="158">
        <v>0.8417990875</v>
      </c>
      <c r="BE15" s="158">
        <v>1.4264233400000002</v>
      </c>
      <c r="BF15" s="162">
        <v>290</v>
      </c>
      <c r="BG15" s="162" t="s">
        <v>597</v>
      </c>
      <c r="BH15" s="162">
        <v>1098</v>
      </c>
      <c r="BI15" s="162">
        <v>192</v>
      </c>
      <c r="BJ15" s="162">
        <v>94</v>
      </c>
      <c r="BK15" s="97"/>
      <c r="BL15" s="97"/>
      <c r="BM15" s="97"/>
      <c r="BN15" s="97"/>
    </row>
    <row r="16" spans="1:66" ht="12.75">
      <c r="A16" s="79" t="s">
        <v>538</v>
      </c>
      <c r="B16" s="79" t="s">
        <v>291</v>
      </c>
      <c r="C16" s="79" t="s">
        <v>159</v>
      </c>
      <c r="D16" s="99">
        <v>15145</v>
      </c>
      <c r="E16" s="99">
        <v>1138</v>
      </c>
      <c r="F16" s="99" t="s">
        <v>363</v>
      </c>
      <c r="G16" s="99">
        <v>27</v>
      </c>
      <c r="H16" s="99">
        <v>27</v>
      </c>
      <c r="I16" s="99">
        <v>115</v>
      </c>
      <c r="J16" s="99">
        <v>608</v>
      </c>
      <c r="K16" s="99">
        <v>9</v>
      </c>
      <c r="L16" s="99">
        <v>1913</v>
      </c>
      <c r="M16" s="99">
        <v>380</v>
      </c>
      <c r="N16" s="99">
        <v>196</v>
      </c>
      <c r="O16" s="99">
        <v>381</v>
      </c>
      <c r="P16" s="159">
        <v>381</v>
      </c>
      <c r="Q16" s="99">
        <v>16</v>
      </c>
      <c r="R16" s="99">
        <v>30</v>
      </c>
      <c r="S16" s="99">
        <v>80</v>
      </c>
      <c r="T16" s="99">
        <v>52</v>
      </c>
      <c r="U16" s="99">
        <v>7</v>
      </c>
      <c r="V16" s="99">
        <v>76</v>
      </c>
      <c r="W16" s="99">
        <v>98</v>
      </c>
      <c r="X16" s="99">
        <v>39</v>
      </c>
      <c r="Y16" s="99">
        <v>143</v>
      </c>
      <c r="Z16" s="99">
        <v>54</v>
      </c>
      <c r="AA16" s="99" t="s">
        <v>597</v>
      </c>
      <c r="AB16" s="99" t="s">
        <v>597</v>
      </c>
      <c r="AC16" s="99" t="s">
        <v>597</v>
      </c>
      <c r="AD16" s="98" t="s">
        <v>343</v>
      </c>
      <c r="AE16" s="100">
        <v>0.07514031033344339</v>
      </c>
      <c r="AF16" s="100">
        <v>0.2</v>
      </c>
      <c r="AG16" s="98">
        <v>178.27665896335424</v>
      </c>
      <c r="AH16" s="98">
        <v>178.27665896335424</v>
      </c>
      <c r="AI16" s="100">
        <v>0.008</v>
      </c>
      <c r="AJ16" s="100">
        <v>0.697248</v>
      </c>
      <c r="AK16" s="100">
        <v>0.6</v>
      </c>
      <c r="AL16" s="100">
        <v>0.69894</v>
      </c>
      <c r="AM16" s="100">
        <v>0.546763</v>
      </c>
      <c r="AN16" s="100">
        <v>0.538462</v>
      </c>
      <c r="AO16" s="98">
        <v>2515.681743149554</v>
      </c>
      <c r="AP16" s="158">
        <v>2.158133698</v>
      </c>
      <c r="AQ16" s="100">
        <v>0.04199475065616798</v>
      </c>
      <c r="AR16" s="100">
        <v>0.5333333333333333</v>
      </c>
      <c r="AS16" s="98">
        <v>528.2271376691978</v>
      </c>
      <c r="AT16" s="98">
        <v>343.3476394849785</v>
      </c>
      <c r="AU16" s="98">
        <v>46.219874546054804</v>
      </c>
      <c r="AV16" s="98">
        <v>501.81578078573784</v>
      </c>
      <c r="AW16" s="98">
        <v>647.0782436447672</v>
      </c>
      <c r="AX16" s="98">
        <v>257.51072961373393</v>
      </c>
      <c r="AY16" s="98">
        <v>944.206008583691</v>
      </c>
      <c r="AZ16" s="98">
        <v>356.5533179267085</v>
      </c>
      <c r="BA16" s="100" t="s">
        <v>597</v>
      </c>
      <c r="BB16" s="100" t="s">
        <v>597</v>
      </c>
      <c r="BC16" s="100" t="s">
        <v>597</v>
      </c>
      <c r="BD16" s="158">
        <v>1.946845093</v>
      </c>
      <c r="BE16" s="158">
        <v>2.386098938</v>
      </c>
      <c r="BF16" s="162">
        <v>872</v>
      </c>
      <c r="BG16" s="162">
        <v>15</v>
      </c>
      <c r="BH16" s="162">
        <v>2737</v>
      </c>
      <c r="BI16" s="162">
        <v>695</v>
      </c>
      <c r="BJ16" s="162">
        <v>364</v>
      </c>
      <c r="BK16" s="97"/>
      <c r="BL16" s="97"/>
      <c r="BM16" s="97"/>
      <c r="BN16" s="97"/>
    </row>
    <row r="17" spans="1:66" ht="12.75">
      <c r="A17" s="79" t="s">
        <v>539</v>
      </c>
      <c r="B17" s="79" t="s">
        <v>292</v>
      </c>
      <c r="C17" s="79" t="s">
        <v>159</v>
      </c>
      <c r="D17" s="99">
        <v>10102</v>
      </c>
      <c r="E17" s="99">
        <v>1900</v>
      </c>
      <c r="F17" s="99" t="s">
        <v>366</v>
      </c>
      <c r="G17" s="99">
        <v>49</v>
      </c>
      <c r="H17" s="99">
        <v>21</v>
      </c>
      <c r="I17" s="99">
        <v>137</v>
      </c>
      <c r="J17" s="99">
        <v>785</v>
      </c>
      <c r="K17" s="99">
        <v>9</v>
      </c>
      <c r="L17" s="99">
        <v>1862</v>
      </c>
      <c r="M17" s="99">
        <v>636</v>
      </c>
      <c r="N17" s="99">
        <v>373</v>
      </c>
      <c r="O17" s="99">
        <v>287</v>
      </c>
      <c r="P17" s="159">
        <v>287</v>
      </c>
      <c r="Q17" s="99">
        <v>25</v>
      </c>
      <c r="R17" s="99">
        <v>43</v>
      </c>
      <c r="S17" s="99">
        <v>45</v>
      </c>
      <c r="T17" s="99">
        <v>64</v>
      </c>
      <c r="U17" s="99">
        <v>11</v>
      </c>
      <c r="V17" s="99">
        <v>44</v>
      </c>
      <c r="W17" s="99">
        <v>85</v>
      </c>
      <c r="X17" s="99">
        <v>36</v>
      </c>
      <c r="Y17" s="99">
        <v>149</v>
      </c>
      <c r="Z17" s="99">
        <v>56</v>
      </c>
      <c r="AA17" s="99" t="s">
        <v>597</v>
      </c>
      <c r="AB17" s="99" t="s">
        <v>597</v>
      </c>
      <c r="AC17" s="99" t="s">
        <v>597</v>
      </c>
      <c r="AD17" s="98" t="s">
        <v>343</v>
      </c>
      <c r="AE17" s="100">
        <v>0.18808156800633538</v>
      </c>
      <c r="AF17" s="100">
        <v>0.15</v>
      </c>
      <c r="AG17" s="98">
        <v>485.0524648584439</v>
      </c>
      <c r="AH17" s="98">
        <v>207.87962779647594</v>
      </c>
      <c r="AI17" s="100">
        <v>0.013999999999999999</v>
      </c>
      <c r="AJ17" s="100">
        <v>0.657454</v>
      </c>
      <c r="AK17" s="100">
        <v>0.375</v>
      </c>
      <c r="AL17" s="100">
        <v>0.774865</v>
      </c>
      <c r="AM17" s="100">
        <v>0.589981</v>
      </c>
      <c r="AN17" s="100">
        <v>0.646447</v>
      </c>
      <c r="AO17" s="98">
        <v>2841.0215798851714</v>
      </c>
      <c r="AP17" s="158">
        <v>1.465384674</v>
      </c>
      <c r="AQ17" s="100">
        <v>0.08710801393728224</v>
      </c>
      <c r="AR17" s="100">
        <v>0.5813953488372093</v>
      </c>
      <c r="AS17" s="98">
        <v>445.45634527816276</v>
      </c>
      <c r="AT17" s="98">
        <v>633.5379132844981</v>
      </c>
      <c r="AU17" s="98">
        <v>108.88932884577311</v>
      </c>
      <c r="AV17" s="98">
        <v>435.55731538309243</v>
      </c>
      <c r="AW17" s="98">
        <v>841.417541080974</v>
      </c>
      <c r="AX17" s="98">
        <v>356.3650762225302</v>
      </c>
      <c r="AY17" s="98">
        <v>1474.9554543654722</v>
      </c>
      <c r="AZ17" s="98">
        <v>554.3456741239359</v>
      </c>
      <c r="BA17" s="100" t="s">
        <v>597</v>
      </c>
      <c r="BB17" s="100" t="s">
        <v>597</v>
      </c>
      <c r="BC17" s="100" t="s">
        <v>597</v>
      </c>
      <c r="BD17" s="158">
        <v>1.3007365419999999</v>
      </c>
      <c r="BE17" s="158">
        <v>1.645103607</v>
      </c>
      <c r="BF17" s="162">
        <v>1194</v>
      </c>
      <c r="BG17" s="162">
        <v>24</v>
      </c>
      <c r="BH17" s="162">
        <v>2403</v>
      </c>
      <c r="BI17" s="162">
        <v>1078</v>
      </c>
      <c r="BJ17" s="162">
        <v>577</v>
      </c>
      <c r="BK17" s="97"/>
      <c r="BL17" s="97"/>
      <c r="BM17" s="97"/>
      <c r="BN17" s="97"/>
    </row>
    <row r="18" spans="1:66" ht="12.75">
      <c r="A18" s="79" t="s">
        <v>576</v>
      </c>
      <c r="B18" s="79" t="s">
        <v>329</v>
      </c>
      <c r="C18" s="79" t="s">
        <v>159</v>
      </c>
      <c r="D18" s="99">
        <v>1590</v>
      </c>
      <c r="E18" s="99">
        <v>163</v>
      </c>
      <c r="F18" s="99" t="s">
        <v>364</v>
      </c>
      <c r="G18" s="99">
        <v>8</v>
      </c>
      <c r="H18" s="99">
        <v>6</v>
      </c>
      <c r="I18" s="99">
        <v>10</v>
      </c>
      <c r="J18" s="99">
        <v>61</v>
      </c>
      <c r="K18" s="99">
        <v>54</v>
      </c>
      <c r="L18" s="99">
        <v>233</v>
      </c>
      <c r="M18" s="99">
        <v>36</v>
      </c>
      <c r="N18" s="99">
        <v>19</v>
      </c>
      <c r="O18" s="99">
        <v>19</v>
      </c>
      <c r="P18" s="159">
        <v>19</v>
      </c>
      <c r="Q18" s="99" t="s">
        <v>597</v>
      </c>
      <c r="R18" s="99" t="s">
        <v>597</v>
      </c>
      <c r="S18" s="99">
        <v>8</v>
      </c>
      <c r="T18" s="99" t="s">
        <v>597</v>
      </c>
      <c r="U18" s="99" t="s">
        <v>597</v>
      </c>
      <c r="V18" s="99" t="s">
        <v>597</v>
      </c>
      <c r="W18" s="99" t="s">
        <v>597</v>
      </c>
      <c r="X18" s="99" t="s">
        <v>597</v>
      </c>
      <c r="Y18" s="99" t="s">
        <v>597</v>
      </c>
      <c r="Z18" s="99">
        <v>7</v>
      </c>
      <c r="AA18" s="99" t="s">
        <v>597</v>
      </c>
      <c r="AB18" s="99" t="s">
        <v>597</v>
      </c>
      <c r="AC18" s="99" t="s">
        <v>597</v>
      </c>
      <c r="AD18" s="98" t="s">
        <v>343</v>
      </c>
      <c r="AE18" s="100">
        <v>0.10251572327044026</v>
      </c>
      <c r="AF18" s="100">
        <v>0.3</v>
      </c>
      <c r="AG18" s="98">
        <v>503.1446540880503</v>
      </c>
      <c r="AH18" s="98">
        <v>377.35849056603774</v>
      </c>
      <c r="AI18" s="100">
        <v>0.006</v>
      </c>
      <c r="AJ18" s="100">
        <v>0.54955</v>
      </c>
      <c r="AK18" s="100">
        <v>0.504673</v>
      </c>
      <c r="AL18" s="100">
        <v>0.714724</v>
      </c>
      <c r="AM18" s="100">
        <v>0.318584</v>
      </c>
      <c r="AN18" s="100">
        <v>0.387755</v>
      </c>
      <c r="AO18" s="98">
        <v>1194.9685534591194</v>
      </c>
      <c r="AP18" s="158">
        <v>0.8320349883999999</v>
      </c>
      <c r="AQ18" s="100" t="s">
        <v>597</v>
      </c>
      <c r="AR18" s="100" t="s">
        <v>597</v>
      </c>
      <c r="AS18" s="98">
        <v>503.1446540880503</v>
      </c>
      <c r="AT18" s="98" t="s">
        <v>597</v>
      </c>
      <c r="AU18" s="98" t="s">
        <v>597</v>
      </c>
      <c r="AV18" s="98" t="s">
        <v>597</v>
      </c>
      <c r="AW18" s="98" t="s">
        <v>597</v>
      </c>
      <c r="AX18" s="98" t="s">
        <v>597</v>
      </c>
      <c r="AY18" s="98" t="s">
        <v>597</v>
      </c>
      <c r="AZ18" s="98">
        <v>440.251572327044</v>
      </c>
      <c r="BA18" s="100" t="s">
        <v>597</v>
      </c>
      <c r="BB18" s="100" t="s">
        <v>597</v>
      </c>
      <c r="BC18" s="100" t="s">
        <v>597</v>
      </c>
      <c r="BD18" s="158">
        <v>0.5009394455</v>
      </c>
      <c r="BE18" s="158">
        <v>1.299325714</v>
      </c>
      <c r="BF18" s="162">
        <v>111</v>
      </c>
      <c r="BG18" s="162">
        <v>107</v>
      </c>
      <c r="BH18" s="162">
        <v>326</v>
      </c>
      <c r="BI18" s="162">
        <v>113</v>
      </c>
      <c r="BJ18" s="162">
        <v>49</v>
      </c>
      <c r="BK18" s="97"/>
      <c r="BL18" s="97"/>
      <c r="BM18" s="97"/>
      <c r="BN18" s="97"/>
    </row>
    <row r="19" spans="1:66" ht="12.75">
      <c r="A19" s="79" t="s">
        <v>577</v>
      </c>
      <c r="B19" s="79" t="s">
        <v>330</v>
      </c>
      <c r="C19" s="79" t="s">
        <v>159</v>
      </c>
      <c r="D19" s="99">
        <v>2261</v>
      </c>
      <c r="E19" s="99">
        <v>262</v>
      </c>
      <c r="F19" s="99" t="s">
        <v>364</v>
      </c>
      <c r="G19" s="99">
        <v>11</v>
      </c>
      <c r="H19" s="99" t="s">
        <v>597</v>
      </c>
      <c r="I19" s="99">
        <v>22</v>
      </c>
      <c r="J19" s="99">
        <v>94</v>
      </c>
      <c r="K19" s="99" t="s">
        <v>597</v>
      </c>
      <c r="L19" s="99">
        <v>394</v>
      </c>
      <c r="M19" s="99">
        <v>63</v>
      </c>
      <c r="N19" s="99">
        <v>37</v>
      </c>
      <c r="O19" s="99">
        <v>36</v>
      </c>
      <c r="P19" s="159">
        <v>36</v>
      </c>
      <c r="Q19" s="99" t="s">
        <v>597</v>
      </c>
      <c r="R19" s="99">
        <v>9</v>
      </c>
      <c r="S19" s="99">
        <v>12</v>
      </c>
      <c r="T19" s="99" t="s">
        <v>597</v>
      </c>
      <c r="U19" s="99" t="s">
        <v>597</v>
      </c>
      <c r="V19" s="99" t="s">
        <v>597</v>
      </c>
      <c r="W19" s="99">
        <v>11</v>
      </c>
      <c r="X19" s="99">
        <v>8</v>
      </c>
      <c r="Y19" s="99">
        <v>30</v>
      </c>
      <c r="Z19" s="99">
        <v>13</v>
      </c>
      <c r="AA19" s="99" t="s">
        <v>597</v>
      </c>
      <c r="AB19" s="99" t="s">
        <v>597</v>
      </c>
      <c r="AC19" s="99" t="s">
        <v>597</v>
      </c>
      <c r="AD19" s="98" t="s">
        <v>343</v>
      </c>
      <c r="AE19" s="100">
        <v>0.11587793011941619</v>
      </c>
      <c r="AF19" s="100">
        <v>0.25</v>
      </c>
      <c r="AG19" s="98">
        <v>486.51039363113665</v>
      </c>
      <c r="AH19" s="98" t="s">
        <v>597</v>
      </c>
      <c r="AI19" s="100">
        <v>0.01</v>
      </c>
      <c r="AJ19" s="100">
        <v>0.598726</v>
      </c>
      <c r="AK19" s="100" t="s">
        <v>597</v>
      </c>
      <c r="AL19" s="100">
        <v>0.726937</v>
      </c>
      <c r="AM19" s="100">
        <v>0.446809</v>
      </c>
      <c r="AN19" s="100">
        <v>0.486842</v>
      </c>
      <c r="AO19" s="98">
        <v>1592.2158337019018</v>
      </c>
      <c r="AP19" s="158">
        <v>1.077354431</v>
      </c>
      <c r="AQ19" s="100" t="s">
        <v>597</v>
      </c>
      <c r="AR19" s="100" t="s">
        <v>597</v>
      </c>
      <c r="AS19" s="98">
        <v>530.7386112339673</v>
      </c>
      <c r="AT19" s="98" t="s">
        <v>597</v>
      </c>
      <c r="AU19" s="98" t="s">
        <v>597</v>
      </c>
      <c r="AV19" s="98" t="s">
        <v>597</v>
      </c>
      <c r="AW19" s="98">
        <v>486.51039363113665</v>
      </c>
      <c r="AX19" s="98">
        <v>353.82574082264483</v>
      </c>
      <c r="AY19" s="98">
        <v>1326.8465280849182</v>
      </c>
      <c r="AZ19" s="98">
        <v>574.9668288367978</v>
      </c>
      <c r="BA19" s="101" t="s">
        <v>597</v>
      </c>
      <c r="BB19" s="101" t="s">
        <v>597</v>
      </c>
      <c r="BC19" s="101" t="s">
        <v>597</v>
      </c>
      <c r="BD19" s="158">
        <v>0.7545658112</v>
      </c>
      <c r="BE19" s="158">
        <v>1.4915127559999999</v>
      </c>
      <c r="BF19" s="162">
        <v>157</v>
      </c>
      <c r="BG19" s="162" t="s">
        <v>597</v>
      </c>
      <c r="BH19" s="162">
        <v>542</v>
      </c>
      <c r="BI19" s="162">
        <v>141</v>
      </c>
      <c r="BJ19" s="162">
        <v>76</v>
      </c>
      <c r="BK19" s="97"/>
      <c r="BL19" s="97"/>
      <c r="BM19" s="97"/>
      <c r="BN19" s="97"/>
    </row>
    <row r="20" spans="1:66" ht="12.75">
      <c r="A20" s="79" t="s">
        <v>581</v>
      </c>
      <c r="B20" s="79" t="s">
        <v>334</v>
      </c>
      <c r="C20" s="79" t="s">
        <v>159</v>
      </c>
      <c r="D20" s="99">
        <v>2867</v>
      </c>
      <c r="E20" s="99">
        <v>587</v>
      </c>
      <c r="F20" s="99" t="s">
        <v>367</v>
      </c>
      <c r="G20" s="99">
        <v>15</v>
      </c>
      <c r="H20" s="99">
        <v>10</v>
      </c>
      <c r="I20" s="99">
        <v>30</v>
      </c>
      <c r="J20" s="99">
        <v>264</v>
      </c>
      <c r="K20" s="99" t="s">
        <v>597</v>
      </c>
      <c r="L20" s="99">
        <v>544</v>
      </c>
      <c r="M20" s="99">
        <v>205</v>
      </c>
      <c r="N20" s="99">
        <v>111</v>
      </c>
      <c r="O20" s="99">
        <v>83</v>
      </c>
      <c r="P20" s="159">
        <v>83</v>
      </c>
      <c r="Q20" s="99" t="s">
        <v>597</v>
      </c>
      <c r="R20" s="99">
        <v>8</v>
      </c>
      <c r="S20" s="99">
        <v>24</v>
      </c>
      <c r="T20" s="99">
        <v>13</v>
      </c>
      <c r="U20" s="99" t="s">
        <v>597</v>
      </c>
      <c r="V20" s="99">
        <v>23</v>
      </c>
      <c r="W20" s="99">
        <v>22</v>
      </c>
      <c r="X20" s="99">
        <v>18</v>
      </c>
      <c r="Y20" s="99">
        <v>44</v>
      </c>
      <c r="Z20" s="99">
        <v>13</v>
      </c>
      <c r="AA20" s="99" t="s">
        <v>597</v>
      </c>
      <c r="AB20" s="99" t="s">
        <v>597</v>
      </c>
      <c r="AC20" s="99" t="s">
        <v>597</v>
      </c>
      <c r="AD20" s="98" t="s">
        <v>343</v>
      </c>
      <c r="AE20" s="100">
        <v>0.2047436344611092</v>
      </c>
      <c r="AF20" s="100">
        <v>0.07</v>
      </c>
      <c r="AG20" s="98">
        <v>523.1949773282176</v>
      </c>
      <c r="AH20" s="98">
        <v>348.7966515521451</v>
      </c>
      <c r="AI20" s="100">
        <v>0.01</v>
      </c>
      <c r="AJ20" s="100">
        <v>0.733333</v>
      </c>
      <c r="AK20" s="100" t="s">
        <v>597</v>
      </c>
      <c r="AL20" s="100">
        <v>0.795322</v>
      </c>
      <c r="AM20" s="100">
        <v>0.58908</v>
      </c>
      <c r="AN20" s="100">
        <v>0.596774</v>
      </c>
      <c r="AO20" s="98">
        <v>2895.0122078828044</v>
      </c>
      <c r="AP20" s="158">
        <v>1.3914855959999999</v>
      </c>
      <c r="AQ20" s="100" t="s">
        <v>597</v>
      </c>
      <c r="AR20" s="100" t="s">
        <v>597</v>
      </c>
      <c r="AS20" s="98">
        <v>837.1119637251483</v>
      </c>
      <c r="AT20" s="98">
        <v>453.43564701778865</v>
      </c>
      <c r="AU20" s="98" t="s">
        <v>597</v>
      </c>
      <c r="AV20" s="98">
        <v>802.2322985699337</v>
      </c>
      <c r="AW20" s="98">
        <v>767.3526334147192</v>
      </c>
      <c r="AX20" s="98">
        <v>627.8339727938612</v>
      </c>
      <c r="AY20" s="98">
        <v>1534.7052668294384</v>
      </c>
      <c r="AZ20" s="98">
        <v>453.43564701778865</v>
      </c>
      <c r="BA20" s="100" t="s">
        <v>597</v>
      </c>
      <c r="BB20" s="100" t="s">
        <v>597</v>
      </c>
      <c r="BC20" s="100" t="s">
        <v>597</v>
      </c>
      <c r="BD20" s="158">
        <v>1.108310471</v>
      </c>
      <c r="BE20" s="158">
        <v>1.7249557500000001</v>
      </c>
      <c r="BF20" s="162">
        <v>360</v>
      </c>
      <c r="BG20" s="162" t="s">
        <v>597</v>
      </c>
      <c r="BH20" s="162">
        <v>684</v>
      </c>
      <c r="BI20" s="162">
        <v>348</v>
      </c>
      <c r="BJ20" s="162">
        <v>186</v>
      </c>
      <c r="BK20" s="97"/>
      <c r="BL20" s="97"/>
      <c r="BM20" s="97"/>
      <c r="BN20" s="97"/>
    </row>
    <row r="21" spans="1:66" ht="12.75">
      <c r="A21" s="79" t="s">
        <v>561</v>
      </c>
      <c r="B21" s="79" t="s">
        <v>314</v>
      </c>
      <c r="C21" s="79" t="s">
        <v>159</v>
      </c>
      <c r="D21" s="99">
        <v>3760</v>
      </c>
      <c r="E21" s="99">
        <v>525</v>
      </c>
      <c r="F21" s="99" t="s">
        <v>364</v>
      </c>
      <c r="G21" s="99">
        <v>19</v>
      </c>
      <c r="H21" s="99">
        <v>6</v>
      </c>
      <c r="I21" s="99">
        <v>51</v>
      </c>
      <c r="J21" s="99">
        <v>255</v>
      </c>
      <c r="K21" s="99" t="s">
        <v>597</v>
      </c>
      <c r="L21" s="99">
        <v>667</v>
      </c>
      <c r="M21" s="99">
        <v>147</v>
      </c>
      <c r="N21" s="99">
        <v>75</v>
      </c>
      <c r="O21" s="99">
        <v>103</v>
      </c>
      <c r="P21" s="159">
        <v>103</v>
      </c>
      <c r="Q21" s="99">
        <v>10</v>
      </c>
      <c r="R21" s="99">
        <v>15</v>
      </c>
      <c r="S21" s="99">
        <v>11</v>
      </c>
      <c r="T21" s="99">
        <v>22</v>
      </c>
      <c r="U21" s="99" t="s">
        <v>597</v>
      </c>
      <c r="V21" s="99">
        <v>12</v>
      </c>
      <c r="W21" s="99">
        <v>27</v>
      </c>
      <c r="X21" s="99">
        <v>10</v>
      </c>
      <c r="Y21" s="99">
        <v>41</v>
      </c>
      <c r="Z21" s="99">
        <v>15</v>
      </c>
      <c r="AA21" s="99" t="s">
        <v>597</v>
      </c>
      <c r="AB21" s="99" t="s">
        <v>597</v>
      </c>
      <c r="AC21" s="99" t="s">
        <v>597</v>
      </c>
      <c r="AD21" s="98" t="s">
        <v>343</v>
      </c>
      <c r="AE21" s="100">
        <v>0.13962765957446807</v>
      </c>
      <c r="AF21" s="100">
        <v>0.29</v>
      </c>
      <c r="AG21" s="98">
        <v>505.3191489361702</v>
      </c>
      <c r="AH21" s="98">
        <v>159.5744680851064</v>
      </c>
      <c r="AI21" s="100">
        <v>0.013999999999999999</v>
      </c>
      <c r="AJ21" s="100">
        <v>0.685484</v>
      </c>
      <c r="AK21" s="100" t="s">
        <v>597</v>
      </c>
      <c r="AL21" s="100">
        <v>0.709574</v>
      </c>
      <c r="AM21" s="100">
        <v>0.523132</v>
      </c>
      <c r="AN21" s="100">
        <v>0.506757</v>
      </c>
      <c r="AO21" s="98">
        <v>2739.3617021276596</v>
      </c>
      <c r="AP21" s="158">
        <v>1.636187439</v>
      </c>
      <c r="AQ21" s="100">
        <v>0.0970873786407767</v>
      </c>
      <c r="AR21" s="100">
        <v>0.6666666666666666</v>
      </c>
      <c r="AS21" s="98">
        <v>292.5531914893617</v>
      </c>
      <c r="AT21" s="98">
        <v>585.1063829787234</v>
      </c>
      <c r="AU21" s="98" t="s">
        <v>597</v>
      </c>
      <c r="AV21" s="98">
        <v>319.1489361702128</v>
      </c>
      <c r="AW21" s="98">
        <v>718.0851063829788</v>
      </c>
      <c r="AX21" s="98">
        <v>265.9574468085106</v>
      </c>
      <c r="AY21" s="98">
        <v>1090.4255319148936</v>
      </c>
      <c r="AZ21" s="98">
        <v>398.93617021276594</v>
      </c>
      <c r="BA21" s="100" t="s">
        <v>597</v>
      </c>
      <c r="BB21" s="100" t="s">
        <v>597</v>
      </c>
      <c r="BC21" s="100" t="s">
        <v>597</v>
      </c>
      <c r="BD21" s="158">
        <v>1.335509186</v>
      </c>
      <c r="BE21" s="158">
        <v>1.984353027</v>
      </c>
      <c r="BF21" s="162">
        <v>372</v>
      </c>
      <c r="BG21" s="162" t="s">
        <v>597</v>
      </c>
      <c r="BH21" s="162">
        <v>940</v>
      </c>
      <c r="BI21" s="162">
        <v>281</v>
      </c>
      <c r="BJ21" s="162">
        <v>148</v>
      </c>
      <c r="BK21" s="97"/>
      <c r="BL21" s="97"/>
      <c r="BM21" s="97"/>
      <c r="BN21" s="97"/>
    </row>
    <row r="22" spans="1:66" ht="12.75">
      <c r="A22" s="79" t="s">
        <v>534</v>
      </c>
      <c r="B22" s="79" t="s">
        <v>287</v>
      </c>
      <c r="C22" s="79" t="s">
        <v>159</v>
      </c>
      <c r="D22" s="99">
        <v>3887</v>
      </c>
      <c r="E22" s="99">
        <v>700</v>
      </c>
      <c r="F22" s="99" t="s">
        <v>364</v>
      </c>
      <c r="G22" s="99">
        <v>15</v>
      </c>
      <c r="H22" s="99">
        <v>7</v>
      </c>
      <c r="I22" s="99">
        <v>56</v>
      </c>
      <c r="J22" s="99">
        <v>271</v>
      </c>
      <c r="K22" s="99" t="s">
        <v>597</v>
      </c>
      <c r="L22" s="99">
        <v>573</v>
      </c>
      <c r="M22" s="99">
        <v>230</v>
      </c>
      <c r="N22" s="99">
        <v>130</v>
      </c>
      <c r="O22" s="99">
        <v>73</v>
      </c>
      <c r="P22" s="159">
        <v>73</v>
      </c>
      <c r="Q22" s="99">
        <v>10</v>
      </c>
      <c r="R22" s="99">
        <v>21</v>
      </c>
      <c r="S22" s="99">
        <v>29</v>
      </c>
      <c r="T22" s="99" t="s">
        <v>597</v>
      </c>
      <c r="U22" s="99" t="s">
        <v>597</v>
      </c>
      <c r="V22" s="99">
        <v>6</v>
      </c>
      <c r="W22" s="99">
        <v>33</v>
      </c>
      <c r="X22" s="99">
        <v>14</v>
      </c>
      <c r="Y22" s="99">
        <v>58</v>
      </c>
      <c r="Z22" s="99">
        <v>31</v>
      </c>
      <c r="AA22" s="99" t="s">
        <v>597</v>
      </c>
      <c r="AB22" s="99" t="s">
        <v>597</v>
      </c>
      <c r="AC22" s="99" t="s">
        <v>597</v>
      </c>
      <c r="AD22" s="98" t="s">
        <v>343</v>
      </c>
      <c r="AE22" s="100">
        <v>0.18008747105737072</v>
      </c>
      <c r="AF22" s="100">
        <v>0.24</v>
      </c>
      <c r="AG22" s="98">
        <v>385.90172369436584</v>
      </c>
      <c r="AH22" s="98">
        <v>180.08747105737072</v>
      </c>
      <c r="AI22" s="100">
        <v>0.013999999999999999</v>
      </c>
      <c r="AJ22" s="100">
        <v>0.596916</v>
      </c>
      <c r="AK22" s="100" t="s">
        <v>597</v>
      </c>
      <c r="AL22" s="100">
        <v>0.638085</v>
      </c>
      <c r="AM22" s="100">
        <v>0.516854</v>
      </c>
      <c r="AN22" s="100">
        <v>0.548523</v>
      </c>
      <c r="AO22" s="98">
        <v>1878.0550553125804</v>
      </c>
      <c r="AP22" s="158">
        <v>0.9804032135</v>
      </c>
      <c r="AQ22" s="100">
        <v>0.136986301369863</v>
      </c>
      <c r="AR22" s="100">
        <v>0.47619047619047616</v>
      </c>
      <c r="AS22" s="98">
        <v>746.0766658091072</v>
      </c>
      <c r="AT22" s="98" t="s">
        <v>597</v>
      </c>
      <c r="AU22" s="98" t="s">
        <v>597</v>
      </c>
      <c r="AV22" s="98">
        <v>154.36068947774635</v>
      </c>
      <c r="AW22" s="98">
        <v>848.9837921276048</v>
      </c>
      <c r="AX22" s="98">
        <v>360.17494211474144</v>
      </c>
      <c r="AY22" s="98">
        <v>1492.1533316182145</v>
      </c>
      <c r="AZ22" s="98">
        <v>797.530228968356</v>
      </c>
      <c r="BA22" s="100" t="s">
        <v>597</v>
      </c>
      <c r="BB22" s="100" t="s">
        <v>597</v>
      </c>
      <c r="BC22" s="100" t="s">
        <v>597</v>
      </c>
      <c r="BD22" s="158">
        <v>0.7684796143</v>
      </c>
      <c r="BE22" s="158">
        <v>1.232709808</v>
      </c>
      <c r="BF22" s="162">
        <v>454</v>
      </c>
      <c r="BG22" s="162" t="s">
        <v>597</v>
      </c>
      <c r="BH22" s="162">
        <v>898</v>
      </c>
      <c r="BI22" s="162">
        <v>445</v>
      </c>
      <c r="BJ22" s="162">
        <v>237</v>
      </c>
      <c r="BK22" s="97"/>
      <c r="BL22" s="97"/>
      <c r="BM22" s="97"/>
      <c r="BN22" s="97"/>
    </row>
    <row r="23" spans="1:66" ht="12.75">
      <c r="A23" s="79" t="s">
        <v>578</v>
      </c>
      <c r="B23" s="79" t="s">
        <v>331</v>
      </c>
      <c r="C23" s="79" t="s">
        <v>159</v>
      </c>
      <c r="D23" s="99">
        <v>2702</v>
      </c>
      <c r="E23" s="99">
        <v>398</v>
      </c>
      <c r="F23" s="99" t="s">
        <v>364</v>
      </c>
      <c r="G23" s="99">
        <v>8</v>
      </c>
      <c r="H23" s="99">
        <v>9</v>
      </c>
      <c r="I23" s="99">
        <v>31</v>
      </c>
      <c r="J23" s="99">
        <v>186</v>
      </c>
      <c r="K23" s="99" t="s">
        <v>597</v>
      </c>
      <c r="L23" s="99">
        <v>414</v>
      </c>
      <c r="M23" s="99">
        <v>117</v>
      </c>
      <c r="N23" s="99">
        <v>64</v>
      </c>
      <c r="O23" s="99">
        <v>69</v>
      </c>
      <c r="P23" s="159">
        <v>69</v>
      </c>
      <c r="Q23" s="99">
        <v>6</v>
      </c>
      <c r="R23" s="99">
        <v>9</v>
      </c>
      <c r="S23" s="99">
        <v>19</v>
      </c>
      <c r="T23" s="99">
        <v>9</v>
      </c>
      <c r="U23" s="99" t="s">
        <v>597</v>
      </c>
      <c r="V23" s="99">
        <v>9</v>
      </c>
      <c r="W23" s="99">
        <v>21</v>
      </c>
      <c r="X23" s="99">
        <v>6</v>
      </c>
      <c r="Y23" s="99">
        <v>30</v>
      </c>
      <c r="Z23" s="99">
        <v>27</v>
      </c>
      <c r="AA23" s="99" t="s">
        <v>597</v>
      </c>
      <c r="AB23" s="99" t="s">
        <v>597</v>
      </c>
      <c r="AC23" s="99" t="s">
        <v>597</v>
      </c>
      <c r="AD23" s="98" t="s">
        <v>343</v>
      </c>
      <c r="AE23" s="100">
        <v>0.14729829755736493</v>
      </c>
      <c r="AF23" s="100">
        <v>0.25</v>
      </c>
      <c r="AG23" s="98">
        <v>296.07698001480384</v>
      </c>
      <c r="AH23" s="98">
        <v>333.08660251665435</v>
      </c>
      <c r="AI23" s="100">
        <v>0.011000000000000001</v>
      </c>
      <c r="AJ23" s="100">
        <v>0.615894</v>
      </c>
      <c r="AK23" s="100" t="s">
        <v>597</v>
      </c>
      <c r="AL23" s="100">
        <v>0.633028</v>
      </c>
      <c r="AM23" s="100">
        <v>0.431734</v>
      </c>
      <c r="AN23" s="100">
        <v>0.453901</v>
      </c>
      <c r="AO23" s="98">
        <v>2553.663952627683</v>
      </c>
      <c r="AP23" s="158">
        <v>1.461122589</v>
      </c>
      <c r="AQ23" s="100">
        <v>0.08695652173913043</v>
      </c>
      <c r="AR23" s="100">
        <v>0.6666666666666666</v>
      </c>
      <c r="AS23" s="98">
        <v>703.1828275351592</v>
      </c>
      <c r="AT23" s="98">
        <v>333.08660251665435</v>
      </c>
      <c r="AU23" s="98" t="s">
        <v>597</v>
      </c>
      <c r="AV23" s="98">
        <v>333.08660251665435</v>
      </c>
      <c r="AW23" s="98">
        <v>777.2020725388601</v>
      </c>
      <c r="AX23" s="98">
        <v>222.0577350111029</v>
      </c>
      <c r="AY23" s="98">
        <v>1110.2886750555144</v>
      </c>
      <c r="AZ23" s="98">
        <v>999.2598075499629</v>
      </c>
      <c r="BA23" s="100" t="s">
        <v>597</v>
      </c>
      <c r="BB23" s="100" t="s">
        <v>597</v>
      </c>
      <c r="BC23" s="100" t="s">
        <v>597</v>
      </c>
      <c r="BD23" s="158">
        <v>1.136840515</v>
      </c>
      <c r="BE23" s="158">
        <v>1.849144135</v>
      </c>
      <c r="BF23" s="162">
        <v>302</v>
      </c>
      <c r="BG23" s="162" t="s">
        <v>597</v>
      </c>
      <c r="BH23" s="162">
        <v>654</v>
      </c>
      <c r="BI23" s="162">
        <v>271</v>
      </c>
      <c r="BJ23" s="162">
        <v>141</v>
      </c>
      <c r="BK23" s="97"/>
      <c r="BL23" s="97"/>
      <c r="BM23" s="97"/>
      <c r="BN23" s="97"/>
    </row>
    <row r="24" spans="1:66" ht="12.75">
      <c r="A24" s="79" t="s">
        <v>566</v>
      </c>
      <c r="B24" s="79" t="s">
        <v>319</v>
      </c>
      <c r="C24" s="79" t="s">
        <v>159</v>
      </c>
      <c r="D24" s="99">
        <v>3266</v>
      </c>
      <c r="E24" s="99">
        <v>606</v>
      </c>
      <c r="F24" s="99" t="s">
        <v>366</v>
      </c>
      <c r="G24" s="99">
        <v>15</v>
      </c>
      <c r="H24" s="99">
        <v>6</v>
      </c>
      <c r="I24" s="99">
        <v>56</v>
      </c>
      <c r="J24" s="99">
        <v>274</v>
      </c>
      <c r="K24" s="99" t="s">
        <v>597</v>
      </c>
      <c r="L24" s="99">
        <v>530</v>
      </c>
      <c r="M24" s="99">
        <v>228</v>
      </c>
      <c r="N24" s="99">
        <v>129</v>
      </c>
      <c r="O24" s="99">
        <v>90</v>
      </c>
      <c r="P24" s="159">
        <v>90</v>
      </c>
      <c r="Q24" s="99" t="s">
        <v>597</v>
      </c>
      <c r="R24" s="99">
        <v>7</v>
      </c>
      <c r="S24" s="99">
        <v>22</v>
      </c>
      <c r="T24" s="99">
        <v>15</v>
      </c>
      <c r="U24" s="99" t="s">
        <v>597</v>
      </c>
      <c r="V24" s="99">
        <v>11</v>
      </c>
      <c r="W24" s="99">
        <v>27</v>
      </c>
      <c r="X24" s="99">
        <v>17</v>
      </c>
      <c r="Y24" s="99">
        <v>49</v>
      </c>
      <c r="Z24" s="99">
        <v>15</v>
      </c>
      <c r="AA24" s="99" t="s">
        <v>597</v>
      </c>
      <c r="AB24" s="99" t="s">
        <v>597</v>
      </c>
      <c r="AC24" s="99" t="s">
        <v>597</v>
      </c>
      <c r="AD24" s="98" t="s">
        <v>343</v>
      </c>
      <c r="AE24" s="100">
        <v>0.1855480710349051</v>
      </c>
      <c r="AF24" s="100">
        <v>0.16</v>
      </c>
      <c r="AG24" s="98">
        <v>459.27740355174524</v>
      </c>
      <c r="AH24" s="98">
        <v>183.7109614206981</v>
      </c>
      <c r="AI24" s="100">
        <v>0.017</v>
      </c>
      <c r="AJ24" s="100">
        <v>0.691919</v>
      </c>
      <c r="AK24" s="100" t="s">
        <v>597</v>
      </c>
      <c r="AL24" s="100">
        <v>0.736111</v>
      </c>
      <c r="AM24" s="100">
        <v>0.550725</v>
      </c>
      <c r="AN24" s="100">
        <v>0.573333</v>
      </c>
      <c r="AO24" s="98">
        <v>2755.6644213104714</v>
      </c>
      <c r="AP24" s="158">
        <v>1.437476807</v>
      </c>
      <c r="AQ24" s="100" t="s">
        <v>597</v>
      </c>
      <c r="AR24" s="100" t="s">
        <v>597</v>
      </c>
      <c r="AS24" s="98">
        <v>673.6068585425597</v>
      </c>
      <c r="AT24" s="98">
        <v>459.27740355174524</v>
      </c>
      <c r="AU24" s="98" t="s">
        <v>597</v>
      </c>
      <c r="AV24" s="98">
        <v>336.80342927127987</v>
      </c>
      <c r="AW24" s="98">
        <v>826.6993263931414</v>
      </c>
      <c r="AX24" s="98">
        <v>520.514390691978</v>
      </c>
      <c r="AY24" s="98">
        <v>1500.3061849357011</v>
      </c>
      <c r="AZ24" s="98">
        <v>459.27740355174524</v>
      </c>
      <c r="BA24" s="100" t="s">
        <v>597</v>
      </c>
      <c r="BB24" s="100" t="s">
        <v>597</v>
      </c>
      <c r="BC24" s="100" t="s">
        <v>597</v>
      </c>
      <c r="BD24" s="158">
        <v>1.1559011080000001</v>
      </c>
      <c r="BE24" s="158">
        <v>1.7669030760000002</v>
      </c>
      <c r="BF24" s="162">
        <v>396</v>
      </c>
      <c r="BG24" s="162" t="s">
        <v>597</v>
      </c>
      <c r="BH24" s="162">
        <v>720</v>
      </c>
      <c r="BI24" s="162">
        <v>414</v>
      </c>
      <c r="BJ24" s="162">
        <v>225</v>
      </c>
      <c r="BK24" s="97"/>
      <c r="BL24" s="97"/>
      <c r="BM24" s="97"/>
      <c r="BN24" s="97"/>
    </row>
    <row r="25" spans="1:66" ht="12.75">
      <c r="A25" s="79" t="s">
        <v>558</v>
      </c>
      <c r="B25" s="79" t="s">
        <v>311</v>
      </c>
      <c r="C25" s="79" t="s">
        <v>159</v>
      </c>
      <c r="D25" s="99">
        <v>9763</v>
      </c>
      <c r="E25" s="99">
        <v>1345</v>
      </c>
      <c r="F25" s="99" t="s">
        <v>363</v>
      </c>
      <c r="G25" s="99">
        <v>37</v>
      </c>
      <c r="H25" s="99">
        <v>29</v>
      </c>
      <c r="I25" s="99">
        <v>116</v>
      </c>
      <c r="J25" s="99">
        <v>615</v>
      </c>
      <c r="K25" s="99">
        <v>8</v>
      </c>
      <c r="L25" s="99">
        <v>1672</v>
      </c>
      <c r="M25" s="99">
        <v>438</v>
      </c>
      <c r="N25" s="99">
        <v>255</v>
      </c>
      <c r="O25" s="99">
        <v>219</v>
      </c>
      <c r="P25" s="159">
        <v>219</v>
      </c>
      <c r="Q25" s="99">
        <v>25</v>
      </c>
      <c r="R25" s="99">
        <v>40</v>
      </c>
      <c r="S25" s="99">
        <v>55</v>
      </c>
      <c r="T25" s="99">
        <v>41</v>
      </c>
      <c r="U25" s="99">
        <v>12</v>
      </c>
      <c r="V25" s="99">
        <v>20</v>
      </c>
      <c r="W25" s="99">
        <v>63</v>
      </c>
      <c r="X25" s="99">
        <v>27</v>
      </c>
      <c r="Y25" s="99">
        <v>76</v>
      </c>
      <c r="Z25" s="99">
        <v>63</v>
      </c>
      <c r="AA25" s="99" t="s">
        <v>597</v>
      </c>
      <c r="AB25" s="99" t="s">
        <v>597</v>
      </c>
      <c r="AC25" s="99" t="s">
        <v>597</v>
      </c>
      <c r="AD25" s="98" t="s">
        <v>343</v>
      </c>
      <c r="AE25" s="100">
        <v>0.1377650312403974</v>
      </c>
      <c r="AF25" s="100">
        <v>0.18</v>
      </c>
      <c r="AG25" s="98">
        <v>378.98187032674383</v>
      </c>
      <c r="AH25" s="98">
        <v>297.03984431015056</v>
      </c>
      <c r="AI25" s="100">
        <v>0.012</v>
      </c>
      <c r="AJ25" s="100">
        <v>0.677313</v>
      </c>
      <c r="AK25" s="100">
        <v>0.533333</v>
      </c>
      <c r="AL25" s="100">
        <v>0.698121</v>
      </c>
      <c r="AM25" s="100">
        <v>0.564433</v>
      </c>
      <c r="AN25" s="100">
        <v>0.615942</v>
      </c>
      <c r="AO25" s="98">
        <v>2243.1629622042406</v>
      </c>
      <c r="AP25" s="158">
        <v>1.380734406</v>
      </c>
      <c r="AQ25" s="100">
        <v>0.1141552511415525</v>
      </c>
      <c r="AR25" s="100">
        <v>0.625</v>
      </c>
      <c r="AS25" s="98">
        <v>563.3514288640787</v>
      </c>
      <c r="AT25" s="98">
        <v>419.95288333504044</v>
      </c>
      <c r="AU25" s="98">
        <v>122.91303902488988</v>
      </c>
      <c r="AV25" s="98">
        <v>204.85506504148316</v>
      </c>
      <c r="AW25" s="98">
        <v>645.2934548806719</v>
      </c>
      <c r="AX25" s="98">
        <v>276.55433780600225</v>
      </c>
      <c r="AY25" s="98">
        <v>778.449247157636</v>
      </c>
      <c r="AZ25" s="98">
        <v>645.2934548806719</v>
      </c>
      <c r="BA25" s="100" t="s">
        <v>597</v>
      </c>
      <c r="BB25" s="100" t="s">
        <v>597</v>
      </c>
      <c r="BC25" s="100" t="s">
        <v>597</v>
      </c>
      <c r="BD25" s="158">
        <v>1.203909836</v>
      </c>
      <c r="BE25" s="158">
        <v>1.576220093</v>
      </c>
      <c r="BF25" s="162">
        <v>908</v>
      </c>
      <c r="BG25" s="162">
        <v>15</v>
      </c>
      <c r="BH25" s="162">
        <v>2395</v>
      </c>
      <c r="BI25" s="162">
        <v>776</v>
      </c>
      <c r="BJ25" s="162">
        <v>414</v>
      </c>
      <c r="BK25" s="97"/>
      <c r="BL25" s="97"/>
      <c r="BM25" s="97"/>
      <c r="BN25" s="97"/>
    </row>
    <row r="26" spans="1:66" ht="12.75">
      <c r="A26" s="79" t="s">
        <v>542</v>
      </c>
      <c r="B26" s="79" t="s">
        <v>295</v>
      </c>
      <c r="C26" s="79" t="s">
        <v>159</v>
      </c>
      <c r="D26" s="99">
        <v>4379</v>
      </c>
      <c r="E26" s="99">
        <v>829</v>
      </c>
      <c r="F26" s="99" t="s">
        <v>366</v>
      </c>
      <c r="G26" s="99">
        <v>20</v>
      </c>
      <c r="H26" s="99">
        <v>8</v>
      </c>
      <c r="I26" s="99">
        <v>91</v>
      </c>
      <c r="J26" s="99">
        <v>403</v>
      </c>
      <c r="K26" s="99">
        <v>350</v>
      </c>
      <c r="L26" s="99">
        <v>808</v>
      </c>
      <c r="M26" s="99">
        <v>321</v>
      </c>
      <c r="N26" s="99">
        <v>177</v>
      </c>
      <c r="O26" s="99">
        <v>83</v>
      </c>
      <c r="P26" s="159">
        <v>83</v>
      </c>
      <c r="Q26" s="99">
        <v>7</v>
      </c>
      <c r="R26" s="99">
        <v>17</v>
      </c>
      <c r="S26" s="99">
        <v>10</v>
      </c>
      <c r="T26" s="99">
        <v>13</v>
      </c>
      <c r="U26" s="99" t="s">
        <v>597</v>
      </c>
      <c r="V26" s="99">
        <v>12</v>
      </c>
      <c r="W26" s="99">
        <v>31</v>
      </c>
      <c r="X26" s="99">
        <v>21</v>
      </c>
      <c r="Y26" s="99">
        <v>72</v>
      </c>
      <c r="Z26" s="99">
        <v>36</v>
      </c>
      <c r="AA26" s="99" t="s">
        <v>597</v>
      </c>
      <c r="AB26" s="99" t="s">
        <v>597</v>
      </c>
      <c r="AC26" s="99" t="s">
        <v>597</v>
      </c>
      <c r="AD26" s="98" t="s">
        <v>343</v>
      </c>
      <c r="AE26" s="100">
        <v>0.18931262845398492</v>
      </c>
      <c r="AF26" s="100">
        <v>0.15</v>
      </c>
      <c r="AG26" s="98">
        <v>456.72527974423383</v>
      </c>
      <c r="AH26" s="98">
        <v>182.69011189769353</v>
      </c>
      <c r="AI26" s="100">
        <v>0.021</v>
      </c>
      <c r="AJ26" s="100">
        <v>0.744917</v>
      </c>
      <c r="AK26" s="100">
        <v>0.670498</v>
      </c>
      <c r="AL26" s="100">
        <v>0.764428</v>
      </c>
      <c r="AM26" s="100">
        <v>0.601124</v>
      </c>
      <c r="AN26" s="100">
        <v>0.62766</v>
      </c>
      <c r="AO26" s="98">
        <v>1895.4099109385704</v>
      </c>
      <c r="AP26" s="158">
        <v>0.9519995117000001</v>
      </c>
      <c r="AQ26" s="100">
        <v>0.08433734939759036</v>
      </c>
      <c r="AR26" s="100">
        <v>0.4117647058823529</v>
      </c>
      <c r="AS26" s="98">
        <v>228.36263987211692</v>
      </c>
      <c r="AT26" s="98">
        <v>296.871431833752</v>
      </c>
      <c r="AU26" s="98" t="s">
        <v>597</v>
      </c>
      <c r="AV26" s="98">
        <v>274.03516784654033</v>
      </c>
      <c r="AW26" s="98">
        <v>707.9241836035625</v>
      </c>
      <c r="AX26" s="98">
        <v>479.5615437314455</v>
      </c>
      <c r="AY26" s="98">
        <v>1644.2110070792419</v>
      </c>
      <c r="AZ26" s="98">
        <v>822.1055035396209</v>
      </c>
      <c r="BA26" s="100" t="s">
        <v>597</v>
      </c>
      <c r="BB26" s="100" t="s">
        <v>597</v>
      </c>
      <c r="BC26" s="100" t="s">
        <v>597</v>
      </c>
      <c r="BD26" s="158">
        <v>0.7582623291</v>
      </c>
      <c r="BE26" s="158">
        <v>1.180146637</v>
      </c>
      <c r="BF26" s="162">
        <v>541</v>
      </c>
      <c r="BG26" s="162">
        <v>522</v>
      </c>
      <c r="BH26" s="162">
        <v>1057</v>
      </c>
      <c r="BI26" s="162">
        <v>534</v>
      </c>
      <c r="BJ26" s="162">
        <v>282</v>
      </c>
      <c r="BK26" s="97"/>
      <c r="BL26" s="97"/>
      <c r="BM26" s="97"/>
      <c r="BN26" s="97"/>
    </row>
    <row r="27" spans="1:66" ht="12.75">
      <c r="A27" s="79" t="s">
        <v>582</v>
      </c>
      <c r="B27" s="79" t="s">
        <v>335</v>
      </c>
      <c r="C27" s="79" t="s">
        <v>159</v>
      </c>
      <c r="D27" s="99">
        <v>7563</v>
      </c>
      <c r="E27" s="99">
        <v>753</v>
      </c>
      <c r="F27" s="99" t="s">
        <v>364</v>
      </c>
      <c r="G27" s="99">
        <v>18</v>
      </c>
      <c r="H27" s="99">
        <v>7</v>
      </c>
      <c r="I27" s="99">
        <v>68</v>
      </c>
      <c r="J27" s="99">
        <v>383</v>
      </c>
      <c r="K27" s="99">
        <v>360</v>
      </c>
      <c r="L27" s="99">
        <v>1251</v>
      </c>
      <c r="M27" s="99">
        <v>214</v>
      </c>
      <c r="N27" s="99">
        <v>124</v>
      </c>
      <c r="O27" s="99">
        <v>149</v>
      </c>
      <c r="P27" s="159">
        <v>149</v>
      </c>
      <c r="Q27" s="99">
        <v>6</v>
      </c>
      <c r="R27" s="99">
        <v>13</v>
      </c>
      <c r="S27" s="99">
        <v>25</v>
      </c>
      <c r="T27" s="99">
        <v>29</v>
      </c>
      <c r="U27" s="99">
        <v>9</v>
      </c>
      <c r="V27" s="99">
        <v>16</v>
      </c>
      <c r="W27" s="99">
        <v>42</v>
      </c>
      <c r="X27" s="99">
        <v>23</v>
      </c>
      <c r="Y27" s="99">
        <v>74</v>
      </c>
      <c r="Z27" s="99">
        <v>47</v>
      </c>
      <c r="AA27" s="99" t="s">
        <v>597</v>
      </c>
      <c r="AB27" s="99" t="s">
        <v>597</v>
      </c>
      <c r="AC27" s="99" t="s">
        <v>597</v>
      </c>
      <c r="AD27" s="98" t="s">
        <v>343</v>
      </c>
      <c r="AE27" s="100">
        <v>0.09956366521221738</v>
      </c>
      <c r="AF27" s="100">
        <v>0.24</v>
      </c>
      <c r="AG27" s="98">
        <v>238.0007933359778</v>
      </c>
      <c r="AH27" s="98">
        <v>92.55586407510248</v>
      </c>
      <c r="AI27" s="100">
        <v>0.009000000000000001</v>
      </c>
      <c r="AJ27" s="100">
        <v>0.620746</v>
      </c>
      <c r="AK27" s="100">
        <v>0.596026</v>
      </c>
      <c r="AL27" s="100">
        <v>0.673305</v>
      </c>
      <c r="AM27" s="100">
        <v>0.403013</v>
      </c>
      <c r="AN27" s="100">
        <v>0.438163</v>
      </c>
      <c r="AO27" s="98">
        <v>1970.1176781700383</v>
      </c>
      <c r="AP27" s="158">
        <v>1.396277313</v>
      </c>
      <c r="AQ27" s="100">
        <v>0.040268456375838924</v>
      </c>
      <c r="AR27" s="100">
        <v>0.46153846153846156</v>
      </c>
      <c r="AS27" s="98">
        <v>330.55665741108027</v>
      </c>
      <c r="AT27" s="98">
        <v>383.4457225968531</v>
      </c>
      <c r="AU27" s="98">
        <v>119.0003966679889</v>
      </c>
      <c r="AV27" s="98">
        <v>211.55626074309137</v>
      </c>
      <c r="AW27" s="98">
        <v>555.3351844506149</v>
      </c>
      <c r="AX27" s="98">
        <v>304.1121248181938</v>
      </c>
      <c r="AY27" s="98">
        <v>978.4477059367975</v>
      </c>
      <c r="AZ27" s="98">
        <v>621.4465159328308</v>
      </c>
      <c r="BA27" s="100" t="s">
        <v>597</v>
      </c>
      <c r="BB27" s="100" t="s">
        <v>597</v>
      </c>
      <c r="BC27" s="100" t="s">
        <v>597</v>
      </c>
      <c r="BD27" s="158">
        <v>1.181085281</v>
      </c>
      <c r="BE27" s="158">
        <v>1.6393348689999998</v>
      </c>
      <c r="BF27" s="162">
        <v>617</v>
      </c>
      <c r="BG27" s="162">
        <v>604</v>
      </c>
      <c r="BH27" s="162">
        <v>1858</v>
      </c>
      <c r="BI27" s="162">
        <v>531</v>
      </c>
      <c r="BJ27" s="162">
        <v>283</v>
      </c>
      <c r="BK27" s="97"/>
      <c r="BL27" s="97"/>
      <c r="BM27" s="97"/>
      <c r="BN27" s="97"/>
    </row>
    <row r="28" spans="1:66" ht="12.75">
      <c r="A28" s="79" t="s">
        <v>535</v>
      </c>
      <c r="B28" s="79" t="s">
        <v>288</v>
      </c>
      <c r="C28" s="79" t="s">
        <v>159</v>
      </c>
      <c r="D28" s="99">
        <v>8494</v>
      </c>
      <c r="E28" s="99">
        <v>1410</v>
      </c>
      <c r="F28" s="99" t="s">
        <v>366</v>
      </c>
      <c r="G28" s="99">
        <v>38</v>
      </c>
      <c r="H28" s="99">
        <v>14</v>
      </c>
      <c r="I28" s="99">
        <v>150</v>
      </c>
      <c r="J28" s="99">
        <v>602</v>
      </c>
      <c r="K28" s="99">
        <v>12</v>
      </c>
      <c r="L28" s="99">
        <v>1464</v>
      </c>
      <c r="M28" s="99">
        <v>474</v>
      </c>
      <c r="N28" s="99">
        <v>276</v>
      </c>
      <c r="O28" s="99">
        <v>187</v>
      </c>
      <c r="P28" s="159">
        <v>187</v>
      </c>
      <c r="Q28" s="99">
        <v>15</v>
      </c>
      <c r="R28" s="99">
        <v>26</v>
      </c>
      <c r="S28" s="99">
        <v>39</v>
      </c>
      <c r="T28" s="99">
        <v>39</v>
      </c>
      <c r="U28" s="99">
        <v>7</v>
      </c>
      <c r="V28" s="99">
        <v>26</v>
      </c>
      <c r="W28" s="99">
        <v>68</v>
      </c>
      <c r="X28" s="99">
        <v>26</v>
      </c>
      <c r="Y28" s="99">
        <v>87</v>
      </c>
      <c r="Z28" s="99">
        <v>33</v>
      </c>
      <c r="AA28" s="99" t="s">
        <v>597</v>
      </c>
      <c r="AB28" s="99" t="s">
        <v>597</v>
      </c>
      <c r="AC28" s="99" t="s">
        <v>597</v>
      </c>
      <c r="AD28" s="98" t="s">
        <v>343</v>
      </c>
      <c r="AE28" s="100">
        <v>0.16599952907935012</v>
      </c>
      <c r="AF28" s="100">
        <v>0.14</v>
      </c>
      <c r="AG28" s="98">
        <v>447.37461737697197</v>
      </c>
      <c r="AH28" s="98">
        <v>164.82222745467388</v>
      </c>
      <c r="AI28" s="100">
        <v>0.018000000000000002</v>
      </c>
      <c r="AJ28" s="100">
        <v>0.714116</v>
      </c>
      <c r="AK28" s="100">
        <v>0.428571</v>
      </c>
      <c r="AL28" s="100">
        <v>0.705542</v>
      </c>
      <c r="AM28" s="100">
        <v>0.593242</v>
      </c>
      <c r="AN28" s="100">
        <v>0.627273</v>
      </c>
      <c r="AO28" s="98">
        <v>2201.5540381445726</v>
      </c>
      <c r="AP28" s="158">
        <v>1.204183502</v>
      </c>
      <c r="AQ28" s="100">
        <v>0.08021390374331551</v>
      </c>
      <c r="AR28" s="100">
        <v>0.5769230769230769</v>
      </c>
      <c r="AS28" s="98">
        <v>459.1476336237344</v>
      </c>
      <c r="AT28" s="98">
        <v>459.1476336237344</v>
      </c>
      <c r="AU28" s="98">
        <v>82.41111372733694</v>
      </c>
      <c r="AV28" s="98">
        <v>306.09842241582294</v>
      </c>
      <c r="AW28" s="98">
        <v>800.5651047798445</v>
      </c>
      <c r="AX28" s="98">
        <v>306.09842241582294</v>
      </c>
      <c r="AY28" s="98">
        <v>1024.2524134683306</v>
      </c>
      <c r="AZ28" s="98">
        <v>388.5095361431599</v>
      </c>
      <c r="BA28" s="100" t="s">
        <v>597</v>
      </c>
      <c r="BB28" s="100" t="s">
        <v>597</v>
      </c>
      <c r="BC28" s="100" t="s">
        <v>597</v>
      </c>
      <c r="BD28" s="158">
        <v>1.03776947</v>
      </c>
      <c r="BE28" s="158">
        <v>1.389691772</v>
      </c>
      <c r="BF28" s="162">
        <v>843</v>
      </c>
      <c r="BG28" s="162">
        <v>28</v>
      </c>
      <c r="BH28" s="162">
        <v>2075</v>
      </c>
      <c r="BI28" s="162">
        <v>799</v>
      </c>
      <c r="BJ28" s="162">
        <v>440</v>
      </c>
      <c r="BK28" s="97"/>
      <c r="BL28" s="97"/>
      <c r="BM28" s="97"/>
      <c r="BN28" s="97"/>
    </row>
    <row r="29" spans="1:66" ht="12.75">
      <c r="A29" s="79" t="s">
        <v>557</v>
      </c>
      <c r="B29" s="79" t="s">
        <v>310</v>
      </c>
      <c r="C29" s="79" t="s">
        <v>159</v>
      </c>
      <c r="D29" s="99">
        <v>6382</v>
      </c>
      <c r="E29" s="99">
        <v>1061</v>
      </c>
      <c r="F29" s="99" t="s">
        <v>365</v>
      </c>
      <c r="G29" s="99">
        <v>22</v>
      </c>
      <c r="H29" s="99">
        <v>12</v>
      </c>
      <c r="I29" s="99">
        <v>134</v>
      </c>
      <c r="J29" s="99">
        <v>596</v>
      </c>
      <c r="K29" s="99">
        <v>588</v>
      </c>
      <c r="L29" s="99">
        <v>1280</v>
      </c>
      <c r="M29" s="99">
        <v>453</v>
      </c>
      <c r="N29" s="99">
        <v>271</v>
      </c>
      <c r="O29" s="99">
        <v>200</v>
      </c>
      <c r="P29" s="159">
        <v>200</v>
      </c>
      <c r="Q29" s="99">
        <v>23</v>
      </c>
      <c r="R29" s="99">
        <v>33</v>
      </c>
      <c r="S29" s="99">
        <v>60</v>
      </c>
      <c r="T29" s="99">
        <v>14</v>
      </c>
      <c r="U29" s="99" t="s">
        <v>597</v>
      </c>
      <c r="V29" s="99">
        <v>36</v>
      </c>
      <c r="W29" s="99">
        <v>57</v>
      </c>
      <c r="X29" s="99">
        <v>24</v>
      </c>
      <c r="Y29" s="99">
        <v>75</v>
      </c>
      <c r="Z29" s="99">
        <v>48</v>
      </c>
      <c r="AA29" s="99" t="s">
        <v>597</v>
      </c>
      <c r="AB29" s="99" t="s">
        <v>597</v>
      </c>
      <c r="AC29" s="99" t="s">
        <v>597</v>
      </c>
      <c r="AD29" s="98" t="s">
        <v>343</v>
      </c>
      <c r="AE29" s="100">
        <v>0.1662488248198057</v>
      </c>
      <c r="AF29" s="100">
        <v>0.09</v>
      </c>
      <c r="AG29" s="98">
        <v>344.71952366029456</v>
      </c>
      <c r="AH29" s="98">
        <v>188.02883108743342</v>
      </c>
      <c r="AI29" s="100">
        <v>0.021</v>
      </c>
      <c r="AJ29" s="100">
        <v>0.787318</v>
      </c>
      <c r="AK29" s="100">
        <v>0.782956</v>
      </c>
      <c r="AL29" s="100">
        <v>0.788177</v>
      </c>
      <c r="AM29" s="100">
        <v>0.642553</v>
      </c>
      <c r="AN29" s="100">
        <v>0.657767</v>
      </c>
      <c r="AO29" s="98">
        <v>3133.8138514572233</v>
      </c>
      <c r="AP29" s="158">
        <v>1.672139587</v>
      </c>
      <c r="AQ29" s="100">
        <v>0.115</v>
      </c>
      <c r="AR29" s="100">
        <v>0.696969696969697</v>
      </c>
      <c r="AS29" s="98">
        <v>940.144155437167</v>
      </c>
      <c r="AT29" s="98">
        <v>219.36696960200564</v>
      </c>
      <c r="AU29" s="98" t="s">
        <v>597</v>
      </c>
      <c r="AV29" s="98">
        <v>564.0864932623002</v>
      </c>
      <c r="AW29" s="98">
        <v>893.1369476653086</v>
      </c>
      <c r="AX29" s="98">
        <v>376.05766217486683</v>
      </c>
      <c r="AY29" s="98">
        <v>1175.1801942964587</v>
      </c>
      <c r="AZ29" s="98">
        <v>752.1153243497337</v>
      </c>
      <c r="BA29" s="100" t="s">
        <v>597</v>
      </c>
      <c r="BB29" s="100" t="s">
        <v>597</v>
      </c>
      <c r="BC29" s="100" t="s">
        <v>597</v>
      </c>
      <c r="BD29" s="158">
        <v>1.448414764</v>
      </c>
      <c r="BE29" s="158">
        <v>1.920636139</v>
      </c>
      <c r="BF29" s="162">
        <v>757</v>
      </c>
      <c r="BG29" s="162">
        <v>751</v>
      </c>
      <c r="BH29" s="162">
        <v>1624</v>
      </c>
      <c r="BI29" s="162">
        <v>705</v>
      </c>
      <c r="BJ29" s="162">
        <v>412</v>
      </c>
      <c r="BK29" s="97"/>
      <c r="BL29" s="97"/>
      <c r="BM29" s="97"/>
      <c r="BN29" s="97"/>
    </row>
    <row r="30" spans="1:66" ht="12.75">
      <c r="A30" s="79" t="s">
        <v>544</v>
      </c>
      <c r="B30" s="79" t="s">
        <v>297</v>
      </c>
      <c r="C30" s="79" t="s">
        <v>159</v>
      </c>
      <c r="D30" s="99">
        <v>11379</v>
      </c>
      <c r="E30" s="99">
        <v>1764</v>
      </c>
      <c r="F30" s="99" t="s">
        <v>363</v>
      </c>
      <c r="G30" s="99">
        <v>54</v>
      </c>
      <c r="H30" s="99">
        <v>16</v>
      </c>
      <c r="I30" s="99">
        <v>225</v>
      </c>
      <c r="J30" s="99">
        <v>954</v>
      </c>
      <c r="K30" s="99">
        <v>917</v>
      </c>
      <c r="L30" s="99">
        <v>2120</v>
      </c>
      <c r="M30" s="99">
        <v>689</v>
      </c>
      <c r="N30" s="99">
        <v>379</v>
      </c>
      <c r="O30" s="99">
        <v>314</v>
      </c>
      <c r="P30" s="159">
        <v>314</v>
      </c>
      <c r="Q30" s="99">
        <v>22</v>
      </c>
      <c r="R30" s="99">
        <v>53</v>
      </c>
      <c r="S30" s="99">
        <v>56</v>
      </c>
      <c r="T30" s="99">
        <v>50</v>
      </c>
      <c r="U30" s="99">
        <v>12</v>
      </c>
      <c r="V30" s="99">
        <v>53</v>
      </c>
      <c r="W30" s="99">
        <v>93</v>
      </c>
      <c r="X30" s="99">
        <v>52</v>
      </c>
      <c r="Y30" s="99">
        <v>147</v>
      </c>
      <c r="Z30" s="99">
        <v>62</v>
      </c>
      <c r="AA30" s="99" t="s">
        <v>597</v>
      </c>
      <c r="AB30" s="99" t="s">
        <v>597</v>
      </c>
      <c r="AC30" s="99" t="s">
        <v>597</v>
      </c>
      <c r="AD30" s="98" t="s">
        <v>343</v>
      </c>
      <c r="AE30" s="100">
        <v>0.15502240970208278</v>
      </c>
      <c r="AF30" s="100">
        <v>0.18</v>
      </c>
      <c r="AG30" s="98">
        <v>474.5583970471922</v>
      </c>
      <c r="AH30" s="98">
        <v>140.6098954213903</v>
      </c>
      <c r="AI30" s="100">
        <v>0.02</v>
      </c>
      <c r="AJ30" s="100">
        <v>0.739535</v>
      </c>
      <c r="AK30" s="100">
        <v>0.74131</v>
      </c>
      <c r="AL30" s="100">
        <v>0.738419</v>
      </c>
      <c r="AM30" s="100">
        <v>0.589897</v>
      </c>
      <c r="AN30" s="100">
        <v>0.612278</v>
      </c>
      <c r="AO30" s="98">
        <v>2759.4691976447843</v>
      </c>
      <c r="AP30" s="158">
        <v>1.5537240600000002</v>
      </c>
      <c r="AQ30" s="100">
        <v>0.07006369426751592</v>
      </c>
      <c r="AR30" s="100">
        <v>0.41509433962264153</v>
      </c>
      <c r="AS30" s="98">
        <v>492.134633974866</v>
      </c>
      <c r="AT30" s="98">
        <v>439.40592319184464</v>
      </c>
      <c r="AU30" s="98">
        <v>105.45742156604271</v>
      </c>
      <c r="AV30" s="98">
        <v>465.7702785833553</v>
      </c>
      <c r="AW30" s="98">
        <v>817.295017136831</v>
      </c>
      <c r="AX30" s="98">
        <v>456.9821601195184</v>
      </c>
      <c r="AY30" s="98">
        <v>1291.8534141840232</v>
      </c>
      <c r="AZ30" s="98">
        <v>544.8633447578874</v>
      </c>
      <c r="BA30" s="100" t="s">
        <v>597</v>
      </c>
      <c r="BB30" s="100" t="s">
        <v>597</v>
      </c>
      <c r="BC30" s="100" t="s">
        <v>597</v>
      </c>
      <c r="BD30" s="158">
        <v>1.3866046140000001</v>
      </c>
      <c r="BE30" s="158">
        <v>1.735436249</v>
      </c>
      <c r="BF30" s="162">
        <v>1290</v>
      </c>
      <c r="BG30" s="162">
        <v>1237</v>
      </c>
      <c r="BH30" s="162">
        <v>2871</v>
      </c>
      <c r="BI30" s="162">
        <v>1168</v>
      </c>
      <c r="BJ30" s="162">
        <v>619</v>
      </c>
      <c r="BK30" s="97"/>
      <c r="BL30" s="97"/>
      <c r="BM30" s="97"/>
      <c r="BN30" s="97"/>
    </row>
    <row r="31" spans="1:66" ht="12.75">
      <c r="A31" s="79" t="s">
        <v>573</v>
      </c>
      <c r="B31" s="79" t="s">
        <v>326</v>
      </c>
      <c r="C31" s="79" t="s">
        <v>159</v>
      </c>
      <c r="D31" s="99">
        <v>3445</v>
      </c>
      <c r="E31" s="99">
        <v>640</v>
      </c>
      <c r="F31" s="99" t="s">
        <v>366</v>
      </c>
      <c r="G31" s="99">
        <v>19</v>
      </c>
      <c r="H31" s="99">
        <v>9</v>
      </c>
      <c r="I31" s="99">
        <v>60</v>
      </c>
      <c r="J31" s="99">
        <v>277</v>
      </c>
      <c r="K31" s="99" t="s">
        <v>597</v>
      </c>
      <c r="L31" s="99">
        <v>665</v>
      </c>
      <c r="M31" s="99">
        <v>264</v>
      </c>
      <c r="N31" s="99">
        <v>155</v>
      </c>
      <c r="O31" s="99">
        <v>80</v>
      </c>
      <c r="P31" s="159">
        <v>80</v>
      </c>
      <c r="Q31" s="99">
        <v>6</v>
      </c>
      <c r="R31" s="99">
        <v>14</v>
      </c>
      <c r="S31" s="99">
        <v>24</v>
      </c>
      <c r="T31" s="99">
        <v>10</v>
      </c>
      <c r="U31" s="99" t="s">
        <v>597</v>
      </c>
      <c r="V31" s="99">
        <v>9</v>
      </c>
      <c r="W31" s="99">
        <v>18</v>
      </c>
      <c r="X31" s="99">
        <v>10</v>
      </c>
      <c r="Y31" s="99">
        <v>30</v>
      </c>
      <c r="Z31" s="99">
        <v>30</v>
      </c>
      <c r="AA31" s="99" t="s">
        <v>597</v>
      </c>
      <c r="AB31" s="99" t="s">
        <v>597</v>
      </c>
      <c r="AC31" s="99" t="s">
        <v>597</v>
      </c>
      <c r="AD31" s="98" t="s">
        <v>343</v>
      </c>
      <c r="AE31" s="100">
        <v>0.18577648766328012</v>
      </c>
      <c r="AF31" s="100">
        <v>0.15</v>
      </c>
      <c r="AG31" s="98">
        <v>551.5239477503628</v>
      </c>
      <c r="AH31" s="98">
        <v>261.2481857764877</v>
      </c>
      <c r="AI31" s="100">
        <v>0.017</v>
      </c>
      <c r="AJ31" s="100">
        <v>0.670702</v>
      </c>
      <c r="AK31" s="100" t="s">
        <v>597</v>
      </c>
      <c r="AL31" s="100">
        <v>0.813953</v>
      </c>
      <c r="AM31" s="100">
        <v>0.675192</v>
      </c>
      <c r="AN31" s="100">
        <v>0.741627</v>
      </c>
      <c r="AO31" s="98">
        <v>2322.2060957910016</v>
      </c>
      <c r="AP31" s="158">
        <v>1.226747284</v>
      </c>
      <c r="AQ31" s="100">
        <v>0.075</v>
      </c>
      <c r="AR31" s="100">
        <v>0.42857142857142855</v>
      </c>
      <c r="AS31" s="98">
        <v>696.6618287373004</v>
      </c>
      <c r="AT31" s="98">
        <v>290.2757619738752</v>
      </c>
      <c r="AU31" s="98" t="s">
        <v>597</v>
      </c>
      <c r="AV31" s="98">
        <v>261.2481857764877</v>
      </c>
      <c r="AW31" s="98">
        <v>522.4963715529753</v>
      </c>
      <c r="AX31" s="98">
        <v>290.2757619738752</v>
      </c>
      <c r="AY31" s="98">
        <v>870.8272859216255</v>
      </c>
      <c r="AZ31" s="98">
        <v>870.8272859216255</v>
      </c>
      <c r="BA31" s="100" t="s">
        <v>597</v>
      </c>
      <c r="BB31" s="100" t="s">
        <v>597</v>
      </c>
      <c r="BC31" s="100" t="s">
        <v>597</v>
      </c>
      <c r="BD31" s="158">
        <v>0.9727342987</v>
      </c>
      <c r="BE31" s="158">
        <v>1.526793213</v>
      </c>
      <c r="BF31" s="162">
        <v>413</v>
      </c>
      <c r="BG31" s="162" t="s">
        <v>597</v>
      </c>
      <c r="BH31" s="162">
        <v>817</v>
      </c>
      <c r="BI31" s="162">
        <v>391</v>
      </c>
      <c r="BJ31" s="162">
        <v>209</v>
      </c>
      <c r="BK31" s="97"/>
      <c r="BL31" s="97"/>
      <c r="BM31" s="97"/>
      <c r="BN31" s="97"/>
    </row>
    <row r="32" spans="1:66" ht="12.75">
      <c r="A32" s="79" t="s">
        <v>574</v>
      </c>
      <c r="B32" s="79" t="s">
        <v>327</v>
      </c>
      <c r="C32" s="79" t="s">
        <v>159</v>
      </c>
      <c r="D32" s="99">
        <v>2763</v>
      </c>
      <c r="E32" s="99">
        <v>340</v>
      </c>
      <c r="F32" s="99" t="s">
        <v>363</v>
      </c>
      <c r="G32" s="99">
        <v>8</v>
      </c>
      <c r="H32" s="99">
        <v>8</v>
      </c>
      <c r="I32" s="99">
        <v>29</v>
      </c>
      <c r="J32" s="99">
        <v>196</v>
      </c>
      <c r="K32" s="99" t="s">
        <v>597</v>
      </c>
      <c r="L32" s="99">
        <v>438</v>
      </c>
      <c r="M32" s="99">
        <v>135</v>
      </c>
      <c r="N32" s="99">
        <v>75</v>
      </c>
      <c r="O32" s="99">
        <v>40</v>
      </c>
      <c r="P32" s="159">
        <v>40</v>
      </c>
      <c r="Q32" s="99">
        <v>7</v>
      </c>
      <c r="R32" s="99">
        <v>16</v>
      </c>
      <c r="S32" s="99">
        <v>14</v>
      </c>
      <c r="T32" s="99">
        <v>7</v>
      </c>
      <c r="U32" s="99" t="s">
        <v>597</v>
      </c>
      <c r="V32" s="99">
        <v>7</v>
      </c>
      <c r="W32" s="99">
        <v>12</v>
      </c>
      <c r="X32" s="99">
        <v>10</v>
      </c>
      <c r="Y32" s="99">
        <v>34</v>
      </c>
      <c r="Z32" s="99">
        <v>22</v>
      </c>
      <c r="AA32" s="99" t="s">
        <v>597</v>
      </c>
      <c r="AB32" s="99" t="s">
        <v>597</v>
      </c>
      <c r="AC32" s="99" t="s">
        <v>597</v>
      </c>
      <c r="AD32" s="98" t="s">
        <v>343</v>
      </c>
      <c r="AE32" s="100">
        <v>0.12305465074194716</v>
      </c>
      <c r="AF32" s="100">
        <v>0.21</v>
      </c>
      <c r="AG32" s="98">
        <v>289.5403546869345</v>
      </c>
      <c r="AH32" s="98">
        <v>289.5403546869345</v>
      </c>
      <c r="AI32" s="100">
        <v>0.01</v>
      </c>
      <c r="AJ32" s="100">
        <v>0.651163</v>
      </c>
      <c r="AK32" s="100" t="s">
        <v>597</v>
      </c>
      <c r="AL32" s="100">
        <v>0.635704</v>
      </c>
      <c r="AM32" s="100">
        <v>0.517241</v>
      </c>
      <c r="AN32" s="100">
        <v>0.520833</v>
      </c>
      <c r="AO32" s="98">
        <v>1447.7017734346725</v>
      </c>
      <c r="AP32" s="158">
        <v>0.9183496857</v>
      </c>
      <c r="AQ32" s="100">
        <v>0.175</v>
      </c>
      <c r="AR32" s="100">
        <v>0.4375</v>
      </c>
      <c r="AS32" s="98">
        <v>506.6956207021354</v>
      </c>
      <c r="AT32" s="98">
        <v>253.3478103510677</v>
      </c>
      <c r="AU32" s="98" t="s">
        <v>597</v>
      </c>
      <c r="AV32" s="98">
        <v>253.3478103510677</v>
      </c>
      <c r="AW32" s="98">
        <v>434.31053203040176</v>
      </c>
      <c r="AX32" s="98">
        <v>361.92544335866813</v>
      </c>
      <c r="AY32" s="98">
        <v>1230.5465074194715</v>
      </c>
      <c r="AZ32" s="98">
        <v>796.2359753890698</v>
      </c>
      <c r="BA32" s="100" t="s">
        <v>597</v>
      </c>
      <c r="BB32" s="100" t="s">
        <v>597</v>
      </c>
      <c r="BC32" s="100" t="s">
        <v>597</v>
      </c>
      <c r="BD32" s="158">
        <v>0.6560824585</v>
      </c>
      <c r="BE32" s="158">
        <v>1.250531616</v>
      </c>
      <c r="BF32" s="162">
        <v>301</v>
      </c>
      <c r="BG32" s="162" t="s">
        <v>597</v>
      </c>
      <c r="BH32" s="162">
        <v>689</v>
      </c>
      <c r="BI32" s="162">
        <v>261</v>
      </c>
      <c r="BJ32" s="162">
        <v>144</v>
      </c>
      <c r="BK32" s="97"/>
      <c r="BL32" s="97"/>
      <c r="BM32" s="97"/>
      <c r="BN32" s="97"/>
    </row>
    <row r="33" spans="1:66" ht="12.75">
      <c r="A33" s="79" t="s">
        <v>567</v>
      </c>
      <c r="B33" s="79" t="s">
        <v>320</v>
      </c>
      <c r="C33" s="79" t="s">
        <v>159</v>
      </c>
      <c r="D33" s="99">
        <v>2384</v>
      </c>
      <c r="E33" s="99">
        <v>654</v>
      </c>
      <c r="F33" s="99" t="s">
        <v>367</v>
      </c>
      <c r="G33" s="99">
        <v>25</v>
      </c>
      <c r="H33" s="99">
        <v>10</v>
      </c>
      <c r="I33" s="99">
        <v>47</v>
      </c>
      <c r="J33" s="99">
        <v>273</v>
      </c>
      <c r="K33" s="99">
        <v>268</v>
      </c>
      <c r="L33" s="99">
        <v>374</v>
      </c>
      <c r="M33" s="99">
        <v>237</v>
      </c>
      <c r="N33" s="99">
        <v>131</v>
      </c>
      <c r="O33" s="99">
        <v>109</v>
      </c>
      <c r="P33" s="159">
        <v>109</v>
      </c>
      <c r="Q33" s="99">
        <v>7</v>
      </c>
      <c r="R33" s="99">
        <v>13</v>
      </c>
      <c r="S33" s="99">
        <v>24</v>
      </c>
      <c r="T33" s="99">
        <v>7</v>
      </c>
      <c r="U33" s="99" t="s">
        <v>597</v>
      </c>
      <c r="V33" s="99">
        <v>52</v>
      </c>
      <c r="W33" s="99">
        <v>15</v>
      </c>
      <c r="X33" s="99">
        <v>16</v>
      </c>
      <c r="Y33" s="99">
        <v>38</v>
      </c>
      <c r="Z33" s="99">
        <v>29</v>
      </c>
      <c r="AA33" s="99" t="s">
        <v>597</v>
      </c>
      <c r="AB33" s="99" t="s">
        <v>597</v>
      </c>
      <c r="AC33" s="99" t="s">
        <v>597</v>
      </c>
      <c r="AD33" s="98" t="s">
        <v>343</v>
      </c>
      <c r="AE33" s="100">
        <v>0.27432885906040266</v>
      </c>
      <c r="AF33" s="100">
        <v>0.07</v>
      </c>
      <c r="AG33" s="98">
        <v>1048.6577181208054</v>
      </c>
      <c r="AH33" s="98">
        <v>419.46308724832215</v>
      </c>
      <c r="AI33" s="100">
        <v>0.02</v>
      </c>
      <c r="AJ33" s="100">
        <v>0.764706</v>
      </c>
      <c r="AK33" s="100">
        <v>0.783626</v>
      </c>
      <c r="AL33" s="100">
        <v>0.740594</v>
      </c>
      <c r="AM33" s="100">
        <v>0.675214</v>
      </c>
      <c r="AN33" s="100">
        <v>0.71978</v>
      </c>
      <c r="AO33" s="98">
        <v>4572.147651006711</v>
      </c>
      <c r="AP33" s="158">
        <v>1.927880096</v>
      </c>
      <c r="AQ33" s="100">
        <v>0.06422018348623854</v>
      </c>
      <c r="AR33" s="100">
        <v>0.5384615384615384</v>
      </c>
      <c r="AS33" s="98">
        <v>1006.7114093959732</v>
      </c>
      <c r="AT33" s="98">
        <v>293.6241610738255</v>
      </c>
      <c r="AU33" s="98" t="s">
        <v>597</v>
      </c>
      <c r="AV33" s="98">
        <v>2181.2080536912754</v>
      </c>
      <c r="AW33" s="98">
        <v>629.1946308724832</v>
      </c>
      <c r="AX33" s="98">
        <v>671.1409395973154</v>
      </c>
      <c r="AY33" s="98">
        <v>1593.9597315436242</v>
      </c>
      <c r="AZ33" s="98">
        <v>1216.4429530201342</v>
      </c>
      <c r="BA33" s="100" t="s">
        <v>597</v>
      </c>
      <c r="BB33" s="100" t="s">
        <v>597</v>
      </c>
      <c r="BC33" s="100" t="s">
        <v>597</v>
      </c>
      <c r="BD33" s="158">
        <v>1.582990265</v>
      </c>
      <c r="BE33" s="158">
        <v>2.325597229</v>
      </c>
      <c r="BF33" s="162">
        <v>357</v>
      </c>
      <c r="BG33" s="162">
        <v>342</v>
      </c>
      <c r="BH33" s="162">
        <v>505</v>
      </c>
      <c r="BI33" s="162">
        <v>351</v>
      </c>
      <c r="BJ33" s="162">
        <v>182</v>
      </c>
      <c r="BK33" s="97"/>
      <c r="BL33" s="97"/>
      <c r="BM33" s="97"/>
      <c r="BN33" s="97"/>
    </row>
    <row r="34" spans="1:66" ht="12.75">
      <c r="A34" s="79" t="s">
        <v>546</v>
      </c>
      <c r="B34" s="79" t="s">
        <v>299</v>
      </c>
      <c r="C34" s="79" t="s">
        <v>159</v>
      </c>
      <c r="D34" s="99">
        <v>9687</v>
      </c>
      <c r="E34" s="99">
        <v>1432</v>
      </c>
      <c r="F34" s="99" t="s">
        <v>363</v>
      </c>
      <c r="G34" s="99">
        <v>38</v>
      </c>
      <c r="H34" s="99">
        <v>15</v>
      </c>
      <c r="I34" s="99">
        <v>154</v>
      </c>
      <c r="J34" s="99">
        <v>676</v>
      </c>
      <c r="K34" s="99">
        <v>140</v>
      </c>
      <c r="L34" s="99">
        <v>1828</v>
      </c>
      <c r="M34" s="99">
        <v>472</v>
      </c>
      <c r="N34" s="99">
        <v>268</v>
      </c>
      <c r="O34" s="99">
        <v>180</v>
      </c>
      <c r="P34" s="159">
        <v>180</v>
      </c>
      <c r="Q34" s="99">
        <v>8</v>
      </c>
      <c r="R34" s="99">
        <v>38</v>
      </c>
      <c r="S34" s="99">
        <v>38</v>
      </c>
      <c r="T34" s="99">
        <v>15</v>
      </c>
      <c r="U34" s="99">
        <v>7</v>
      </c>
      <c r="V34" s="99">
        <v>34</v>
      </c>
      <c r="W34" s="99">
        <v>58</v>
      </c>
      <c r="X34" s="99">
        <v>34</v>
      </c>
      <c r="Y34" s="99">
        <v>113</v>
      </c>
      <c r="Z34" s="99">
        <v>47</v>
      </c>
      <c r="AA34" s="99" t="s">
        <v>597</v>
      </c>
      <c r="AB34" s="99" t="s">
        <v>597</v>
      </c>
      <c r="AC34" s="99" t="s">
        <v>597</v>
      </c>
      <c r="AD34" s="98" t="s">
        <v>343</v>
      </c>
      <c r="AE34" s="100">
        <v>0.14782698461856095</v>
      </c>
      <c r="AF34" s="100">
        <v>0.19</v>
      </c>
      <c r="AG34" s="98">
        <v>392.2783111386394</v>
      </c>
      <c r="AH34" s="98">
        <v>154.8467017652524</v>
      </c>
      <c r="AI34" s="100">
        <v>0.016</v>
      </c>
      <c r="AJ34" s="100">
        <v>0.684904</v>
      </c>
      <c r="AK34" s="100">
        <v>0.540541</v>
      </c>
      <c r="AL34" s="100">
        <v>0.770333</v>
      </c>
      <c r="AM34" s="100">
        <v>0.532731</v>
      </c>
      <c r="AN34" s="100">
        <v>0.561845</v>
      </c>
      <c r="AO34" s="98">
        <v>1858.1604211830288</v>
      </c>
      <c r="AP34" s="158">
        <v>1.091008606</v>
      </c>
      <c r="AQ34" s="100">
        <v>0.044444444444444446</v>
      </c>
      <c r="AR34" s="100">
        <v>0.21052631578947367</v>
      </c>
      <c r="AS34" s="98">
        <v>392.2783111386394</v>
      </c>
      <c r="AT34" s="98">
        <v>154.8467017652524</v>
      </c>
      <c r="AU34" s="98">
        <v>72.26179415711779</v>
      </c>
      <c r="AV34" s="98">
        <v>350.98585733457213</v>
      </c>
      <c r="AW34" s="98">
        <v>598.740580158976</v>
      </c>
      <c r="AX34" s="98">
        <v>350.98585733457213</v>
      </c>
      <c r="AY34" s="98">
        <v>1166.5118199649014</v>
      </c>
      <c r="AZ34" s="98">
        <v>485.1863321977909</v>
      </c>
      <c r="BA34" s="100" t="s">
        <v>597</v>
      </c>
      <c r="BB34" s="100" t="s">
        <v>597</v>
      </c>
      <c r="BC34" s="100" t="s">
        <v>597</v>
      </c>
      <c r="BD34" s="158">
        <v>0.9374424744</v>
      </c>
      <c r="BE34" s="158">
        <v>1.262555313</v>
      </c>
      <c r="BF34" s="162">
        <v>987</v>
      </c>
      <c r="BG34" s="162">
        <v>259</v>
      </c>
      <c r="BH34" s="162">
        <v>2373</v>
      </c>
      <c r="BI34" s="162">
        <v>886</v>
      </c>
      <c r="BJ34" s="162">
        <v>477</v>
      </c>
      <c r="BK34" s="97"/>
      <c r="BL34" s="97"/>
      <c r="BM34" s="97"/>
      <c r="BN34" s="97"/>
    </row>
    <row r="35" spans="1:66" ht="12.75">
      <c r="A35" s="79" t="s">
        <v>547</v>
      </c>
      <c r="B35" s="79" t="s">
        <v>300</v>
      </c>
      <c r="C35" s="79" t="s">
        <v>159</v>
      </c>
      <c r="D35" s="99">
        <v>11220</v>
      </c>
      <c r="E35" s="99">
        <v>1815</v>
      </c>
      <c r="F35" s="99" t="s">
        <v>366</v>
      </c>
      <c r="G35" s="99">
        <v>51</v>
      </c>
      <c r="H35" s="99">
        <v>22</v>
      </c>
      <c r="I35" s="99">
        <v>161</v>
      </c>
      <c r="J35" s="99">
        <v>753</v>
      </c>
      <c r="K35" s="99">
        <v>7</v>
      </c>
      <c r="L35" s="99">
        <v>1965</v>
      </c>
      <c r="M35" s="99">
        <v>643</v>
      </c>
      <c r="N35" s="99">
        <v>357</v>
      </c>
      <c r="O35" s="99">
        <v>293</v>
      </c>
      <c r="P35" s="159">
        <v>293</v>
      </c>
      <c r="Q35" s="99">
        <v>30</v>
      </c>
      <c r="R35" s="99">
        <v>53</v>
      </c>
      <c r="S35" s="99">
        <v>43</v>
      </c>
      <c r="T35" s="99">
        <v>54</v>
      </c>
      <c r="U35" s="99">
        <v>10</v>
      </c>
      <c r="V35" s="99">
        <v>54</v>
      </c>
      <c r="W35" s="99">
        <v>94</v>
      </c>
      <c r="X35" s="99">
        <v>45</v>
      </c>
      <c r="Y35" s="99">
        <v>154</v>
      </c>
      <c r="Z35" s="99">
        <v>84</v>
      </c>
      <c r="AA35" s="99" t="s">
        <v>597</v>
      </c>
      <c r="AB35" s="99" t="s">
        <v>597</v>
      </c>
      <c r="AC35" s="99" t="s">
        <v>597</v>
      </c>
      <c r="AD35" s="98" t="s">
        <v>343</v>
      </c>
      <c r="AE35" s="100">
        <v>0.16176470588235295</v>
      </c>
      <c r="AF35" s="100">
        <v>0.14</v>
      </c>
      <c r="AG35" s="98">
        <v>454.54545454545456</v>
      </c>
      <c r="AH35" s="98">
        <v>196.07843137254903</v>
      </c>
      <c r="AI35" s="100">
        <v>0.013999999999999999</v>
      </c>
      <c r="AJ35" s="100">
        <v>0.656495</v>
      </c>
      <c r="AK35" s="100">
        <v>0.636364</v>
      </c>
      <c r="AL35" s="100">
        <v>0.728317</v>
      </c>
      <c r="AM35" s="100">
        <v>0.621256</v>
      </c>
      <c r="AN35" s="100">
        <v>0.65625</v>
      </c>
      <c r="AO35" s="98">
        <v>2611.408199643494</v>
      </c>
      <c r="AP35" s="158">
        <v>1.467381134</v>
      </c>
      <c r="AQ35" s="100">
        <v>0.10238907849829351</v>
      </c>
      <c r="AR35" s="100">
        <v>0.5660377358490566</v>
      </c>
      <c r="AS35" s="98">
        <v>383.24420677361854</v>
      </c>
      <c r="AT35" s="98">
        <v>481.2834224598931</v>
      </c>
      <c r="AU35" s="98">
        <v>89.12655971479501</v>
      </c>
      <c r="AV35" s="98">
        <v>481.2834224598931</v>
      </c>
      <c r="AW35" s="98">
        <v>837.789661319073</v>
      </c>
      <c r="AX35" s="98">
        <v>401.06951871657753</v>
      </c>
      <c r="AY35" s="98">
        <v>1372.549019607843</v>
      </c>
      <c r="AZ35" s="98">
        <v>748.663101604278</v>
      </c>
      <c r="BA35" s="100" t="s">
        <v>597</v>
      </c>
      <c r="BB35" s="100" t="s">
        <v>597</v>
      </c>
      <c r="BC35" s="100" t="s">
        <v>597</v>
      </c>
      <c r="BD35" s="158">
        <v>1.3041552730000001</v>
      </c>
      <c r="BE35" s="158">
        <v>1.6453865049999998</v>
      </c>
      <c r="BF35" s="162">
        <v>1147</v>
      </c>
      <c r="BG35" s="162">
        <v>11</v>
      </c>
      <c r="BH35" s="162">
        <v>2698</v>
      </c>
      <c r="BI35" s="162">
        <v>1035</v>
      </c>
      <c r="BJ35" s="162">
        <v>544</v>
      </c>
      <c r="BK35" s="97"/>
      <c r="BL35" s="97"/>
      <c r="BM35" s="97"/>
      <c r="BN35" s="97"/>
    </row>
    <row r="36" spans="1:66" ht="12.75">
      <c r="A36" s="79" t="s">
        <v>569</v>
      </c>
      <c r="B36" s="79" t="s">
        <v>322</v>
      </c>
      <c r="C36" s="79" t="s">
        <v>159</v>
      </c>
      <c r="D36" s="99">
        <v>6754</v>
      </c>
      <c r="E36" s="99">
        <v>757</v>
      </c>
      <c r="F36" s="99" t="s">
        <v>364</v>
      </c>
      <c r="G36" s="99">
        <v>10</v>
      </c>
      <c r="H36" s="99">
        <v>49</v>
      </c>
      <c r="I36" s="99">
        <v>47</v>
      </c>
      <c r="J36" s="99">
        <v>323</v>
      </c>
      <c r="K36" s="99">
        <v>328</v>
      </c>
      <c r="L36" s="99">
        <v>1221</v>
      </c>
      <c r="M36" s="99">
        <v>151</v>
      </c>
      <c r="N36" s="99">
        <v>88</v>
      </c>
      <c r="O36" s="99">
        <v>104</v>
      </c>
      <c r="P36" s="159">
        <v>104</v>
      </c>
      <c r="Q36" s="99">
        <v>10</v>
      </c>
      <c r="R36" s="99">
        <v>22</v>
      </c>
      <c r="S36" s="99">
        <v>25</v>
      </c>
      <c r="T36" s="99">
        <v>11</v>
      </c>
      <c r="U36" s="99" t="s">
        <v>597</v>
      </c>
      <c r="V36" s="99" t="s">
        <v>597</v>
      </c>
      <c r="W36" s="99">
        <v>28</v>
      </c>
      <c r="X36" s="99">
        <v>22</v>
      </c>
      <c r="Y36" s="99">
        <v>78</v>
      </c>
      <c r="Z36" s="99">
        <v>24</v>
      </c>
      <c r="AA36" s="99" t="s">
        <v>597</v>
      </c>
      <c r="AB36" s="99" t="s">
        <v>597</v>
      </c>
      <c r="AC36" s="99" t="s">
        <v>597</v>
      </c>
      <c r="AD36" s="98" t="s">
        <v>343</v>
      </c>
      <c r="AE36" s="100">
        <v>0.11208172934557299</v>
      </c>
      <c r="AF36" s="100">
        <v>0.28</v>
      </c>
      <c r="AG36" s="98">
        <v>148.06040864672786</v>
      </c>
      <c r="AH36" s="98">
        <v>725.4960023689665</v>
      </c>
      <c r="AI36" s="100">
        <v>0.006999999999999999</v>
      </c>
      <c r="AJ36" s="100">
        <v>0.545608</v>
      </c>
      <c r="AK36" s="100">
        <v>0.567474</v>
      </c>
      <c r="AL36" s="100">
        <v>0.72377</v>
      </c>
      <c r="AM36" s="100">
        <v>0.337808</v>
      </c>
      <c r="AN36" s="100">
        <v>0.389381</v>
      </c>
      <c r="AO36" s="98">
        <v>1539.8282499259699</v>
      </c>
      <c r="AP36" s="158">
        <v>1.0330339050000001</v>
      </c>
      <c r="AQ36" s="100">
        <v>0.09615384615384616</v>
      </c>
      <c r="AR36" s="100">
        <v>0.45454545454545453</v>
      </c>
      <c r="AS36" s="98">
        <v>370.15102161681966</v>
      </c>
      <c r="AT36" s="98">
        <v>162.86644951140065</v>
      </c>
      <c r="AU36" s="98" t="s">
        <v>597</v>
      </c>
      <c r="AV36" s="98" t="s">
        <v>597</v>
      </c>
      <c r="AW36" s="98">
        <v>414.56914421083803</v>
      </c>
      <c r="AX36" s="98">
        <v>325.7328990228013</v>
      </c>
      <c r="AY36" s="98">
        <v>1154.8711874444773</v>
      </c>
      <c r="AZ36" s="98">
        <v>355.34498075214685</v>
      </c>
      <c r="BA36" s="100" t="s">
        <v>597</v>
      </c>
      <c r="BB36" s="100" t="s">
        <v>597</v>
      </c>
      <c r="BC36" s="100" t="s">
        <v>597</v>
      </c>
      <c r="BD36" s="158">
        <v>0.8440635681</v>
      </c>
      <c r="BE36" s="158">
        <v>1.251693497</v>
      </c>
      <c r="BF36" s="162">
        <v>592</v>
      </c>
      <c r="BG36" s="162">
        <v>578</v>
      </c>
      <c r="BH36" s="162">
        <v>1687</v>
      </c>
      <c r="BI36" s="162">
        <v>447</v>
      </c>
      <c r="BJ36" s="162">
        <v>226</v>
      </c>
      <c r="BK36" s="97"/>
      <c r="BL36" s="97"/>
      <c r="BM36" s="97"/>
      <c r="BN36" s="97"/>
    </row>
    <row r="37" spans="1:66" ht="12.75">
      <c r="A37" s="79" t="s">
        <v>568</v>
      </c>
      <c r="B37" s="79" t="s">
        <v>321</v>
      </c>
      <c r="C37" s="79" t="s">
        <v>159</v>
      </c>
      <c r="D37" s="99">
        <v>3782</v>
      </c>
      <c r="E37" s="99">
        <v>452</v>
      </c>
      <c r="F37" s="99" t="s">
        <v>363</v>
      </c>
      <c r="G37" s="99">
        <v>14</v>
      </c>
      <c r="H37" s="99" t="s">
        <v>597</v>
      </c>
      <c r="I37" s="99">
        <v>25</v>
      </c>
      <c r="J37" s="99">
        <v>229</v>
      </c>
      <c r="K37" s="99">
        <v>226</v>
      </c>
      <c r="L37" s="99">
        <v>624</v>
      </c>
      <c r="M37" s="99">
        <v>165</v>
      </c>
      <c r="N37" s="99">
        <v>102</v>
      </c>
      <c r="O37" s="99">
        <v>36</v>
      </c>
      <c r="P37" s="159">
        <v>36</v>
      </c>
      <c r="Q37" s="99" t="s">
        <v>597</v>
      </c>
      <c r="R37" s="99">
        <v>11</v>
      </c>
      <c r="S37" s="99">
        <v>21</v>
      </c>
      <c r="T37" s="99" t="s">
        <v>597</v>
      </c>
      <c r="U37" s="99" t="s">
        <v>597</v>
      </c>
      <c r="V37" s="99" t="s">
        <v>597</v>
      </c>
      <c r="W37" s="99">
        <v>16</v>
      </c>
      <c r="X37" s="99">
        <v>15</v>
      </c>
      <c r="Y37" s="99">
        <v>26</v>
      </c>
      <c r="Z37" s="99">
        <v>14</v>
      </c>
      <c r="AA37" s="99" t="s">
        <v>597</v>
      </c>
      <c r="AB37" s="99" t="s">
        <v>597</v>
      </c>
      <c r="AC37" s="99" t="s">
        <v>597</v>
      </c>
      <c r="AD37" s="98" t="s">
        <v>343</v>
      </c>
      <c r="AE37" s="100">
        <v>0.1195134849286092</v>
      </c>
      <c r="AF37" s="100">
        <v>0.19</v>
      </c>
      <c r="AG37" s="98">
        <v>370.17451084082495</v>
      </c>
      <c r="AH37" s="98" t="s">
        <v>597</v>
      </c>
      <c r="AI37" s="100">
        <v>0.006999999999999999</v>
      </c>
      <c r="AJ37" s="100">
        <v>0.652422</v>
      </c>
      <c r="AK37" s="100">
        <v>0.662757</v>
      </c>
      <c r="AL37" s="100">
        <v>0.694105</v>
      </c>
      <c r="AM37" s="100">
        <v>0.506135</v>
      </c>
      <c r="AN37" s="100">
        <v>0.586207</v>
      </c>
      <c r="AO37" s="98">
        <v>951.8773135906928</v>
      </c>
      <c r="AP37" s="158">
        <v>0.6011514664</v>
      </c>
      <c r="AQ37" s="100" t="s">
        <v>597</v>
      </c>
      <c r="AR37" s="100" t="s">
        <v>597</v>
      </c>
      <c r="AS37" s="98">
        <v>555.2617662612374</v>
      </c>
      <c r="AT37" s="98" t="s">
        <v>597</v>
      </c>
      <c r="AU37" s="98" t="s">
        <v>597</v>
      </c>
      <c r="AV37" s="98" t="s">
        <v>597</v>
      </c>
      <c r="AW37" s="98">
        <v>423.05658381808564</v>
      </c>
      <c r="AX37" s="98">
        <v>396.6155473294553</v>
      </c>
      <c r="AY37" s="98">
        <v>687.4669487043892</v>
      </c>
      <c r="AZ37" s="98">
        <v>370.17451084082495</v>
      </c>
      <c r="BA37" s="100" t="s">
        <v>597</v>
      </c>
      <c r="BB37" s="100" t="s">
        <v>597</v>
      </c>
      <c r="BC37" s="100" t="s">
        <v>597</v>
      </c>
      <c r="BD37" s="158">
        <v>0.4210390854</v>
      </c>
      <c r="BE37" s="158">
        <v>0.8322470093</v>
      </c>
      <c r="BF37" s="162">
        <v>351</v>
      </c>
      <c r="BG37" s="162">
        <v>341</v>
      </c>
      <c r="BH37" s="162">
        <v>899</v>
      </c>
      <c r="BI37" s="162">
        <v>326</v>
      </c>
      <c r="BJ37" s="162">
        <v>174</v>
      </c>
      <c r="BK37" s="97"/>
      <c r="BL37" s="97"/>
      <c r="BM37" s="97"/>
      <c r="BN37" s="97"/>
    </row>
    <row r="38" spans="1:66" ht="12.75">
      <c r="A38" s="79" t="s">
        <v>529</v>
      </c>
      <c r="B38" s="79" t="s">
        <v>282</v>
      </c>
      <c r="C38" s="79" t="s">
        <v>159</v>
      </c>
      <c r="D38" s="99">
        <v>11340</v>
      </c>
      <c r="E38" s="99">
        <v>1958</v>
      </c>
      <c r="F38" s="99" t="s">
        <v>366</v>
      </c>
      <c r="G38" s="99">
        <v>52</v>
      </c>
      <c r="H38" s="99">
        <v>52</v>
      </c>
      <c r="I38" s="99">
        <v>170</v>
      </c>
      <c r="J38" s="99">
        <v>867</v>
      </c>
      <c r="K38" s="99">
        <v>12</v>
      </c>
      <c r="L38" s="99">
        <v>2095</v>
      </c>
      <c r="M38" s="99">
        <v>586</v>
      </c>
      <c r="N38" s="99">
        <v>320</v>
      </c>
      <c r="O38" s="99">
        <v>202</v>
      </c>
      <c r="P38" s="159">
        <v>202</v>
      </c>
      <c r="Q38" s="99">
        <v>21</v>
      </c>
      <c r="R38" s="99">
        <v>55</v>
      </c>
      <c r="S38" s="99">
        <v>24</v>
      </c>
      <c r="T38" s="99">
        <v>40</v>
      </c>
      <c r="U38" s="99">
        <v>12</v>
      </c>
      <c r="V38" s="99">
        <v>40</v>
      </c>
      <c r="W38" s="99">
        <v>84</v>
      </c>
      <c r="X38" s="99">
        <v>44</v>
      </c>
      <c r="Y38" s="99">
        <v>151</v>
      </c>
      <c r="Z38" s="99">
        <v>92</v>
      </c>
      <c r="AA38" s="99" t="s">
        <v>597</v>
      </c>
      <c r="AB38" s="99" t="s">
        <v>597</v>
      </c>
      <c r="AC38" s="99" t="s">
        <v>597</v>
      </c>
      <c r="AD38" s="98" t="s">
        <v>343</v>
      </c>
      <c r="AE38" s="100">
        <v>0.172663139329806</v>
      </c>
      <c r="AF38" s="100">
        <v>0.14</v>
      </c>
      <c r="AG38" s="98">
        <v>458.5537918871252</v>
      </c>
      <c r="AH38" s="98">
        <v>458.5537918871252</v>
      </c>
      <c r="AI38" s="100">
        <v>0.015</v>
      </c>
      <c r="AJ38" s="100">
        <v>0.750649</v>
      </c>
      <c r="AK38" s="100">
        <v>0.48</v>
      </c>
      <c r="AL38" s="100">
        <v>0.764878</v>
      </c>
      <c r="AM38" s="100">
        <v>0.597959</v>
      </c>
      <c r="AN38" s="100">
        <v>0.625</v>
      </c>
      <c r="AO38" s="98">
        <v>1781.305114638448</v>
      </c>
      <c r="AP38" s="158">
        <v>0.963720932</v>
      </c>
      <c r="AQ38" s="100">
        <v>0.10396039603960396</v>
      </c>
      <c r="AR38" s="100">
        <v>0.38181818181818183</v>
      </c>
      <c r="AS38" s="98">
        <v>211.64021164021165</v>
      </c>
      <c r="AT38" s="98">
        <v>352.7336860670194</v>
      </c>
      <c r="AU38" s="98">
        <v>105.82010582010582</v>
      </c>
      <c r="AV38" s="98">
        <v>352.7336860670194</v>
      </c>
      <c r="AW38" s="98">
        <v>740.7407407407408</v>
      </c>
      <c r="AX38" s="98">
        <v>388.0070546737213</v>
      </c>
      <c r="AY38" s="98">
        <v>1331.5696649029983</v>
      </c>
      <c r="AZ38" s="98">
        <v>811.2874779541446</v>
      </c>
      <c r="BA38" s="100" t="s">
        <v>597</v>
      </c>
      <c r="BB38" s="100" t="s">
        <v>597</v>
      </c>
      <c r="BC38" s="100" t="s">
        <v>597</v>
      </c>
      <c r="BD38" s="158">
        <v>0.8353961182</v>
      </c>
      <c r="BE38" s="158">
        <v>1.106179581</v>
      </c>
      <c r="BF38" s="162">
        <v>1155</v>
      </c>
      <c r="BG38" s="162">
        <v>25</v>
      </c>
      <c r="BH38" s="162">
        <v>2739</v>
      </c>
      <c r="BI38" s="162">
        <v>980</v>
      </c>
      <c r="BJ38" s="162">
        <v>512</v>
      </c>
      <c r="BK38" s="97"/>
      <c r="BL38" s="97"/>
      <c r="BM38" s="97"/>
      <c r="BN38" s="97"/>
    </row>
    <row r="39" spans="1:66" ht="12.75">
      <c r="A39" s="79" t="s">
        <v>536</v>
      </c>
      <c r="B39" s="79" t="s">
        <v>289</v>
      </c>
      <c r="C39" s="79" t="s">
        <v>159</v>
      </c>
      <c r="D39" s="99">
        <v>5796</v>
      </c>
      <c r="E39" s="99">
        <v>1462</v>
      </c>
      <c r="F39" s="99" t="s">
        <v>365</v>
      </c>
      <c r="G39" s="99">
        <v>51</v>
      </c>
      <c r="H39" s="99">
        <v>14</v>
      </c>
      <c r="I39" s="99">
        <v>72</v>
      </c>
      <c r="J39" s="99">
        <v>637</v>
      </c>
      <c r="K39" s="99">
        <v>618</v>
      </c>
      <c r="L39" s="99">
        <v>1002</v>
      </c>
      <c r="M39" s="99">
        <v>500</v>
      </c>
      <c r="N39" s="99">
        <v>274</v>
      </c>
      <c r="O39" s="99">
        <v>351</v>
      </c>
      <c r="P39" s="159">
        <v>351</v>
      </c>
      <c r="Q39" s="99">
        <v>15</v>
      </c>
      <c r="R39" s="99">
        <v>31</v>
      </c>
      <c r="S39" s="99">
        <v>71</v>
      </c>
      <c r="T39" s="99">
        <v>64</v>
      </c>
      <c r="U39" s="99">
        <v>6</v>
      </c>
      <c r="V39" s="99">
        <v>82</v>
      </c>
      <c r="W39" s="99">
        <v>84</v>
      </c>
      <c r="X39" s="99">
        <v>38</v>
      </c>
      <c r="Y39" s="99">
        <v>115</v>
      </c>
      <c r="Z39" s="99">
        <v>60</v>
      </c>
      <c r="AA39" s="99" t="s">
        <v>597</v>
      </c>
      <c r="AB39" s="99" t="s">
        <v>597</v>
      </c>
      <c r="AC39" s="99" t="s">
        <v>597</v>
      </c>
      <c r="AD39" s="98" t="s">
        <v>343</v>
      </c>
      <c r="AE39" s="100">
        <v>0.25224292615596966</v>
      </c>
      <c r="AF39" s="100">
        <v>0.1</v>
      </c>
      <c r="AG39" s="98">
        <v>879.9171842650104</v>
      </c>
      <c r="AH39" s="98">
        <v>241.54589371980677</v>
      </c>
      <c r="AI39" s="100">
        <v>0.012</v>
      </c>
      <c r="AJ39" s="100">
        <v>0.783518</v>
      </c>
      <c r="AK39" s="100">
        <v>0.784264</v>
      </c>
      <c r="AL39" s="100">
        <v>0.760243</v>
      </c>
      <c r="AM39" s="100">
        <v>0.65445</v>
      </c>
      <c r="AN39" s="100">
        <v>0.693671</v>
      </c>
      <c r="AO39" s="98">
        <v>6055.900621118012</v>
      </c>
      <c r="AP39" s="158">
        <v>2.6786663820000003</v>
      </c>
      <c r="AQ39" s="100">
        <v>0.042735042735042736</v>
      </c>
      <c r="AR39" s="100">
        <v>0.4838709677419355</v>
      </c>
      <c r="AS39" s="98">
        <v>1224.9827467218772</v>
      </c>
      <c r="AT39" s="98">
        <v>1104.2097998619738</v>
      </c>
      <c r="AU39" s="98">
        <v>103.51966873706004</v>
      </c>
      <c r="AV39" s="98">
        <v>1414.7688060731539</v>
      </c>
      <c r="AW39" s="98">
        <v>1449.2753623188405</v>
      </c>
      <c r="AX39" s="98">
        <v>655.6245686680469</v>
      </c>
      <c r="AY39" s="98">
        <v>1984.126984126984</v>
      </c>
      <c r="AZ39" s="98">
        <v>1035.1966873706003</v>
      </c>
      <c r="BA39" s="100" t="s">
        <v>597</v>
      </c>
      <c r="BB39" s="100" t="s">
        <v>597</v>
      </c>
      <c r="BC39" s="100" t="s">
        <v>597</v>
      </c>
      <c r="BD39" s="158">
        <v>2.4057341</v>
      </c>
      <c r="BE39" s="158">
        <v>2.9740826420000004</v>
      </c>
      <c r="BF39" s="162">
        <v>813</v>
      </c>
      <c r="BG39" s="162">
        <v>788</v>
      </c>
      <c r="BH39" s="162">
        <v>1318</v>
      </c>
      <c r="BI39" s="162">
        <v>764</v>
      </c>
      <c r="BJ39" s="162">
        <v>395</v>
      </c>
      <c r="BK39" s="97"/>
      <c r="BL39" s="97"/>
      <c r="BM39" s="97"/>
      <c r="BN39" s="97"/>
    </row>
    <row r="40" spans="1:66" ht="12.75">
      <c r="A40" s="79" t="s">
        <v>541</v>
      </c>
      <c r="B40" s="79" t="s">
        <v>294</v>
      </c>
      <c r="C40" s="79" t="s">
        <v>159</v>
      </c>
      <c r="D40" s="99">
        <v>5202</v>
      </c>
      <c r="E40" s="99">
        <v>798</v>
      </c>
      <c r="F40" s="99" t="s">
        <v>364</v>
      </c>
      <c r="G40" s="99">
        <v>17</v>
      </c>
      <c r="H40" s="99">
        <v>16</v>
      </c>
      <c r="I40" s="99">
        <v>71</v>
      </c>
      <c r="J40" s="99">
        <v>343</v>
      </c>
      <c r="K40" s="99" t="s">
        <v>597</v>
      </c>
      <c r="L40" s="99">
        <v>773</v>
      </c>
      <c r="M40" s="99">
        <v>247</v>
      </c>
      <c r="N40" s="99">
        <v>133</v>
      </c>
      <c r="O40" s="99">
        <v>167</v>
      </c>
      <c r="P40" s="159">
        <v>167</v>
      </c>
      <c r="Q40" s="99">
        <v>10</v>
      </c>
      <c r="R40" s="99">
        <v>19</v>
      </c>
      <c r="S40" s="99">
        <v>34</v>
      </c>
      <c r="T40" s="99">
        <v>26</v>
      </c>
      <c r="U40" s="99">
        <v>7</v>
      </c>
      <c r="V40" s="99">
        <v>25</v>
      </c>
      <c r="W40" s="99">
        <v>39</v>
      </c>
      <c r="X40" s="99">
        <v>20</v>
      </c>
      <c r="Y40" s="99">
        <v>68</v>
      </c>
      <c r="Z40" s="99">
        <v>40</v>
      </c>
      <c r="AA40" s="99" t="s">
        <v>597</v>
      </c>
      <c r="AB40" s="99" t="s">
        <v>597</v>
      </c>
      <c r="AC40" s="99" t="s">
        <v>597</v>
      </c>
      <c r="AD40" s="98" t="s">
        <v>343</v>
      </c>
      <c r="AE40" s="100">
        <v>0.15340253748558247</v>
      </c>
      <c r="AF40" s="100">
        <v>0.25</v>
      </c>
      <c r="AG40" s="98">
        <v>326.797385620915</v>
      </c>
      <c r="AH40" s="98">
        <v>307.5740099961553</v>
      </c>
      <c r="AI40" s="100">
        <v>0.013999999999999999</v>
      </c>
      <c r="AJ40" s="100">
        <v>0.608156</v>
      </c>
      <c r="AK40" s="100" t="s">
        <v>597</v>
      </c>
      <c r="AL40" s="100">
        <v>0.651771</v>
      </c>
      <c r="AM40" s="100">
        <v>0.48622</v>
      </c>
      <c r="AN40" s="100">
        <v>0.525692</v>
      </c>
      <c r="AO40" s="98">
        <v>3210.303729334871</v>
      </c>
      <c r="AP40" s="158">
        <v>1.8362869259999999</v>
      </c>
      <c r="AQ40" s="100">
        <v>0.059880239520958084</v>
      </c>
      <c r="AR40" s="100">
        <v>0.5263157894736842</v>
      </c>
      <c r="AS40" s="98">
        <v>653.59477124183</v>
      </c>
      <c r="AT40" s="98">
        <v>499.8077662437524</v>
      </c>
      <c r="AU40" s="98">
        <v>134.56362937331795</v>
      </c>
      <c r="AV40" s="98">
        <v>480.5843906189927</v>
      </c>
      <c r="AW40" s="98">
        <v>749.7116493656287</v>
      </c>
      <c r="AX40" s="98">
        <v>384.46751249519417</v>
      </c>
      <c r="AY40" s="98">
        <v>1307.18954248366</v>
      </c>
      <c r="AZ40" s="98">
        <v>768.9350249903883</v>
      </c>
      <c r="BA40" s="100" t="s">
        <v>597</v>
      </c>
      <c r="BB40" s="100" t="s">
        <v>597</v>
      </c>
      <c r="BC40" s="100" t="s">
        <v>597</v>
      </c>
      <c r="BD40" s="158">
        <v>1.5683398439999998</v>
      </c>
      <c r="BE40" s="158">
        <v>2.136882935</v>
      </c>
      <c r="BF40" s="162">
        <v>564</v>
      </c>
      <c r="BG40" s="162" t="s">
        <v>597</v>
      </c>
      <c r="BH40" s="162">
        <v>1186</v>
      </c>
      <c r="BI40" s="162">
        <v>508</v>
      </c>
      <c r="BJ40" s="162">
        <v>253</v>
      </c>
      <c r="BK40" s="97"/>
      <c r="BL40" s="97"/>
      <c r="BM40" s="97"/>
      <c r="BN40" s="97"/>
    </row>
    <row r="41" spans="1:66" ht="12.75">
      <c r="A41" s="79" t="s">
        <v>562</v>
      </c>
      <c r="B41" s="79" t="s">
        <v>315</v>
      </c>
      <c r="C41" s="79" t="s">
        <v>159</v>
      </c>
      <c r="D41" s="99">
        <v>2762</v>
      </c>
      <c r="E41" s="99">
        <v>582</v>
      </c>
      <c r="F41" s="99" t="s">
        <v>366</v>
      </c>
      <c r="G41" s="99">
        <v>17</v>
      </c>
      <c r="H41" s="99">
        <v>35</v>
      </c>
      <c r="I41" s="99">
        <v>82</v>
      </c>
      <c r="J41" s="99">
        <v>250</v>
      </c>
      <c r="K41" s="99">
        <v>246</v>
      </c>
      <c r="L41" s="99">
        <v>510</v>
      </c>
      <c r="M41" s="99">
        <v>219</v>
      </c>
      <c r="N41" s="99">
        <v>131</v>
      </c>
      <c r="O41" s="99">
        <v>87</v>
      </c>
      <c r="P41" s="159">
        <v>87</v>
      </c>
      <c r="Q41" s="99">
        <v>9</v>
      </c>
      <c r="R41" s="99">
        <v>20</v>
      </c>
      <c r="S41" s="99">
        <v>15</v>
      </c>
      <c r="T41" s="99">
        <v>19</v>
      </c>
      <c r="U41" s="99" t="s">
        <v>597</v>
      </c>
      <c r="V41" s="99">
        <v>18</v>
      </c>
      <c r="W41" s="99">
        <v>38</v>
      </c>
      <c r="X41" s="99">
        <v>31</v>
      </c>
      <c r="Y41" s="99">
        <v>46</v>
      </c>
      <c r="Z41" s="99">
        <v>23</v>
      </c>
      <c r="AA41" s="99" t="s">
        <v>597</v>
      </c>
      <c r="AB41" s="99" t="s">
        <v>597</v>
      </c>
      <c r="AC41" s="99" t="s">
        <v>597</v>
      </c>
      <c r="AD41" s="98" t="s">
        <v>343</v>
      </c>
      <c r="AE41" s="100">
        <v>0.2107168718320058</v>
      </c>
      <c r="AF41" s="100">
        <v>0.14</v>
      </c>
      <c r="AG41" s="98">
        <v>615.496017378711</v>
      </c>
      <c r="AH41" s="98">
        <v>1267.1976828385227</v>
      </c>
      <c r="AI41" s="100">
        <v>0.03</v>
      </c>
      <c r="AJ41" s="100">
        <v>0.762195</v>
      </c>
      <c r="AK41" s="100">
        <v>0.780952</v>
      </c>
      <c r="AL41" s="100">
        <v>0.772727</v>
      </c>
      <c r="AM41" s="100">
        <v>0.634783</v>
      </c>
      <c r="AN41" s="100">
        <v>0.685864</v>
      </c>
      <c r="AO41" s="98">
        <v>3149.8913830557567</v>
      </c>
      <c r="AP41" s="158">
        <v>1.522093658</v>
      </c>
      <c r="AQ41" s="100">
        <v>0.10344827586206896</v>
      </c>
      <c r="AR41" s="100">
        <v>0.45</v>
      </c>
      <c r="AS41" s="98">
        <v>543.0847212165098</v>
      </c>
      <c r="AT41" s="98">
        <v>687.9073135409124</v>
      </c>
      <c r="AU41" s="98" t="s">
        <v>597</v>
      </c>
      <c r="AV41" s="98">
        <v>651.7016654598117</v>
      </c>
      <c r="AW41" s="98">
        <v>1375.8146270818247</v>
      </c>
      <c r="AX41" s="98">
        <v>1122.3750905141203</v>
      </c>
      <c r="AY41" s="98">
        <v>1665.45981173063</v>
      </c>
      <c r="AZ41" s="98">
        <v>832.729905865315</v>
      </c>
      <c r="BA41" s="100" t="s">
        <v>597</v>
      </c>
      <c r="BB41" s="100" t="s">
        <v>597</v>
      </c>
      <c r="BC41" s="100" t="s">
        <v>597</v>
      </c>
      <c r="BD41" s="158">
        <v>1.219134598</v>
      </c>
      <c r="BE41" s="158">
        <v>1.8774969479999999</v>
      </c>
      <c r="BF41" s="162">
        <v>328</v>
      </c>
      <c r="BG41" s="162">
        <v>315</v>
      </c>
      <c r="BH41" s="162">
        <v>660</v>
      </c>
      <c r="BI41" s="162">
        <v>345</v>
      </c>
      <c r="BJ41" s="162">
        <v>191</v>
      </c>
      <c r="BK41" s="97"/>
      <c r="BL41" s="97"/>
      <c r="BM41" s="97"/>
      <c r="BN41" s="97"/>
    </row>
    <row r="42" spans="1:66" ht="12.75">
      <c r="A42" s="79" t="s">
        <v>532</v>
      </c>
      <c r="B42" s="79" t="s">
        <v>285</v>
      </c>
      <c r="C42" s="79" t="s">
        <v>159</v>
      </c>
      <c r="D42" s="99">
        <v>16527</v>
      </c>
      <c r="E42" s="99">
        <v>1843</v>
      </c>
      <c r="F42" s="99" t="s">
        <v>363</v>
      </c>
      <c r="G42" s="99">
        <v>51</v>
      </c>
      <c r="H42" s="99">
        <v>21</v>
      </c>
      <c r="I42" s="99">
        <v>253</v>
      </c>
      <c r="J42" s="99">
        <v>1111</v>
      </c>
      <c r="K42" s="99">
        <v>1082</v>
      </c>
      <c r="L42" s="99">
        <v>2941</v>
      </c>
      <c r="M42" s="99">
        <v>753</v>
      </c>
      <c r="N42" s="99">
        <v>430</v>
      </c>
      <c r="O42" s="99">
        <v>276</v>
      </c>
      <c r="P42" s="159">
        <v>276</v>
      </c>
      <c r="Q42" s="99">
        <v>14</v>
      </c>
      <c r="R42" s="99">
        <v>48</v>
      </c>
      <c r="S42" s="99">
        <v>72</v>
      </c>
      <c r="T42" s="99">
        <v>52</v>
      </c>
      <c r="U42" s="99">
        <v>9</v>
      </c>
      <c r="V42" s="99">
        <v>44</v>
      </c>
      <c r="W42" s="99">
        <v>120</v>
      </c>
      <c r="X42" s="99">
        <v>47</v>
      </c>
      <c r="Y42" s="99">
        <v>141</v>
      </c>
      <c r="Z42" s="99">
        <v>84</v>
      </c>
      <c r="AA42" s="99" t="s">
        <v>597</v>
      </c>
      <c r="AB42" s="99" t="s">
        <v>597</v>
      </c>
      <c r="AC42" s="99" t="s">
        <v>597</v>
      </c>
      <c r="AD42" s="98" t="s">
        <v>343</v>
      </c>
      <c r="AE42" s="100">
        <v>0.11151449143825255</v>
      </c>
      <c r="AF42" s="100">
        <v>0.2</v>
      </c>
      <c r="AG42" s="98">
        <v>308.5859502632057</v>
      </c>
      <c r="AH42" s="98">
        <v>127.06480304955528</v>
      </c>
      <c r="AI42" s="100">
        <v>0.015</v>
      </c>
      <c r="AJ42" s="100">
        <v>0.750169</v>
      </c>
      <c r="AK42" s="100">
        <v>0.747754</v>
      </c>
      <c r="AL42" s="100">
        <v>0.725456</v>
      </c>
      <c r="AM42" s="100">
        <v>0.601438</v>
      </c>
      <c r="AN42" s="100">
        <v>0.65053</v>
      </c>
      <c r="AO42" s="98">
        <v>1669.9945543655836</v>
      </c>
      <c r="AP42" s="158">
        <v>1.11833374</v>
      </c>
      <c r="AQ42" s="100">
        <v>0.050724637681159424</v>
      </c>
      <c r="AR42" s="100">
        <v>0.2916666666666667</v>
      </c>
      <c r="AS42" s="98">
        <v>435.6507533127609</v>
      </c>
      <c r="AT42" s="98">
        <v>314.63665517032734</v>
      </c>
      <c r="AU42" s="98">
        <v>54.456344164095114</v>
      </c>
      <c r="AV42" s="98">
        <v>266.23101591335393</v>
      </c>
      <c r="AW42" s="98">
        <v>726.0845888546015</v>
      </c>
      <c r="AX42" s="98">
        <v>284.38313063471895</v>
      </c>
      <c r="AY42" s="98">
        <v>853.1493919041568</v>
      </c>
      <c r="AZ42" s="98">
        <v>508.2592121982211</v>
      </c>
      <c r="BA42" s="100" t="s">
        <v>597</v>
      </c>
      <c r="BB42" s="100" t="s">
        <v>597</v>
      </c>
      <c r="BC42" s="100" t="s">
        <v>597</v>
      </c>
      <c r="BD42" s="158">
        <v>0.9902759552</v>
      </c>
      <c r="BE42" s="158">
        <v>1.2583559420000001</v>
      </c>
      <c r="BF42" s="162">
        <v>1481</v>
      </c>
      <c r="BG42" s="162">
        <v>1447</v>
      </c>
      <c r="BH42" s="162">
        <v>4054</v>
      </c>
      <c r="BI42" s="162">
        <v>1252</v>
      </c>
      <c r="BJ42" s="162">
        <v>661</v>
      </c>
      <c r="BK42" s="97"/>
      <c r="BL42" s="97"/>
      <c r="BM42" s="97"/>
      <c r="BN42" s="97"/>
    </row>
    <row r="43" spans="1:66" ht="12.75">
      <c r="A43" s="79" t="s">
        <v>550</v>
      </c>
      <c r="B43" s="79" t="s">
        <v>303</v>
      </c>
      <c r="C43" s="79" t="s">
        <v>159</v>
      </c>
      <c r="D43" s="99">
        <v>7490</v>
      </c>
      <c r="E43" s="99">
        <v>1245</v>
      </c>
      <c r="F43" s="99" t="s">
        <v>366</v>
      </c>
      <c r="G43" s="99">
        <v>38</v>
      </c>
      <c r="H43" s="99">
        <v>17</v>
      </c>
      <c r="I43" s="99">
        <v>99</v>
      </c>
      <c r="J43" s="99">
        <v>576</v>
      </c>
      <c r="K43" s="99" t="s">
        <v>597</v>
      </c>
      <c r="L43" s="99">
        <v>1372</v>
      </c>
      <c r="M43" s="99">
        <v>480</v>
      </c>
      <c r="N43" s="99">
        <v>255</v>
      </c>
      <c r="O43" s="99">
        <v>171</v>
      </c>
      <c r="P43" s="159">
        <v>171</v>
      </c>
      <c r="Q43" s="99">
        <v>17</v>
      </c>
      <c r="R43" s="99">
        <v>30</v>
      </c>
      <c r="S43" s="99">
        <v>29</v>
      </c>
      <c r="T43" s="99">
        <v>36</v>
      </c>
      <c r="U43" s="99" t="s">
        <v>597</v>
      </c>
      <c r="V43" s="99">
        <v>15</v>
      </c>
      <c r="W43" s="99">
        <v>67</v>
      </c>
      <c r="X43" s="99">
        <v>38</v>
      </c>
      <c r="Y43" s="99">
        <v>100</v>
      </c>
      <c r="Z43" s="99">
        <v>42</v>
      </c>
      <c r="AA43" s="99" t="s">
        <v>597</v>
      </c>
      <c r="AB43" s="99" t="s">
        <v>597</v>
      </c>
      <c r="AC43" s="99" t="s">
        <v>597</v>
      </c>
      <c r="AD43" s="98" t="s">
        <v>343</v>
      </c>
      <c r="AE43" s="100">
        <v>0.16622162883845126</v>
      </c>
      <c r="AF43" s="100">
        <v>0.15</v>
      </c>
      <c r="AG43" s="98">
        <v>507.34312416555406</v>
      </c>
      <c r="AH43" s="98">
        <v>226.96929238985314</v>
      </c>
      <c r="AI43" s="100">
        <v>0.013000000000000001</v>
      </c>
      <c r="AJ43" s="100">
        <v>0.665896</v>
      </c>
      <c r="AK43" s="100" t="s">
        <v>597</v>
      </c>
      <c r="AL43" s="100">
        <v>0.761376</v>
      </c>
      <c r="AM43" s="100">
        <v>0.593325</v>
      </c>
      <c r="AN43" s="100">
        <v>0.601415</v>
      </c>
      <c r="AO43" s="98">
        <v>2283.0440587449934</v>
      </c>
      <c r="AP43" s="158">
        <v>1.251728821</v>
      </c>
      <c r="AQ43" s="100">
        <v>0.09941520467836257</v>
      </c>
      <c r="AR43" s="100">
        <v>0.5666666666666667</v>
      </c>
      <c r="AS43" s="98">
        <v>387.18291054739655</v>
      </c>
      <c r="AT43" s="98">
        <v>480.64085447263017</v>
      </c>
      <c r="AU43" s="98" t="s">
        <v>597</v>
      </c>
      <c r="AV43" s="98">
        <v>200.26702269692925</v>
      </c>
      <c r="AW43" s="98">
        <v>894.5260347129506</v>
      </c>
      <c r="AX43" s="98">
        <v>507.34312416555406</v>
      </c>
      <c r="AY43" s="98">
        <v>1335.1134846461948</v>
      </c>
      <c r="AZ43" s="98">
        <v>560.7476635514018</v>
      </c>
      <c r="BA43" s="100" t="s">
        <v>597</v>
      </c>
      <c r="BB43" s="100" t="s">
        <v>597</v>
      </c>
      <c r="BC43" s="100" t="s">
        <v>597</v>
      </c>
      <c r="BD43" s="158">
        <v>1.071143417</v>
      </c>
      <c r="BE43" s="158">
        <v>1.4540429689999999</v>
      </c>
      <c r="BF43" s="162">
        <v>865</v>
      </c>
      <c r="BG43" s="162" t="s">
        <v>597</v>
      </c>
      <c r="BH43" s="162">
        <v>1802</v>
      </c>
      <c r="BI43" s="162">
        <v>809</v>
      </c>
      <c r="BJ43" s="162">
        <v>424</v>
      </c>
      <c r="BK43" s="97"/>
      <c r="BL43" s="97"/>
      <c r="BM43" s="97"/>
      <c r="BN43" s="97"/>
    </row>
    <row r="44" spans="1:66" ht="12.75">
      <c r="A44" s="79" t="s">
        <v>579</v>
      </c>
      <c r="B44" s="79" t="s">
        <v>332</v>
      </c>
      <c r="C44" s="79" t="s">
        <v>159</v>
      </c>
      <c r="D44" s="99">
        <v>3387</v>
      </c>
      <c r="E44" s="99">
        <v>173</v>
      </c>
      <c r="F44" s="99" t="s">
        <v>364</v>
      </c>
      <c r="G44" s="99" t="s">
        <v>597</v>
      </c>
      <c r="H44" s="99" t="s">
        <v>597</v>
      </c>
      <c r="I44" s="99">
        <v>14</v>
      </c>
      <c r="J44" s="99">
        <v>74</v>
      </c>
      <c r="K44" s="99" t="s">
        <v>597</v>
      </c>
      <c r="L44" s="99">
        <v>483</v>
      </c>
      <c r="M44" s="99">
        <v>30</v>
      </c>
      <c r="N44" s="99">
        <v>23</v>
      </c>
      <c r="O44" s="99">
        <v>16</v>
      </c>
      <c r="P44" s="159">
        <v>16</v>
      </c>
      <c r="Q44" s="99" t="s">
        <v>597</v>
      </c>
      <c r="R44" s="99" t="s">
        <v>597</v>
      </c>
      <c r="S44" s="99">
        <v>8</v>
      </c>
      <c r="T44" s="99" t="s">
        <v>597</v>
      </c>
      <c r="U44" s="99" t="s">
        <v>597</v>
      </c>
      <c r="V44" s="99" t="s">
        <v>597</v>
      </c>
      <c r="W44" s="99">
        <v>10</v>
      </c>
      <c r="X44" s="99">
        <v>10</v>
      </c>
      <c r="Y44" s="99">
        <v>20</v>
      </c>
      <c r="Z44" s="99">
        <v>10</v>
      </c>
      <c r="AA44" s="99" t="s">
        <v>597</v>
      </c>
      <c r="AB44" s="99" t="s">
        <v>597</v>
      </c>
      <c r="AC44" s="99" t="s">
        <v>597</v>
      </c>
      <c r="AD44" s="98" t="s">
        <v>343</v>
      </c>
      <c r="AE44" s="100">
        <v>0.05107764983761441</v>
      </c>
      <c r="AF44" s="100">
        <v>0.31</v>
      </c>
      <c r="AG44" s="98" t="s">
        <v>597</v>
      </c>
      <c r="AH44" s="98" t="s">
        <v>597</v>
      </c>
      <c r="AI44" s="100">
        <v>0.004</v>
      </c>
      <c r="AJ44" s="100">
        <v>0.377551</v>
      </c>
      <c r="AK44" s="100" t="s">
        <v>597</v>
      </c>
      <c r="AL44" s="100">
        <v>0.66805</v>
      </c>
      <c r="AM44" s="100">
        <v>0.196078</v>
      </c>
      <c r="AN44" s="100">
        <v>0.280488</v>
      </c>
      <c r="AO44" s="98">
        <v>472.39444936521994</v>
      </c>
      <c r="AP44" s="158">
        <v>0.4497751236</v>
      </c>
      <c r="AQ44" s="100" t="s">
        <v>597</v>
      </c>
      <c r="AR44" s="100" t="s">
        <v>597</v>
      </c>
      <c r="AS44" s="98">
        <v>236.19722468260997</v>
      </c>
      <c r="AT44" s="98" t="s">
        <v>597</v>
      </c>
      <c r="AU44" s="98" t="s">
        <v>597</v>
      </c>
      <c r="AV44" s="98" t="s">
        <v>597</v>
      </c>
      <c r="AW44" s="98">
        <v>295.24653085326247</v>
      </c>
      <c r="AX44" s="98">
        <v>295.24653085326247</v>
      </c>
      <c r="AY44" s="98">
        <v>590.4930617065249</v>
      </c>
      <c r="AZ44" s="98">
        <v>295.24653085326247</v>
      </c>
      <c r="BA44" s="101" t="s">
        <v>597</v>
      </c>
      <c r="BB44" s="101" t="s">
        <v>597</v>
      </c>
      <c r="BC44" s="101" t="s">
        <v>597</v>
      </c>
      <c r="BD44" s="158">
        <v>0.25708534239999997</v>
      </c>
      <c r="BE44" s="158">
        <v>0.7304066467</v>
      </c>
      <c r="BF44" s="162">
        <v>196</v>
      </c>
      <c r="BG44" s="162" t="s">
        <v>597</v>
      </c>
      <c r="BH44" s="162">
        <v>723</v>
      </c>
      <c r="BI44" s="162">
        <v>153</v>
      </c>
      <c r="BJ44" s="162">
        <v>82</v>
      </c>
      <c r="BK44" s="97"/>
      <c r="BL44" s="97"/>
      <c r="BM44" s="97"/>
      <c r="BN44" s="97"/>
    </row>
    <row r="45" spans="1:66" ht="12.75">
      <c r="A45" s="79" t="s">
        <v>583</v>
      </c>
      <c r="B45" s="79" t="s">
        <v>336</v>
      </c>
      <c r="C45" s="79" t="s">
        <v>159</v>
      </c>
      <c r="D45" s="99">
        <v>3886</v>
      </c>
      <c r="E45" s="99">
        <v>162</v>
      </c>
      <c r="F45" s="99" t="s">
        <v>364</v>
      </c>
      <c r="G45" s="99">
        <v>9</v>
      </c>
      <c r="H45" s="99">
        <v>7</v>
      </c>
      <c r="I45" s="99">
        <v>19</v>
      </c>
      <c r="J45" s="99">
        <v>101</v>
      </c>
      <c r="K45" s="99">
        <v>11</v>
      </c>
      <c r="L45" s="99">
        <v>608</v>
      </c>
      <c r="M45" s="99">
        <v>42</v>
      </c>
      <c r="N45" s="99">
        <v>23</v>
      </c>
      <c r="O45" s="99">
        <v>23</v>
      </c>
      <c r="P45" s="159">
        <v>23</v>
      </c>
      <c r="Q45" s="99" t="s">
        <v>597</v>
      </c>
      <c r="R45" s="99" t="s">
        <v>597</v>
      </c>
      <c r="S45" s="99">
        <v>6</v>
      </c>
      <c r="T45" s="99" t="s">
        <v>597</v>
      </c>
      <c r="U45" s="99" t="s">
        <v>597</v>
      </c>
      <c r="V45" s="99" t="s">
        <v>597</v>
      </c>
      <c r="W45" s="99">
        <v>6</v>
      </c>
      <c r="X45" s="99">
        <v>13</v>
      </c>
      <c r="Y45" s="99">
        <v>16</v>
      </c>
      <c r="Z45" s="99">
        <v>14</v>
      </c>
      <c r="AA45" s="99" t="s">
        <v>597</v>
      </c>
      <c r="AB45" s="99" t="s">
        <v>597</v>
      </c>
      <c r="AC45" s="99" t="s">
        <v>597</v>
      </c>
      <c r="AD45" s="98" t="s">
        <v>343</v>
      </c>
      <c r="AE45" s="100">
        <v>0.041688111168296446</v>
      </c>
      <c r="AF45" s="100">
        <v>0.31</v>
      </c>
      <c r="AG45" s="98">
        <v>231.60061760164695</v>
      </c>
      <c r="AH45" s="98">
        <v>180.13381369016983</v>
      </c>
      <c r="AI45" s="100">
        <v>0.005</v>
      </c>
      <c r="AJ45" s="100">
        <v>0.444934</v>
      </c>
      <c r="AK45" s="100">
        <v>0.458333</v>
      </c>
      <c r="AL45" s="100">
        <v>0.71028</v>
      </c>
      <c r="AM45" s="100">
        <v>0.234637</v>
      </c>
      <c r="AN45" s="100">
        <v>0.239583</v>
      </c>
      <c r="AO45" s="98">
        <v>591.8682449819867</v>
      </c>
      <c r="AP45" s="158">
        <v>0.5734978104</v>
      </c>
      <c r="AQ45" s="100" t="s">
        <v>597</v>
      </c>
      <c r="AR45" s="100" t="s">
        <v>597</v>
      </c>
      <c r="AS45" s="98">
        <v>154.4004117344313</v>
      </c>
      <c r="AT45" s="98" t="s">
        <v>597</v>
      </c>
      <c r="AU45" s="98" t="s">
        <v>597</v>
      </c>
      <c r="AV45" s="98" t="s">
        <v>597</v>
      </c>
      <c r="AW45" s="98">
        <v>154.4004117344313</v>
      </c>
      <c r="AX45" s="98">
        <v>334.5342254246011</v>
      </c>
      <c r="AY45" s="98">
        <v>411.7344312918168</v>
      </c>
      <c r="AZ45" s="98">
        <v>360.26762738033966</v>
      </c>
      <c r="BA45" s="100" t="s">
        <v>597</v>
      </c>
      <c r="BB45" s="100" t="s">
        <v>597</v>
      </c>
      <c r="BC45" s="100" t="s">
        <v>597</v>
      </c>
      <c r="BD45" s="158">
        <v>0.36354839320000004</v>
      </c>
      <c r="BE45" s="158">
        <v>0.8605282593</v>
      </c>
      <c r="BF45" s="162">
        <v>227</v>
      </c>
      <c r="BG45" s="162">
        <v>24</v>
      </c>
      <c r="BH45" s="162">
        <v>856</v>
      </c>
      <c r="BI45" s="162">
        <v>179</v>
      </c>
      <c r="BJ45" s="162">
        <v>96</v>
      </c>
      <c r="BK45" s="97"/>
      <c r="BL45" s="97"/>
      <c r="BM45" s="97"/>
      <c r="BN45" s="97"/>
    </row>
    <row r="46" spans="1:66" ht="12.75">
      <c r="A46" s="79" t="s">
        <v>545</v>
      </c>
      <c r="B46" s="79" t="s">
        <v>298</v>
      </c>
      <c r="C46" s="79" t="s">
        <v>159</v>
      </c>
      <c r="D46" s="99">
        <v>4916</v>
      </c>
      <c r="E46" s="99">
        <v>728</v>
      </c>
      <c r="F46" s="99" t="s">
        <v>364</v>
      </c>
      <c r="G46" s="99">
        <v>16</v>
      </c>
      <c r="H46" s="99">
        <v>6</v>
      </c>
      <c r="I46" s="99">
        <v>49</v>
      </c>
      <c r="J46" s="99">
        <v>218</v>
      </c>
      <c r="K46" s="99" t="s">
        <v>597</v>
      </c>
      <c r="L46" s="99">
        <v>654</v>
      </c>
      <c r="M46" s="99">
        <v>176</v>
      </c>
      <c r="N46" s="99">
        <v>89</v>
      </c>
      <c r="O46" s="99">
        <v>56</v>
      </c>
      <c r="P46" s="159">
        <v>56</v>
      </c>
      <c r="Q46" s="99" t="s">
        <v>597</v>
      </c>
      <c r="R46" s="99">
        <v>14</v>
      </c>
      <c r="S46" s="99">
        <v>15</v>
      </c>
      <c r="T46" s="99">
        <v>19</v>
      </c>
      <c r="U46" s="99" t="s">
        <v>597</v>
      </c>
      <c r="V46" s="99" t="s">
        <v>597</v>
      </c>
      <c r="W46" s="99">
        <v>24</v>
      </c>
      <c r="X46" s="99">
        <v>15</v>
      </c>
      <c r="Y46" s="99">
        <v>31</v>
      </c>
      <c r="Z46" s="99">
        <v>21</v>
      </c>
      <c r="AA46" s="99" t="s">
        <v>597</v>
      </c>
      <c r="AB46" s="99" t="s">
        <v>597</v>
      </c>
      <c r="AC46" s="99" t="s">
        <v>597</v>
      </c>
      <c r="AD46" s="98" t="s">
        <v>343</v>
      </c>
      <c r="AE46" s="100">
        <v>0.14808787632221318</v>
      </c>
      <c r="AF46" s="100">
        <v>0.31</v>
      </c>
      <c r="AG46" s="98">
        <v>325.46786004882017</v>
      </c>
      <c r="AH46" s="98">
        <v>122.05044751830756</v>
      </c>
      <c r="AI46" s="100">
        <v>0.01</v>
      </c>
      <c r="AJ46" s="100">
        <v>0.592391</v>
      </c>
      <c r="AK46" s="100" t="s">
        <v>597</v>
      </c>
      <c r="AL46" s="100">
        <v>0.631274</v>
      </c>
      <c r="AM46" s="100">
        <v>0.442211</v>
      </c>
      <c r="AN46" s="100">
        <v>0.427885</v>
      </c>
      <c r="AO46" s="98">
        <v>1139.1375101708707</v>
      </c>
      <c r="AP46" s="158">
        <v>0.711006012</v>
      </c>
      <c r="AQ46" s="100" t="s">
        <v>597</v>
      </c>
      <c r="AR46" s="100" t="s">
        <v>597</v>
      </c>
      <c r="AS46" s="98">
        <v>305.12611879576895</v>
      </c>
      <c r="AT46" s="98">
        <v>386.49308380797396</v>
      </c>
      <c r="AU46" s="98" t="s">
        <v>597</v>
      </c>
      <c r="AV46" s="98" t="s">
        <v>597</v>
      </c>
      <c r="AW46" s="98">
        <v>488.20179007323026</v>
      </c>
      <c r="AX46" s="98">
        <v>305.12611879576895</v>
      </c>
      <c r="AY46" s="98">
        <v>630.5939788445891</v>
      </c>
      <c r="AZ46" s="98">
        <v>427.17656631407647</v>
      </c>
      <c r="BA46" s="100" t="s">
        <v>597</v>
      </c>
      <c r="BB46" s="100" t="s">
        <v>597</v>
      </c>
      <c r="BC46" s="100" t="s">
        <v>597</v>
      </c>
      <c r="BD46" s="158">
        <v>0.5370863342</v>
      </c>
      <c r="BE46" s="158">
        <v>0.9233004761</v>
      </c>
      <c r="BF46" s="162">
        <v>368</v>
      </c>
      <c r="BG46" s="162" t="s">
        <v>597</v>
      </c>
      <c r="BH46" s="162">
        <v>1036</v>
      </c>
      <c r="BI46" s="162">
        <v>398</v>
      </c>
      <c r="BJ46" s="162">
        <v>208</v>
      </c>
      <c r="BK46" s="97"/>
      <c r="BL46" s="97"/>
      <c r="BM46" s="97"/>
      <c r="BN46" s="97"/>
    </row>
    <row r="47" spans="1:66" ht="12.75">
      <c r="A47" s="79" t="s">
        <v>580</v>
      </c>
      <c r="B47" s="79" t="s">
        <v>333</v>
      </c>
      <c r="C47" s="79" t="s">
        <v>159</v>
      </c>
      <c r="D47" s="99">
        <v>1791</v>
      </c>
      <c r="E47" s="99">
        <v>123</v>
      </c>
      <c r="F47" s="99" t="s">
        <v>364</v>
      </c>
      <c r="G47" s="99" t="s">
        <v>597</v>
      </c>
      <c r="H47" s="99" t="s">
        <v>597</v>
      </c>
      <c r="I47" s="99">
        <v>16</v>
      </c>
      <c r="J47" s="99">
        <v>23</v>
      </c>
      <c r="K47" s="99" t="s">
        <v>597</v>
      </c>
      <c r="L47" s="99">
        <v>203</v>
      </c>
      <c r="M47" s="99">
        <v>24</v>
      </c>
      <c r="N47" s="99">
        <v>11</v>
      </c>
      <c r="O47" s="99" t="s">
        <v>597</v>
      </c>
      <c r="P47" s="159" t="s">
        <v>597</v>
      </c>
      <c r="Q47" s="99" t="s">
        <v>597</v>
      </c>
      <c r="R47" s="99" t="s">
        <v>597</v>
      </c>
      <c r="S47" s="99" t="s">
        <v>597</v>
      </c>
      <c r="T47" s="99" t="s">
        <v>597</v>
      </c>
      <c r="U47" s="99" t="s">
        <v>597</v>
      </c>
      <c r="V47" s="99" t="s">
        <v>597</v>
      </c>
      <c r="W47" s="99" t="s">
        <v>597</v>
      </c>
      <c r="X47" s="99" t="s">
        <v>597</v>
      </c>
      <c r="Y47" s="99" t="s">
        <v>597</v>
      </c>
      <c r="Z47" s="99" t="s">
        <v>597</v>
      </c>
      <c r="AA47" s="99" t="s">
        <v>597</v>
      </c>
      <c r="AB47" s="99" t="s">
        <v>597</v>
      </c>
      <c r="AC47" s="99" t="s">
        <v>597</v>
      </c>
      <c r="AD47" s="98" t="s">
        <v>343</v>
      </c>
      <c r="AE47" s="100">
        <v>0.06867671691792294</v>
      </c>
      <c r="AF47" s="100">
        <v>0.3</v>
      </c>
      <c r="AG47" s="98" t="s">
        <v>597</v>
      </c>
      <c r="AH47" s="98" t="s">
        <v>597</v>
      </c>
      <c r="AI47" s="100">
        <v>0.009000000000000001</v>
      </c>
      <c r="AJ47" s="100">
        <v>0.333333</v>
      </c>
      <c r="AK47" s="100" t="s">
        <v>597</v>
      </c>
      <c r="AL47" s="100">
        <v>0.626543</v>
      </c>
      <c r="AM47" s="100">
        <v>0.387097</v>
      </c>
      <c r="AN47" s="100">
        <v>0.423077</v>
      </c>
      <c r="AO47" s="98" t="s">
        <v>597</v>
      </c>
      <c r="AP47" s="158" t="s">
        <v>597</v>
      </c>
      <c r="AQ47" s="100" t="s">
        <v>597</v>
      </c>
      <c r="AR47" s="100" t="s">
        <v>597</v>
      </c>
      <c r="AS47" s="98" t="s">
        <v>597</v>
      </c>
      <c r="AT47" s="98" t="s">
        <v>597</v>
      </c>
      <c r="AU47" s="98" t="s">
        <v>597</v>
      </c>
      <c r="AV47" s="98" t="s">
        <v>597</v>
      </c>
      <c r="AW47" s="98" t="s">
        <v>597</v>
      </c>
      <c r="AX47" s="98" t="s">
        <v>597</v>
      </c>
      <c r="AY47" s="98" t="s">
        <v>597</v>
      </c>
      <c r="AZ47" s="98" t="s">
        <v>597</v>
      </c>
      <c r="BA47" s="100" t="s">
        <v>597</v>
      </c>
      <c r="BB47" s="100" t="s">
        <v>597</v>
      </c>
      <c r="BC47" s="100" t="s">
        <v>597</v>
      </c>
      <c r="BD47" s="158" t="s">
        <v>597</v>
      </c>
      <c r="BE47" s="158" t="s">
        <v>597</v>
      </c>
      <c r="BF47" s="162">
        <v>69</v>
      </c>
      <c r="BG47" s="162" t="s">
        <v>597</v>
      </c>
      <c r="BH47" s="162">
        <v>324</v>
      </c>
      <c r="BI47" s="162">
        <v>62</v>
      </c>
      <c r="BJ47" s="162">
        <v>26</v>
      </c>
      <c r="BK47" s="97"/>
      <c r="BL47" s="97"/>
      <c r="BM47" s="97"/>
      <c r="BN47" s="97"/>
    </row>
    <row r="48" spans="1:66" ht="12.75">
      <c r="A48" s="79" t="s">
        <v>554</v>
      </c>
      <c r="B48" s="79" t="s">
        <v>307</v>
      </c>
      <c r="C48" s="79" t="s">
        <v>159</v>
      </c>
      <c r="D48" s="99">
        <v>6121</v>
      </c>
      <c r="E48" s="99">
        <v>1210</v>
      </c>
      <c r="F48" s="99" t="s">
        <v>366</v>
      </c>
      <c r="G48" s="99">
        <v>34</v>
      </c>
      <c r="H48" s="99">
        <v>15</v>
      </c>
      <c r="I48" s="99">
        <v>107</v>
      </c>
      <c r="J48" s="99">
        <v>565</v>
      </c>
      <c r="K48" s="99">
        <v>549</v>
      </c>
      <c r="L48" s="99">
        <v>1111</v>
      </c>
      <c r="M48" s="99">
        <v>449</v>
      </c>
      <c r="N48" s="99">
        <v>259</v>
      </c>
      <c r="O48" s="99">
        <v>105</v>
      </c>
      <c r="P48" s="159">
        <v>105</v>
      </c>
      <c r="Q48" s="99">
        <v>12</v>
      </c>
      <c r="R48" s="99">
        <v>29</v>
      </c>
      <c r="S48" s="99">
        <v>26</v>
      </c>
      <c r="T48" s="99">
        <v>17</v>
      </c>
      <c r="U48" s="99" t="s">
        <v>597</v>
      </c>
      <c r="V48" s="99">
        <v>23</v>
      </c>
      <c r="W48" s="99">
        <v>54</v>
      </c>
      <c r="X48" s="99">
        <v>24</v>
      </c>
      <c r="Y48" s="99">
        <v>73</v>
      </c>
      <c r="Z48" s="99">
        <v>48</v>
      </c>
      <c r="AA48" s="99" t="s">
        <v>597</v>
      </c>
      <c r="AB48" s="99" t="s">
        <v>597</v>
      </c>
      <c r="AC48" s="99" t="s">
        <v>597</v>
      </c>
      <c r="AD48" s="98" t="s">
        <v>343</v>
      </c>
      <c r="AE48" s="100">
        <v>0.19768011762783858</v>
      </c>
      <c r="AF48" s="100">
        <v>0.13</v>
      </c>
      <c r="AG48" s="98">
        <v>555.4647933344224</v>
      </c>
      <c r="AH48" s="98">
        <v>245.05799705930403</v>
      </c>
      <c r="AI48" s="100">
        <v>0.017</v>
      </c>
      <c r="AJ48" s="100">
        <v>0.758389</v>
      </c>
      <c r="AK48" s="100">
        <v>0.76569</v>
      </c>
      <c r="AL48" s="100">
        <v>0.743144</v>
      </c>
      <c r="AM48" s="100">
        <v>0.625348</v>
      </c>
      <c r="AN48" s="100">
        <v>0.649123</v>
      </c>
      <c r="AO48" s="98">
        <v>1715.4059794151283</v>
      </c>
      <c r="AP48" s="158">
        <v>0.8779898834</v>
      </c>
      <c r="AQ48" s="100">
        <v>0.11428571428571428</v>
      </c>
      <c r="AR48" s="100">
        <v>0.41379310344827586</v>
      </c>
      <c r="AS48" s="98">
        <v>424.7671949027937</v>
      </c>
      <c r="AT48" s="98">
        <v>277.7323966672112</v>
      </c>
      <c r="AU48" s="98" t="s">
        <v>597</v>
      </c>
      <c r="AV48" s="98">
        <v>375.7555954909329</v>
      </c>
      <c r="AW48" s="98">
        <v>882.2087894134945</v>
      </c>
      <c r="AX48" s="98">
        <v>392.09279529488646</v>
      </c>
      <c r="AY48" s="98">
        <v>1192.615585688613</v>
      </c>
      <c r="AZ48" s="98">
        <v>784.1855905897729</v>
      </c>
      <c r="BA48" s="100" t="s">
        <v>597</v>
      </c>
      <c r="BB48" s="100" t="s">
        <v>597</v>
      </c>
      <c r="BC48" s="100" t="s">
        <v>597</v>
      </c>
      <c r="BD48" s="158">
        <v>0.7181087494</v>
      </c>
      <c r="BE48" s="158">
        <v>1.0628602600000001</v>
      </c>
      <c r="BF48" s="162">
        <v>745</v>
      </c>
      <c r="BG48" s="162">
        <v>717</v>
      </c>
      <c r="BH48" s="162">
        <v>1495</v>
      </c>
      <c r="BI48" s="162">
        <v>718</v>
      </c>
      <c r="BJ48" s="162">
        <v>399</v>
      </c>
      <c r="BK48" s="97"/>
      <c r="BL48" s="97"/>
      <c r="BM48" s="97"/>
      <c r="BN48" s="97"/>
    </row>
    <row r="49" spans="1:66" ht="12.75">
      <c r="A49" s="79" t="s">
        <v>540</v>
      </c>
      <c r="B49" s="79" t="s">
        <v>293</v>
      </c>
      <c r="C49" s="79" t="s">
        <v>159</v>
      </c>
      <c r="D49" s="99">
        <v>3266</v>
      </c>
      <c r="E49" s="99">
        <v>597</v>
      </c>
      <c r="F49" s="99" t="s">
        <v>364</v>
      </c>
      <c r="G49" s="99">
        <v>17</v>
      </c>
      <c r="H49" s="99">
        <v>8</v>
      </c>
      <c r="I49" s="99">
        <v>56</v>
      </c>
      <c r="J49" s="99">
        <v>227</v>
      </c>
      <c r="K49" s="99">
        <v>13</v>
      </c>
      <c r="L49" s="99">
        <v>518</v>
      </c>
      <c r="M49" s="99">
        <v>166</v>
      </c>
      <c r="N49" s="99">
        <v>101</v>
      </c>
      <c r="O49" s="99">
        <v>101</v>
      </c>
      <c r="P49" s="159">
        <v>101</v>
      </c>
      <c r="Q49" s="99">
        <v>9</v>
      </c>
      <c r="R49" s="99">
        <v>17</v>
      </c>
      <c r="S49" s="99">
        <v>18</v>
      </c>
      <c r="T49" s="99">
        <v>15</v>
      </c>
      <c r="U49" s="99" t="s">
        <v>597</v>
      </c>
      <c r="V49" s="99">
        <v>19</v>
      </c>
      <c r="W49" s="99">
        <v>37</v>
      </c>
      <c r="X49" s="99">
        <v>20</v>
      </c>
      <c r="Y49" s="99">
        <v>36</v>
      </c>
      <c r="Z49" s="99">
        <v>25</v>
      </c>
      <c r="AA49" s="99" t="s">
        <v>597</v>
      </c>
      <c r="AB49" s="99" t="s">
        <v>597</v>
      </c>
      <c r="AC49" s="99" t="s">
        <v>597</v>
      </c>
      <c r="AD49" s="98" t="s">
        <v>343</v>
      </c>
      <c r="AE49" s="100">
        <v>0.1827924066135946</v>
      </c>
      <c r="AF49" s="100">
        <v>0.28</v>
      </c>
      <c r="AG49" s="98">
        <v>520.514390691978</v>
      </c>
      <c r="AH49" s="98">
        <v>244.9479485609308</v>
      </c>
      <c r="AI49" s="100">
        <v>0.017</v>
      </c>
      <c r="AJ49" s="100">
        <v>0.681682</v>
      </c>
      <c r="AK49" s="100">
        <v>0.8125</v>
      </c>
      <c r="AL49" s="100">
        <v>0.689747</v>
      </c>
      <c r="AM49" s="100">
        <v>0.553333</v>
      </c>
      <c r="AN49" s="100">
        <v>0.655844</v>
      </c>
      <c r="AO49" s="98">
        <v>3092.4678505817515</v>
      </c>
      <c r="AP49" s="158">
        <v>1.668480835</v>
      </c>
      <c r="AQ49" s="100">
        <v>0.0891089108910891</v>
      </c>
      <c r="AR49" s="100">
        <v>0.5294117647058824</v>
      </c>
      <c r="AS49" s="98">
        <v>551.1328842620943</v>
      </c>
      <c r="AT49" s="98">
        <v>459.27740355174524</v>
      </c>
      <c r="AU49" s="98" t="s">
        <v>597</v>
      </c>
      <c r="AV49" s="98">
        <v>581.7513778322107</v>
      </c>
      <c r="AW49" s="98">
        <v>1132.8842620943049</v>
      </c>
      <c r="AX49" s="98">
        <v>612.369871402327</v>
      </c>
      <c r="AY49" s="98">
        <v>1102.2657685241886</v>
      </c>
      <c r="AZ49" s="98">
        <v>765.4623392529088</v>
      </c>
      <c r="BA49" s="101" t="s">
        <v>597</v>
      </c>
      <c r="BB49" s="101" t="s">
        <v>597</v>
      </c>
      <c r="BC49" s="101" t="s">
        <v>597</v>
      </c>
      <c r="BD49" s="158">
        <v>1.359004974</v>
      </c>
      <c r="BE49" s="158">
        <v>2.027355499</v>
      </c>
      <c r="BF49" s="162">
        <v>333</v>
      </c>
      <c r="BG49" s="162">
        <v>16</v>
      </c>
      <c r="BH49" s="162">
        <v>751</v>
      </c>
      <c r="BI49" s="162">
        <v>300</v>
      </c>
      <c r="BJ49" s="162">
        <v>154</v>
      </c>
      <c r="BK49" s="97"/>
      <c r="BL49" s="97"/>
      <c r="BM49" s="97"/>
      <c r="BN49" s="97"/>
    </row>
    <row r="50" spans="1:66" ht="12.75">
      <c r="A50" s="79" t="s">
        <v>543</v>
      </c>
      <c r="B50" s="79" t="s">
        <v>296</v>
      </c>
      <c r="C50" s="79" t="s">
        <v>159</v>
      </c>
      <c r="D50" s="99">
        <v>14147</v>
      </c>
      <c r="E50" s="99">
        <v>2011</v>
      </c>
      <c r="F50" s="99" t="s">
        <v>366</v>
      </c>
      <c r="G50" s="99">
        <v>67</v>
      </c>
      <c r="H50" s="99">
        <v>21</v>
      </c>
      <c r="I50" s="99">
        <v>215</v>
      </c>
      <c r="J50" s="99">
        <v>1317</v>
      </c>
      <c r="K50" s="99">
        <v>11</v>
      </c>
      <c r="L50" s="99">
        <v>2785</v>
      </c>
      <c r="M50" s="99">
        <v>878</v>
      </c>
      <c r="N50" s="99">
        <v>475</v>
      </c>
      <c r="O50" s="99">
        <v>339</v>
      </c>
      <c r="P50" s="159">
        <v>339</v>
      </c>
      <c r="Q50" s="99">
        <v>28</v>
      </c>
      <c r="R50" s="99">
        <v>45</v>
      </c>
      <c r="S50" s="99">
        <v>68</v>
      </c>
      <c r="T50" s="99">
        <v>48</v>
      </c>
      <c r="U50" s="99">
        <v>7</v>
      </c>
      <c r="V50" s="99">
        <v>44</v>
      </c>
      <c r="W50" s="99">
        <v>120</v>
      </c>
      <c r="X50" s="99">
        <v>49</v>
      </c>
      <c r="Y50" s="99">
        <v>200</v>
      </c>
      <c r="Z50" s="99">
        <v>78</v>
      </c>
      <c r="AA50" s="99" t="s">
        <v>597</v>
      </c>
      <c r="AB50" s="99" t="s">
        <v>597</v>
      </c>
      <c r="AC50" s="99" t="s">
        <v>597</v>
      </c>
      <c r="AD50" s="98" t="s">
        <v>343</v>
      </c>
      <c r="AE50" s="100">
        <v>0.14215027921114018</v>
      </c>
      <c r="AF50" s="100">
        <v>0.16</v>
      </c>
      <c r="AG50" s="98">
        <v>473.5986428217997</v>
      </c>
      <c r="AH50" s="98">
        <v>148.4413656605641</v>
      </c>
      <c r="AI50" s="100">
        <v>0.015</v>
      </c>
      <c r="AJ50" s="100">
        <v>0.790516</v>
      </c>
      <c r="AK50" s="100">
        <v>0.52381</v>
      </c>
      <c r="AL50" s="100">
        <v>0.766795</v>
      </c>
      <c r="AM50" s="100">
        <v>0.595658</v>
      </c>
      <c r="AN50" s="100">
        <v>0.616883</v>
      </c>
      <c r="AO50" s="98">
        <v>2396.2677599491058</v>
      </c>
      <c r="AP50" s="158">
        <v>1.385764618</v>
      </c>
      <c r="AQ50" s="100">
        <v>0.08259587020648967</v>
      </c>
      <c r="AR50" s="100">
        <v>0.6222222222222222</v>
      </c>
      <c r="AS50" s="98">
        <v>480.66727928182655</v>
      </c>
      <c r="AT50" s="98">
        <v>339.29455008128934</v>
      </c>
      <c r="AU50" s="98">
        <v>49.48045522018803</v>
      </c>
      <c r="AV50" s="98">
        <v>311.0200042411819</v>
      </c>
      <c r="AW50" s="98">
        <v>848.2363752032232</v>
      </c>
      <c r="AX50" s="98">
        <v>346.36318654131617</v>
      </c>
      <c r="AY50" s="98">
        <v>1413.7272920053722</v>
      </c>
      <c r="AZ50" s="98">
        <v>551.3536438820952</v>
      </c>
      <c r="BA50" s="100" t="s">
        <v>597</v>
      </c>
      <c r="BB50" s="100" t="s">
        <v>597</v>
      </c>
      <c r="BC50" s="100" t="s">
        <v>597</v>
      </c>
      <c r="BD50" s="158">
        <v>1.242158203</v>
      </c>
      <c r="BE50" s="158">
        <v>1.5414181519999999</v>
      </c>
      <c r="BF50" s="162">
        <v>1666</v>
      </c>
      <c r="BG50" s="162">
        <v>21</v>
      </c>
      <c r="BH50" s="162">
        <v>3632</v>
      </c>
      <c r="BI50" s="162">
        <v>1474</v>
      </c>
      <c r="BJ50" s="162">
        <v>770</v>
      </c>
      <c r="BK50" s="97"/>
      <c r="BL50" s="97"/>
      <c r="BM50" s="97"/>
      <c r="BN50" s="97"/>
    </row>
    <row r="51" spans="1:66" ht="12.75">
      <c r="A51" s="79" t="s">
        <v>537</v>
      </c>
      <c r="B51" s="79" t="s">
        <v>290</v>
      </c>
      <c r="C51" s="79" t="s">
        <v>159</v>
      </c>
      <c r="D51" s="99">
        <v>9697</v>
      </c>
      <c r="E51" s="99">
        <v>1472</v>
      </c>
      <c r="F51" s="99" t="s">
        <v>366</v>
      </c>
      <c r="G51" s="99">
        <v>44</v>
      </c>
      <c r="H51" s="99">
        <v>29</v>
      </c>
      <c r="I51" s="99">
        <v>125</v>
      </c>
      <c r="J51" s="99">
        <v>642</v>
      </c>
      <c r="K51" s="99">
        <v>8</v>
      </c>
      <c r="L51" s="99">
        <v>1820</v>
      </c>
      <c r="M51" s="99">
        <v>526</v>
      </c>
      <c r="N51" s="99">
        <v>275</v>
      </c>
      <c r="O51" s="99">
        <v>134</v>
      </c>
      <c r="P51" s="159">
        <v>134</v>
      </c>
      <c r="Q51" s="99">
        <v>16</v>
      </c>
      <c r="R51" s="99">
        <v>38</v>
      </c>
      <c r="S51" s="99">
        <v>23</v>
      </c>
      <c r="T51" s="99">
        <v>36</v>
      </c>
      <c r="U51" s="99" t="s">
        <v>597</v>
      </c>
      <c r="V51" s="99">
        <v>18</v>
      </c>
      <c r="W51" s="99">
        <v>64</v>
      </c>
      <c r="X51" s="99">
        <v>41</v>
      </c>
      <c r="Y51" s="99">
        <v>93</v>
      </c>
      <c r="Z51" s="99">
        <v>68</v>
      </c>
      <c r="AA51" s="99" t="s">
        <v>597</v>
      </c>
      <c r="AB51" s="99" t="s">
        <v>597</v>
      </c>
      <c r="AC51" s="99" t="s">
        <v>597</v>
      </c>
      <c r="AD51" s="98" t="s">
        <v>343</v>
      </c>
      <c r="AE51" s="100">
        <v>0.1517995256264824</v>
      </c>
      <c r="AF51" s="100">
        <v>0.17</v>
      </c>
      <c r="AG51" s="98">
        <v>453.7485820356811</v>
      </c>
      <c r="AH51" s="98">
        <v>299.061565432608</v>
      </c>
      <c r="AI51" s="100">
        <v>0.013000000000000001</v>
      </c>
      <c r="AJ51" s="100">
        <v>0.614354</v>
      </c>
      <c r="AK51" s="100">
        <v>0.533333</v>
      </c>
      <c r="AL51" s="100">
        <v>0.765993</v>
      </c>
      <c r="AM51" s="100">
        <v>0.574863</v>
      </c>
      <c r="AN51" s="100">
        <v>0.57652</v>
      </c>
      <c r="AO51" s="98">
        <v>1381.8706816541198</v>
      </c>
      <c r="AP51" s="158">
        <v>0.7848258209</v>
      </c>
      <c r="AQ51" s="100">
        <v>0.11940298507462686</v>
      </c>
      <c r="AR51" s="100">
        <v>0.42105263157894735</v>
      </c>
      <c r="AS51" s="98">
        <v>237.18675879137876</v>
      </c>
      <c r="AT51" s="98">
        <v>371.24883984737545</v>
      </c>
      <c r="AU51" s="98" t="s">
        <v>597</v>
      </c>
      <c r="AV51" s="98">
        <v>185.62441992368773</v>
      </c>
      <c r="AW51" s="98">
        <v>659.9979375064453</v>
      </c>
      <c r="AX51" s="98">
        <v>422.8111787150665</v>
      </c>
      <c r="AY51" s="98">
        <v>959.0595029390533</v>
      </c>
      <c r="AZ51" s="98">
        <v>701.2478086005981</v>
      </c>
      <c r="BA51" s="100" t="s">
        <v>597</v>
      </c>
      <c r="BB51" s="100" t="s">
        <v>597</v>
      </c>
      <c r="BC51" s="100" t="s">
        <v>597</v>
      </c>
      <c r="BD51" s="158">
        <v>0.6575742339999999</v>
      </c>
      <c r="BE51" s="158">
        <v>0.9295183563</v>
      </c>
      <c r="BF51" s="162">
        <v>1045</v>
      </c>
      <c r="BG51" s="162">
        <v>15</v>
      </c>
      <c r="BH51" s="162">
        <v>2376</v>
      </c>
      <c r="BI51" s="162">
        <v>915</v>
      </c>
      <c r="BJ51" s="162">
        <v>477</v>
      </c>
      <c r="BK51" s="97"/>
      <c r="BL51" s="97"/>
      <c r="BM51" s="97"/>
      <c r="BN51" s="97"/>
    </row>
    <row r="52" spans="1:66" ht="12.75">
      <c r="A52" s="79" t="s">
        <v>584</v>
      </c>
      <c r="B52" s="79" t="s">
        <v>337</v>
      </c>
      <c r="C52" s="79" t="s">
        <v>159</v>
      </c>
      <c r="D52" s="99">
        <v>2483</v>
      </c>
      <c r="E52" s="99">
        <v>405</v>
      </c>
      <c r="F52" s="99" t="s">
        <v>363</v>
      </c>
      <c r="G52" s="99">
        <v>12</v>
      </c>
      <c r="H52" s="99" t="s">
        <v>597</v>
      </c>
      <c r="I52" s="99">
        <v>52</v>
      </c>
      <c r="J52" s="99">
        <v>207</v>
      </c>
      <c r="K52" s="99" t="s">
        <v>597</v>
      </c>
      <c r="L52" s="99">
        <v>422</v>
      </c>
      <c r="M52" s="99">
        <v>170</v>
      </c>
      <c r="N52" s="99">
        <v>91</v>
      </c>
      <c r="O52" s="99">
        <v>72</v>
      </c>
      <c r="P52" s="159">
        <v>72</v>
      </c>
      <c r="Q52" s="99">
        <v>13</v>
      </c>
      <c r="R52" s="99">
        <v>17</v>
      </c>
      <c r="S52" s="99">
        <v>19</v>
      </c>
      <c r="T52" s="99" t="s">
        <v>597</v>
      </c>
      <c r="U52" s="99" t="s">
        <v>597</v>
      </c>
      <c r="V52" s="99">
        <v>15</v>
      </c>
      <c r="W52" s="99">
        <v>17</v>
      </c>
      <c r="X52" s="99">
        <v>8</v>
      </c>
      <c r="Y52" s="99">
        <v>24</v>
      </c>
      <c r="Z52" s="99">
        <v>28</v>
      </c>
      <c r="AA52" s="99" t="s">
        <v>597</v>
      </c>
      <c r="AB52" s="99" t="s">
        <v>597</v>
      </c>
      <c r="AC52" s="99" t="s">
        <v>597</v>
      </c>
      <c r="AD52" s="98" t="s">
        <v>343</v>
      </c>
      <c r="AE52" s="100">
        <v>0.16310914216673378</v>
      </c>
      <c r="AF52" s="100">
        <v>0.17</v>
      </c>
      <c r="AG52" s="98">
        <v>483.2863471606927</v>
      </c>
      <c r="AH52" s="98" t="s">
        <v>597</v>
      </c>
      <c r="AI52" s="100">
        <v>0.021</v>
      </c>
      <c r="AJ52" s="100">
        <v>0.678689</v>
      </c>
      <c r="AK52" s="100" t="s">
        <v>597</v>
      </c>
      <c r="AL52" s="100">
        <v>0.717687</v>
      </c>
      <c r="AM52" s="100">
        <v>0.63197</v>
      </c>
      <c r="AN52" s="100">
        <v>0.654676</v>
      </c>
      <c r="AO52" s="98">
        <v>2899.718082964156</v>
      </c>
      <c r="AP52" s="158">
        <v>1.6269841</v>
      </c>
      <c r="AQ52" s="100">
        <v>0.18055555555555555</v>
      </c>
      <c r="AR52" s="100">
        <v>0.7647058823529411</v>
      </c>
      <c r="AS52" s="98">
        <v>765.2033830044302</v>
      </c>
      <c r="AT52" s="98" t="s">
        <v>597</v>
      </c>
      <c r="AU52" s="98" t="s">
        <v>597</v>
      </c>
      <c r="AV52" s="98">
        <v>604.1079339508659</v>
      </c>
      <c r="AW52" s="98">
        <v>684.655658477648</v>
      </c>
      <c r="AX52" s="98">
        <v>322.1908981071285</v>
      </c>
      <c r="AY52" s="98">
        <v>966.5726943213854</v>
      </c>
      <c r="AZ52" s="98">
        <v>1127.6681433749498</v>
      </c>
      <c r="BA52" s="100" t="s">
        <v>597</v>
      </c>
      <c r="BB52" s="100" t="s">
        <v>597</v>
      </c>
      <c r="BC52" s="100" t="s">
        <v>597</v>
      </c>
      <c r="BD52" s="158">
        <v>1.273014908</v>
      </c>
      <c r="BE52" s="158">
        <v>2.048917236</v>
      </c>
      <c r="BF52" s="162">
        <v>305</v>
      </c>
      <c r="BG52" s="162" t="s">
        <v>597</v>
      </c>
      <c r="BH52" s="162">
        <v>588</v>
      </c>
      <c r="BI52" s="162">
        <v>269</v>
      </c>
      <c r="BJ52" s="162">
        <v>139</v>
      </c>
      <c r="BK52" s="97"/>
      <c r="BL52" s="97"/>
      <c r="BM52" s="97"/>
      <c r="BN52" s="97"/>
    </row>
    <row r="53" spans="1:66" ht="12.75">
      <c r="A53" s="79" t="s">
        <v>588</v>
      </c>
      <c r="B53" s="79" t="s">
        <v>342</v>
      </c>
      <c r="C53" s="79" t="s">
        <v>159</v>
      </c>
      <c r="D53" s="99">
        <v>2493</v>
      </c>
      <c r="E53" s="99">
        <v>543</v>
      </c>
      <c r="F53" s="99" t="s">
        <v>363</v>
      </c>
      <c r="G53" s="99">
        <v>21</v>
      </c>
      <c r="H53" s="99">
        <v>13</v>
      </c>
      <c r="I53" s="99">
        <v>32</v>
      </c>
      <c r="J53" s="99">
        <v>257</v>
      </c>
      <c r="K53" s="99" t="s">
        <v>597</v>
      </c>
      <c r="L53" s="99">
        <v>449</v>
      </c>
      <c r="M53" s="99">
        <v>176</v>
      </c>
      <c r="N53" s="99">
        <v>108</v>
      </c>
      <c r="O53" s="99">
        <v>54</v>
      </c>
      <c r="P53" s="159">
        <v>54</v>
      </c>
      <c r="Q53" s="99">
        <v>6</v>
      </c>
      <c r="R53" s="99">
        <v>14</v>
      </c>
      <c r="S53" s="99" t="s">
        <v>597</v>
      </c>
      <c r="T53" s="99">
        <v>9</v>
      </c>
      <c r="U53" s="99" t="s">
        <v>597</v>
      </c>
      <c r="V53" s="99">
        <v>9</v>
      </c>
      <c r="W53" s="99">
        <v>16</v>
      </c>
      <c r="X53" s="99">
        <v>13</v>
      </c>
      <c r="Y53" s="99">
        <v>33</v>
      </c>
      <c r="Z53" s="99">
        <v>26</v>
      </c>
      <c r="AA53" s="99" t="s">
        <v>597</v>
      </c>
      <c r="AB53" s="99" t="s">
        <v>597</v>
      </c>
      <c r="AC53" s="99" t="s">
        <v>597</v>
      </c>
      <c r="AD53" s="98" t="s">
        <v>343</v>
      </c>
      <c r="AE53" s="100">
        <v>0.21780986762936222</v>
      </c>
      <c r="AF53" s="100">
        <v>0.18</v>
      </c>
      <c r="AG53" s="98">
        <v>842.3586040914561</v>
      </c>
      <c r="AH53" s="98">
        <v>521.4600882470919</v>
      </c>
      <c r="AI53" s="100">
        <v>0.013000000000000001</v>
      </c>
      <c r="AJ53" s="100">
        <v>0.740634</v>
      </c>
      <c r="AK53" s="100" t="s">
        <v>597</v>
      </c>
      <c r="AL53" s="100">
        <v>0.790493</v>
      </c>
      <c r="AM53" s="100">
        <v>0.584718</v>
      </c>
      <c r="AN53" s="100">
        <v>0.650602</v>
      </c>
      <c r="AO53" s="98">
        <v>2166.0649819494583</v>
      </c>
      <c r="AP53" s="158">
        <v>1.009039459</v>
      </c>
      <c r="AQ53" s="100">
        <v>0.1111111111111111</v>
      </c>
      <c r="AR53" s="100">
        <v>0.42857142857142855</v>
      </c>
      <c r="AS53" s="98" t="s">
        <v>597</v>
      </c>
      <c r="AT53" s="98">
        <v>361.01083032490976</v>
      </c>
      <c r="AU53" s="98" t="s">
        <v>597</v>
      </c>
      <c r="AV53" s="98">
        <v>361.01083032490976</v>
      </c>
      <c r="AW53" s="98">
        <v>641.7970316887285</v>
      </c>
      <c r="AX53" s="98">
        <v>521.4600882470919</v>
      </c>
      <c r="AY53" s="98">
        <v>1323.7063778580025</v>
      </c>
      <c r="AZ53" s="98">
        <v>1042.9201764941838</v>
      </c>
      <c r="BA53" s="100" t="s">
        <v>597</v>
      </c>
      <c r="BB53" s="100" t="s">
        <v>597</v>
      </c>
      <c r="BC53" s="100" t="s">
        <v>597</v>
      </c>
      <c r="BD53" s="158">
        <v>0.7580214691</v>
      </c>
      <c r="BE53" s="158">
        <v>1.3165776059999998</v>
      </c>
      <c r="BF53" s="162">
        <v>347</v>
      </c>
      <c r="BG53" s="162" t="s">
        <v>597</v>
      </c>
      <c r="BH53" s="162">
        <v>568</v>
      </c>
      <c r="BI53" s="162">
        <v>301</v>
      </c>
      <c r="BJ53" s="162">
        <v>166</v>
      </c>
      <c r="BK53" s="97"/>
      <c r="BL53" s="97"/>
      <c r="BM53" s="97"/>
      <c r="BN53" s="97"/>
    </row>
    <row r="54" spans="1:66" ht="12.75">
      <c r="A54" s="79" t="s">
        <v>565</v>
      </c>
      <c r="B54" s="79" t="s">
        <v>318</v>
      </c>
      <c r="C54" s="79" t="s">
        <v>159</v>
      </c>
      <c r="D54" s="99">
        <v>5203</v>
      </c>
      <c r="E54" s="99">
        <v>891</v>
      </c>
      <c r="F54" s="99" t="s">
        <v>366</v>
      </c>
      <c r="G54" s="99">
        <v>17</v>
      </c>
      <c r="H54" s="99">
        <v>10</v>
      </c>
      <c r="I54" s="99">
        <v>89</v>
      </c>
      <c r="J54" s="99">
        <v>411</v>
      </c>
      <c r="K54" s="99" t="s">
        <v>597</v>
      </c>
      <c r="L54" s="99">
        <v>993</v>
      </c>
      <c r="M54" s="99">
        <v>328</v>
      </c>
      <c r="N54" s="99">
        <v>194</v>
      </c>
      <c r="O54" s="99">
        <v>57</v>
      </c>
      <c r="P54" s="159">
        <v>57</v>
      </c>
      <c r="Q54" s="99">
        <v>10</v>
      </c>
      <c r="R54" s="99">
        <v>19</v>
      </c>
      <c r="S54" s="99">
        <v>12</v>
      </c>
      <c r="T54" s="99">
        <v>7</v>
      </c>
      <c r="U54" s="99" t="s">
        <v>597</v>
      </c>
      <c r="V54" s="99">
        <v>8</v>
      </c>
      <c r="W54" s="99">
        <v>31</v>
      </c>
      <c r="X54" s="99">
        <v>12</v>
      </c>
      <c r="Y54" s="99">
        <v>46</v>
      </c>
      <c r="Z54" s="99">
        <v>40</v>
      </c>
      <c r="AA54" s="99" t="s">
        <v>597</v>
      </c>
      <c r="AB54" s="99" t="s">
        <v>597</v>
      </c>
      <c r="AC54" s="99" t="s">
        <v>597</v>
      </c>
      <c r="AD54" s="98" t="s">
        <v>343</v>
      </c>
      <c r="AE54" s="100">
        <v>0.17124735729386892</v>
      </c>
      <c r="AF54" s="100">
        <v>0.14</v>
      </c>
      <c r="AG54" s="98">
        <v>326.734576206035</v>
      </c>
      <c r="AH54" s="98">
        <v>192.19680953296177</v>
      </c>
      <c r="AI54" s="100">
        <v>0.017</v>
      </c>
      <c r="AJ54" s="100">
        <v>0.743219</v>
      </c>
      <c r="AK54" s="100" t="s">
        <v>597</v>
      </c>
      <c r="AL54" s="100">
        <v>0.763259</v>
      </c>
      <c r="AM54" s="100">
        <v>0.629559</v>
      </c>
      <c r="AN54" s="100">
        <v>0.664384</v>
      </c>
      <c r="AO54" s="98">
        <v>1095.521814337882</v>
      </c>
      <c r="AP54" s="158">
        <v>0.605447731</v>
      </c>
      <c r="AQ54" s="100">
        <v>0.17543859649122806</v>
      </c>
      <c r="AR54" s="100">
        <v>0.5263157894736842</v>
      </c>
      <c r="AS54" s="98">
        <v>230.6361714395541</v>
      </c>
      <c r="AT54" s="98">
        <v>134.53776667307324</v>
      </c>
      <c r="AU54" s="98" t="s">
        <v>597</v>
      </c>
      <c r="AV54" s="98">
        <v>153.7574476263694</v>
      </c>
      <c r="AW54" s="98">
        <v>595.8101095521814</v>
      </c>
      <c r="AX54" s="98">
        <v>230.6361714395541</v>
      </c>
      <c r="AY54" s="98">
        <v>884.105323851624</v>
      </c>
      <c r="AZ54" s="98">
        <v>768.7872381318471</v>
      </c>
      <c r="BA54" s="100" t="s">
        <v>597</v>
      </c>
      <c r="BB54" s="100" t="s">
        <v>597</v>
      </c>
      <c r="BC54" s="100" t="s">
        <v>597</v>
      </c>
      <c r="BD54" s="158">
        <v>0.4585602188</v>
      </c>
      <c r="BE54" s="158">
        <v>0.7844277954000001</v>
      </c>
      <c r="BF54" s="162">
        <v>553</v>
      </c>
      <c r="BG54" s="162" t="s">
        <v>597</v>
      </c>
      <c r="BH54" s="162">
        <v>1301</v>
      </c>
      <c r="BI54" s="162">
        <v>521</v>
      </c>
      <c r="BJ54" s="162">
        <v>292</v>
      </c>
      <c r="BK54" s="97"/>
      <c r="BL54" s="97"/>
      <c r="BM54" s="97"/>
      <c r="BN54" s="97"/>
    </row>
    <row r="55" spans="1:66" ht="12.75">
      <c r="A55" s="79" t="s">
        <v>551</v>
      </c>
      <c r="B55" s="79" t="s">
        <v>304</v>
      </c>
      <c r="C55" s="79" t="s">
        <v>159</v>
      </c>
      <c r="D55" s="99">
        <v>2325</v>
      </c>
      <c r="E55" s="99">
        <v>341</v>
      </c>
      <c r="F55" s="99" t="s">
        <v>364</v>
      </c>
      <c r="G55" s="99">
        <v>10</v>
      </c>
      <c r="H55" s="99" t="s">
        <v>597</v>
      </c>
      <c r="I55" s="99">
        <v>34</v>
      </c>
      <c r="J55" s="99">
        <v>115</v>
      </c>
      <c r="K55" s="99" t="s">
        <v>597</v>
      </c>
      <c r="L55" s="99">
        <v>360</v>
      </c>
      <c r="M55" s="99">
        <v>93</v>
      </c>
      <c r="N55" s="99">
        <v>52</v>
      </c>
      <c r="O55" s="99">
        <v>40</v>
      </c>
      <c r="P55" s="159">
        <v>40</v>
      </c>
      <c r="Q55" s="99" t="s">
        <v>597</v>
      </c>
      <c r="R55" s="99">
        <v>7</v>
      </c>
      <c r="S55" s="99" t="s">
        <v>597</v>
      </c>
      <c r="T55" s="99" t="s">
        <v>597</v>
      </c>
      <c r="U55" s="99">
        <v>7</v>
      </c>
      <c r="V55" s="99">
        <v>12</v>
      </c>
      <c r="W55" s="99">
        <v>20</v>
      </c>
      <c r="X55" s="99">
        <v>20</v>
      </c>
      <c r="Y55" s="99">
        <v>28</v>
      </c>
      <c r="Z55" s="99">
        <v>7</v>
      </c>
      <c r="AA55" s="99" t="s">
        <v>597</v>
      </c>
      <c r="AB55" s="99" t="s">
        <v>597</v>
      </c>
      <c r="AC55" s="99" t="s">
        <v>597</v>
      </c>
      <c r="AD55" s="98" t="s">
        <v>343</v>
      </c>
      <c r="AE55" s="100">
        <v>0.14666666666666667</v>
      </c>
      <c r="AF55" s="100">
        <v>0.24</v>
      </c>
      <c r="AG55" s="98">
        <v>430.10752688172045</v>
      </c>
      <c r="AH55" s="98" t="s">
        <v>597</v>
      </c>
      <c r="AI55" s="100">
        <v>0.015</v>
      </c>
      <c r="AJ55" s="100">
        <v>0.635359</v>
      </c>
      <c r="AK55" s="100" t="s">
        <v>597</v>
      </c>
      <c r="AL55" s="100">
        <v>0.662983</v>
      </c>
      <c r="AM55" s="100">
        <v>0.444976</v>
      </c>
      <c r="AN55" s="100">
        <v>0.485981</v>
      </c>
      <c r="AO55" s="98">
        <v>1720.4301075268818</v>
      </c>
      <c r="AP55" s="158">
        <v>1.040966568</v>
      </c>
      <c r="AQ55" s="100" t="s">
        <v>597</v>
      </c>
      <c r="AR55" s="100" t="s">
        <v>597</v>
      </c>
      <c r="AS55" s="98" t="s">
        <v>597</v>
      </c>
      <c r="AT55" s="98" t="s">
        <v>597</v>
      </c>
      <c r="AU55" s="98">
        <v>301.0752688172043</v>
      </c>
      <c r="AV55" s="98">
        <v>516.1290322580645</v>
      </c>
      <c r="AW55" s="98">
        <v>860.2150537634409</v>
      </c>
      <c r="AX55" s="98">
        <v>860.2150537634409</v>
      </c>
      <c r="AY55" s="98">
        <v>1204.3010752688172</v>
      </c>
      <c r="AZ55" s="98">
        <v>301.0752688172043</v>
      </c>
      <c r="BA55" s="100" t="s">
        <v>597</v>
      </c>
      <c r="BB55" s="100" t="s">
        <v>597</v>
      </c>
      <c r="BC55" s="100" t="s">
        <v>597</v>
      </c>
      <c r="BD55" s="158">
        <v>0.7436817931999999</v>
      </c>
      <c r="BE55" s="158">
        <v>1.417501068</v>
      </c>
      <c r="BF55" s="162">
        <v>181</v>
      </c>
      <c r="BG55" s="162" t="s">
        <v>597</v>
      </c>
      <c r="BH55" s="162">
        <v>543</v>
      </c>
      <c r="BI55" s="162">
        <v>209</v>
      </c>
      <c r="BJ55" s="162">
        <v>107</v>
      </c>
      <c r="BK55" s="97"/>
      <c r="BL55" s="97"/>
      <c r="BM55" s="97"/>
      <c r="BN55" s="97"/>
    </row>
    <row r="56" spans="1:66" ht="12.75">
      <c r="A56" s="79" t="s">
        <v>548</v>
      </c>
      <c r="B56" s="79" t="s">
        <v>301</v>
      </c>
      <c r="C56" s="79" t="s">
        <v>159</v>
      </c>
      <c r="D56" s="99">
        <v>5658</v>
      </c>
      <c r="E56" s="99">
        <v>1134</v>
      </c>
      <c r="F56" s="99" t="s">
        <v>366</v>
      </c>
      <c r="G56" s="99">
        <v>38</v>
      </c>
      <c r="H56" s="99">
        <v>15</v>
      </c>
      <c r="I56" s="99">
        <v>116</v>
      </c>
      <c r="J56" s="99">
        <v>539</v>
      </c>
      <c r="K56" s="99" t="s">
        <v>597</v>
      </c>
      <c r="L56" s="99">
        <v>1084</v>
      </c>
      <c r="M56" s="99">
        <v>437</v>
      </c>
      <c r="N56" s="99">
        <v>242</v>
      </c>
      <c r="O56" s="99">
        <v>90</v>
      </c>
      <c r="P56" s="159">
        <v>90</v>
      </c>
      <c r="Q56" s="99">
        <v>12</v>
      </c>
      <c r="R56" s="99">
        <v>23</v>
      </c>
      <c r="S56" s="99">
        <v>8</v>
      </c>
      <c r="T56" s="99">
        <v>11</v>
      </c>
      <c r="U56" s="99">
        <v>9</v>
      </c>
      <c r="V56" s="99">
        <v>8</v>
      </c>
      <c r="W56" s="99">
        <v>38</v>
      </c>
      <c r="X56" s="99">
        <v>14</v>
      </c>
      <c r="Y56" s="99">
        <v>78</v>
      </c>
      <c r="Z56" s="99">
        <v>53</v>
      </c>
      <c r="AA56" s="99" t="s">
        <v>597</v>
      </c>
      <c r="AB56" s="99" t="s">
        <v>597</v>
      </c>
      <c r="AC56" s="99" t="s">
        <v>597</v>
      </c>
      <c r="AD56" s="98" t="s">
        <v>343</v>
      </c>
      <c r="AE56" s="100">
        <v>0.20042417815482502</v>
      </c>
      <c r="AF56" s="100">
        <v>0.15</v>
      </c>
      <c r="AG56" s="98">
        <v>671.615411806292</v>
      </c>
      <c r="AH56" s="98">
        <v>265.11134676564154</v>
      </c>
      <c r="AI56" s="100">
        <v>0.021</v>
      </c>
      <c r="AJ56" s="100">
        <v>0.753846</v>
      </c>
      <c r="AK56" s="100" t="s">
        <v>597</v>
      </c>
      <c r="AL56" s="100">
        <v>0.831288</v>
      </c>
      <c r="AM56" s="100">
        <v>0.592141</v>
      </c>
      <c r="AN56" s="100">
        <v>0.626943</v>
      </c>
      <c r="AO56" s="98">
        <v>1590.6680805938495</v>
      </c>
      <c r="AP56" s="158">
        <v>0.7958245087</v>
      </c>
      <c r="AQ56" s="100">
        <v>0.13333333333333333</v>
      </c>
      <c r="AR56" s="100">
        <v>0.5217391304347826</v>
      </c>
      <c r="AS56" s="98">
        <v>141.39271827500883</v>
      </c>
      <c r="AT56" s="98">
        <v>194.41498762813714</v>
      </c>
      <c r="AU56" s="98">
        <v>159.06680805938495</v>
      </c>
      <c r="AV56" s="98">
        <v>141.39271827500883</v>
      </c>
      <c r="AW56" s="98">
        <v>671.615411806292</v>
      </c>
      <c r="AX56" s="98">
        <v>247.43725698126548</v>
      </c>
      <c r="AY56" s="98">
        <v>1378.5790031813362</v>
      </c>
      <c r="AZ56" s="98">
        <v>936.7267585719336</v>
      </c>
      <c r="BA56" s="100" t="s">
        <v>597</v>
      </c>
      <c r="BB56" s="100" t="s">
        <v>597</v>
      </c>
      <c r="BC56" s="100" t="s">
        <v>597</v>
      </c>
      <c r="BD56" s="158">
        <v>0.6399369049</v>
      </c>
      <c r="BE56" s="158">
        <v>0.9782034302</v>
      </c>
      <c r="BF56" s="162">
        <v>715</v>
      </c>
      <c r="BG56" s="162" t="s">
        <v>597</v>
      </c>
      <c r="BH56" s="162">
        <v>1304</v>
      </c>
      <c r="BI56" s="162">
        <v>738</v>
      </c>
      <c r="BJ56" s="162">
        <v>386</v>
      </c>
      <c r="BK56" s="97"/>
      <c r="BL56" s="97"/>
      <c r="BM56" s="97"/>
      <c r="BN56" s="97"/>
    </row>
    <row r="57" spans="1:66" ht="12.75">
      <c r="A57" s="79" t="s">
        <v>559</v>
      </c>
      <c r="B57" s="79" t="s">
        <v>312</v>
      </c>
      <c r="C57" s="79" t="s">
        <v>159</v>
      </c>
      <c r="D57" s="99">
        <v>3762</v>
      </c>
      <c r="E57" s="99">
        <v>460</v>
      </c>
      <c r="F57" s="99" t="s">
        <v>364</v>
      </c>
      <c r="G57" s="99">
        <v>20</v>
      </c>
      <c r="H57" s="99" t="s">
        <v>597</v>
      </c>
      <c r="I57" s="99">
        <v>59</v>
      </c>
      <c r="J57" s="99">
        <v>262</v>
      </c>
      <c r="K57" s="99">
        <v>257</v>
      </c>
      <c r="L57" s="99">
        <v>628</v>
      </c>
      <c r="M57" s="99">
        <v>146</v>
      </c>
      <c r="N57" s="99">
        <v>71</v>
      </c>
      <c r="O57" s="99">
        <v>121</v>
      </c>
      <c r="P57" s="159">
        <v>121</v>
      </c>
      <c r="Q57" s="99" t="s">
        <v>597</v>
      </c>
      <c r="R57" s="99">
        <v>11</v>
      </c>
      <c r="S57" s="99">
        <v>17</v>
      </c>
      <c r="T57" s="99">
        <v>8</v>
      </c>
      <c r="U57" s="99" t="s">
        <v>597</v>
      </c>
      <c r="V57" s="99">
        <v>22</v>
      </c>
      <c r="W57" s="99">
        <v>24</v>
      </c>
      <c r="X57" s="99">
        <v>18</v>
      </c>
      <c r="Y57" s="99">
        <v>69</v>
      </c>
      <c r="Z57" s="99">
        <v>14</v>
      </c>
      <c r="AA57" s="99" t="s">
        <v>597</v>
      </c>
      <c r="AB57" s="99" t="s">
        <v>597</v>
      </c>
      <c r="AC57" s="99" t="s">
        <v>597</v>
      </c>
      <c r="AD57" s="98" t="s">
        <v>343</v>
      </c>
      <c r="AE57" s="100">
        <v>0.12227538543328018</v>
      </c>
      <c r="AF57" s="100">
        <v>0.3</v>
      </c>
      <c r="AG57" s="98">
        <v>531.632110579479</v>
      </c>
      <c r="AH57" s="98" t="s">
        <v>597</v>
      </c>
      <c r="AI57" s="100">
        <v>0.016</v>
      </c>
      <c r="AJ57" s="100">
        <v>0.646914</v>
      </c>
      <c r="AK57" s="100">
        <v>0.639303</v>
      </c>
      <c r="AL57" s="100">
        <v>0.670224</v>
      </c>
      <c r="AM57" s="100">
        <v>0.51049</v>
      </c>
      <c r="AN57" s="100">
        <v>0.550388</v>
      </c>
      <c r="AO57" s="98">
        <v>3216.374269005848</v>
      </c>
      <c r="AP57" s="158">
        <v>1.9826046750000001</v>
      </c>
      <c r="AQ57" s="100" t="s">
        <v>597</v>
      </c>
      <c r="AR57" s="100" t="s">
        <v>597</v>
      </c>
      <c r="AS57" s="98">
        <v>451.88729399255715</v>
      </c>
      <c r="AT57" s="98">
        <v>212.6528442317916</v>
      </c>
      <c r="AU57" s="98" t="s">
        <v>597</v>
      </c>
      <c r="AV57" s="98">
        <v>584.7953216374269</v>
      </c>
      <c r="AW57" s="98">
        <v>637.9585326953749</v>
      </c>
      <c r="AX57" s="98">
        <v>478.4688995215311</v>
      </c>
      <c r="AY57" s="98">
        <v>1834.1307814992026</v>
      </c>
      <c r="AZ57" s="98">
        <v>372.1424774056353</v>
      </c>
      <c r="BA57" s="100" t="s">
        <v>597</v>
      </c>
      <c r="BB57" s="100" t="s">
        <v>597</v>
      </c>
      <c r="BC57" s="100" t="s">
        <v>597</v>
      </c>
      <c r="BD57" s="158">
        <v>1.645112762</v>
      </c>
      <c r="BE57" s="158">
        <v>2.368959656</v>
      </c>
      <c r="BF57" s="162">
        <v>405</v>
      </c>
      <c r="BG57" s="162">
        <v>402</v>
      </c>
      <c r="BH57" s="162">
        <v>937</v>
      </c>
      <c r="BI57" s="162">
        <v>286</v>
      </c>
      <c r="BJ57" s="162">
        <v>129</v>
      </c>
      <c r="BK57" s="97"/>
      <c r="BL57" s="97"/>
      <c r="BM57" s="97"/>
      <c r="BN57" s="97"/>
    </row>
    <row r="58" spans="1:66" ht="12.75">
      <c r="A58" s="79" t="s">
        <v>530</v>
      </c>
      <c r="B58" s="79" t="s">
        <v>283</v>
      </c>
      <c r="C58" s="79" t="s">
        <v>159</v>
      </c>
      <c r="D58" s="99">
        <v>4570</v>
      </c>
      <c r="E58" s="99">
        <v>598</v>
      </c>
      <c r="F58" s="99" t="s">
        <v>364</v>
      </c>
      <c r="G58" s="99">
        <v>17</v>
      </c>
      <c r="H58" s="99">
        <v>10</v>
      </c>
      <c r="I58" s="99">
        <v>58</v>
      </c>
      <c r="J58" s="99">
        <v>265</v>
      </c>
      <c r="K58" s="99">
        <v>260</v>
      </c>
      <c r="L58" s="99">
        <v>736</v>
      </c>
      <c r="M58" s="99">
        <v>176</v>
      </c>
      <c r="N58" s="99">
        <v>96</v>
      </c>
      <c r="O58" s="99">
        <v>59</v>
      </c>
      <c r="P58" s="159">
        <v>59</v>
      </c>
      <c r="Q58" s="99">
        <v>11</v>
      </c>
      <c r="R58" s="99">
        <v>18</v>
      </c>
      <c r="S58" s="99">
        <v>15</v>
      </c>
      <c r="T58" s="99" t="s">
        <v>597</v>
      </c>
      <c r="U58" s="99" t="s">
        <v>597</v>
      </c>
      <c r="V58" s="99">
        <v>14</v>
      </c>
      <c r="W58" s="99">
        <v>19</v>
      </c>
      <c r="X58" s="99">
        <v>14</v>
      </c>
      <c r="Y58" s="99">
        <v>35</v>
      </c>
      <c r="Z58" s="99">
        <v>16</v>
      </c>
      <c r="AA58" s="99" t="s">
        <v>597</v>
      </c>
      <c r="AB58" s="99" t="s">
        <v>597</v>
      </c>
      <c r="AC58" s="99" t="s">
        <v>597</v>
      </c>
      <c r="AD58" s="98" t="s">
        <v>343</v>
      </c>
      <c r="AE58" s="100">
        <v>0.13085339168490154</v>
      </c>
      <c r="AF58" s="100">
        <v>0.31</v>
      </c>
      <c r="AG58" s="98">
        <v>371.99124726477027</v>
      </c>
      <c r="AH58" s="98">
        <v>218.8183807439825</v>
      </c>
      <c r="AI58" s="100">
        <v>0.013000000000000001</v>
      </c>
      <c r="AJ58" s="100">
        <v>0.640097</v>
      </c>
      <c r="AK58" s="100">
        <v>0.638821</v>
      </c>
      <c r="AL58" s="100">
        <v>0.69763</v>
      </c>
      <c r="AM58" s="100">
        <v>0.495775</v>
      </c>
      <c r="AN58" s="100">
        <v>0.513369</v>
      </c>
      <c r="AO58" s="98">
        <v>1291.0284463894968</v>
      </c>
      <c r="AP58" s="158">
        <v>0.8032032776</v>
      </c>
      <c r="AQ58" s="100">
        <v>0.1864406779661017</v>
      </c>
      <c r="AR58" s="100">
        <v>0.6111111111111112</v>
      </c>
      <c r="AS58" s="98">
        <v>328.2275711159737</v>
      </c>
      <c r="AT58" s="98" t="s">
        <v>597</v>
      </c>
      <c r="AU58" s="98" t="s">
        <v>597</v>
      </c>
      <c r="AV58" s="98">
        <v>306.3457330415755</v>
      </c>
      <c r="AW58" s="98">
        <v>415.75492341356676</v>
      </c>
      <c r="AX58" s="98">
        <v>306.3457330415755</v>
      </c>
      <c r="AY58" s="98">
        <v>765.8643326039387</v>
      </c>
      <c r="AZ58" s="98">
        <v>350.109409190372</v>
      </c>
      <c r="BA58" s="100" t="s">
        <v>597</v>
      </c>
      <c r="BB58" s="100" t="s">
        <v>597</v>
      </c>
      <c r="BC58" s="100" t="s">
        <v>597</v>
      </c>
      <c r="BD58" s="158">
        <v>0.6114355087</v>
      </c>
      <c r="BE58" s="158">
        <v>1.036073685</v>
      </c>
      <c r="BF58" s="162">
        <v>414</v>
      </c>
      <c r="BG58" s="162">
        <v>407</v>
      </c>
      <c r="BH58" s="162">
        <v>1055</v>
      </c>
      <c r="BI58" s="162">
        <v>355</v>
      </c>
      <c r="BJ58" s="162">
        <v>187</v>
      </c>
      <c r="BK58" s="97"/>
      <c r="BL58" s="97"/>
      <c r="BM58" s="97"/>
      <c r="BN58" s="97"/>
    </row>
    <row r="59" spans="1:66" ht="12.75">
      <c r="A59" s="79" t="s">
        <v>553</v>
      </c>
      <c r="B59" s="79" t="s">
        <v>306</v>
      </c>
      <c r="C59" s="79" t="s">
        <v>159</v>
      </c>
      <c r="D59" s="99">
        <v>3372</v>
      </c>
      <c r="E59" s="99">
        <v>637</v>
      </c>
      <c r="F59" s="99" t="s">
        <v>364</v>
      </c>
      <c r="G59" s="99">
        <v>24</v>
      </c>
      <c r="H59" s="99">
        <v>8</v>
      </c>
      <c r="I59" s="99">
        <v>78</v>
      </c>
      <c r="J59" s="99">
        <v>263</v>
      </c>
      <c r="K59" s="99">
        <v>257</v>
      </c>
      <c r="L59" s="99">
        <v>608</v>
      </c>
      <c r="M59" s="99">
        <v>197</v>
      </c>
      <c r="N59" s="99">
        <v>94</v>
      </c>
      <c r="O59" s="99">
        <v>67</v>
      </c>
      <c r="P59" s="159">
        <v>67</v>
      </c>
      <c r="Q59" s="99" t="s">
        <v>597</v>
      </c>
      <c r="R59" s="99">
        <v>14</v>
      </c>
      <c r="S59" s="99">
        <v>28</v>
      </c>
      <c r="T59" s="99">
        <v>6</v>
      </c>
      <c r="U59" s="99">
        <v>6</v>
      </c>
      <c r="V59" s="99">
        <v>10</v>
      </c>
      <c r="W59" s="99">
        <v>23</v>
      </c>
      <c r="X59" s="99">
        <v>19</v>
      </c>
      <c r="Y59" s="99">
        <v>27</v>
      </c>
      <c r="Z59" s="99">
        <v>21</v>
      </c>
      <c r="AA59" s="99" t="s">
        <v>597</v>
      </c>
      <c r="AB59" s="99" t="s">
        <v>597</v>
      </c>
      <c r="AC59" s="99" t="s">
        <v>597</v>
      </c>
      <c r="AD59" s="98" t="s">
        <v>343</v>
      </c>
      <c r="AE59" s="100">
        <v>0.18890865954922895</v>
      </c>
      <c r="AF59" s="100">
        <v>0.25</v>
      </c>
      <c r="AG59" s="98">
        <v>711.7437722419929</v>
      </c>
      <c r="AH59" s="98">
        <v>237.2479240806643</v>
      </c>
      <c r="AI59" s="100">
        <v>0.023</v>
      </c>
      <c r="AJ59" s="100">
        <v>0.676093</v>
      </c>
      <c r="AK59" s="100">
        <v>0.672775</v>
      </c>
      <c r="AL59" s="100">
        <v>0.822733</v>
      </c>
      <c r="AM59" s="100">
        <v>0.523936</v>
      </c>
      <c r="AN59" s="100">
        <v>0.5</v>
      </c>
      <c r="AO59" s="98">
        <v>1986.9513641755634</v>
      </c>
      <c r="AP59" s="158">
        <v>1.055471878</v>
      </c>
      <c r="AQ59" s="100" t="s">
        <v>597</v>
      </c>
      <c r="AR59" s="100" t="s">
        <v>597</v>
      </c>
      <c r="AS59" s="98">
        <v>830.367734282325</v>
      </c>
      <c r="AT59" s="98">
        <v>177.93594306049823</v>
      </c>
      <c r="AU59" s="98">
        <v>177.93594306049823</v>
      </c>
      <c r="AV59" s="98">
        <v>296.55990510083035</v>
      </c>
      <c r="AW59" s="98">
        <v>682.0877817319099</v>
      </c>
      <c r="AX59" s="98">
        <v>563.4638196915777</v>
      </c>
      <c r="AY59" s="98">
        <v>800.711743772242</v>
      </c>
      <c r="AZ59" s="98">
        <v>622.7758007117437</v>
      </c>
      <c r="BA59" s="100" t="s">
        <v>597</v>
      </c>
      <c r="BB59" s="100" t="s">
        <v>597</v>
      </c>
      <c r="BC59" s="100" t="s">
        <v>597</v>
      </c>
      <c r="BD59" s="158">
        <v>0.8179762268</v>
      </c>
      <c r="BE59" s="158">
        <v>1.340411987</v>
      </c>
      <c r="BF59" s="162">
        <v>389</v>
      </c>
      <c r="BG59" s="162">
        <v>382</v>
      </c>
      <c r="BH59" s="162">
        <v>739</v>
      </c>
      <c r="BI59" s="162">
        <v>376</v>
      </c>
      <c r="BJ59" s="162">
        <v>188</v>
      </c>
      <c r="BK59" s="97"/>
      <c r="BL59" s="97"/>
      <c r="BM59" s="97"/>
      <c r="BN59" s="97"/>
    </row>
    <row r="60" spans="1:66" ht="12.75">
      <c r="A60" s="79" t="s">
        <v>571</v>
      </c>
      <c r="B60" s="79" t="s">
        <v>324</v>
      </c>
      <c r="C60" s="79" t="s">
        <v>159</v>
      </c>
      <c r="D60" s="99">
        <v>4344</v>
      </c>
      <c r="E60" s="99">
        <v>231</v>
      </c>
      <c r="F60" s="99" t="s">
        <v>363</v>
      </c>
      <c r="G60" s="99" t="s">
        <v>597</v>
      </c>
      <c r="H60" s="99" t="s">
        <v>597</v>
      </c>
      <c r="I60" s="99">
        <v>28</v>
      </c>
      <c r="J60" s="99">
        <v>155</v>
      </c>
      <c r="K60" s="99">
        <v>8</v>
      </c>
      <c r="L60" s="99">
        <v>829</v>
      </c>
      <c r="M60" s="99">
        <v>91</v>
      </c>
      <c r="N60" s="99">
        <v>40</v>
      </c>
      <c r="O60" s="99">
        <v>52</v>
      </c>
      <c r="P60" s="159">
        <v>52</v>
      </c>
      <c r="Q60" s="99" t="s">
        <v>597</v>
      </c>
      <c r="R60" s="99">
        <v>6</v>
      </c>
      <c r="S60" s="99">
        <v>9</v>
      </c>
      <c r="T60" s="99" t="s">
        <v>597</v>
      </c>
      <c r="U60" s="99" t="s">
        <v>597</v>
      </c>
      <c r="V60" s="99">
        <v>19</v>
      </c>
      <c r="W60" s="99">
        <v>8</v>
      </c>
      <c r="X60" s="99" t="s">
        <v>597</v>
      </c>
      <c r="Y60" s="99">
        <v>20</v>
      </c>
      <c r="Z60" s="99">
        <v>28</v>
      </c>
      <c r="AA60" s="99" t="s">
        <v>597</v>
      </c>
      <c r="AB60" s="99" t="s">
        <v>597</v>
      </c>
      <c r="AC60" s="99" t="s">
        <v>597</v>
      </c>
      <c r="AD60" s="98" t="s">
        <v>343</v>
      </c>
      <c r="AE60" s="100">
        <v>0.0531767955801105</v>
      </c>
      <c r="AF60" s="100">
        <v>0.23</v>
      </c>
      <c r="AG60" s="98" t="s">
        <v>597</v>
      </c>
      <c r="AH60" s="98" t="s">
        <v>597</v>
      </c>
      <c r="AI60" s="100">
        <v>0.006</v>
      </c>
      <c r="AJ60" s="100">
        <v>0.571956</v>
      </c>
      <c r="AK60" s="100">
        <v>0.666667</v>
      </c>
      <c r="AL60" s="100">
        <v>0.717749</v>
      </c>
      <c r="AM60" s="100">
        <v>0.448276</v>
      </c>
      <c r="AN60" s="100">
        <v>0.425532</v>
      </c>
      <c r="AO60" s="98">
        <v>1197.0534069981584</v>
      </c>
      <c r="AP60" s="158">
        <v>1.062981567</v>
      </c>
      <c r="AQ60" s="100" t="s">
        <v>597</v>
      </c>
      <c r="AR60" s="100" t="s">
        <v>597</v>
      </c>
      <c r="AS60" s="98">
        <v>207.18232044198896</v>
      </c>
      <c r="AT60" s="98" t="s">
        <v>597</v>
      </c>
      <c r="AU60" s="98" t="s">
        <v>597</v>
      </c>
      <c r="AV60" s="98">
        <v>437.38489871086557</v>
      </c>
      <c r="AW60" s="98">
        <v>184.1620626151013</v>
      </c>
      <c r="AX60" s="98" t="s">
        <v>597</v>
      </c>
      <c r="AY60" s="98">
        <v>460.4051565377532</v>
      </c>
      <c r="AZ60" s="98">
        <v>644.5672191528545</v>
      </c>
      <c r="BA60" s="100" t="s">
        <v>597</v>
      </c>
      <c r="BB60" s="100" t="s">
        <v>597</v>
      </c>
      <c r="BC60" s="100" t="s">
        <v>597</v>
      </c>
      <c r="BD60" s="158">
        <v>0.7938854980000001</v>
      </c>
      <c r="BE60" s="158">
        <v>1.393958893</v>
      </c>
      <c r="BF60" s="162">
        <v>271</v>
      </c>
      <c r="BG60" s="162">
        <v>12</v>
      </c>
      <c r="BH60" s="162">
        <v>1155</v>
      </c>
      <c r="BI60" s="162">
        <v>203</v>
      </c>
      <c r="BJ60" s="162">
        <v>94</v>
      </c>
      <c r="BK60" s="97"/>
      <c r="BL60" s="97"/>
      <c r="BM60" s="97"/>
      <c r="BN60" s="97"/>
    </row>
    <row r="61" spans="1:66" ht="12.75">
      <c r="A61" s="79" t="s">
        <v>549</v>
      </c>
      <c r="B61" s="79" t="s">
        <v>302</v>
      </c>
      <c r="C61" s="79" t="s">
        <v>159</v>
      </c>
      <c r="D61" s="99">
        <v>7204</v>
      </c>
      <c r="E61" s="99">
        <v>644</v>
      </c>
      <c r="F61" s="99" t="s">
        <v>364</v>
      </c>
      <c r="G61" s="99">
        <v>26</v>
      </c>
      <c r="H61" s="99">
        <v>9</v>
      </c>
      <c r="I61" s="99">
        <v>83</v>
      </c>
      <c r="J61" s="99">
        <v>314</v>
      </c>
      <c r="K61" s="99">
        <v>301</v>
      </c>
      <c r="L61" s="99">
        <v>1153</v>
      </c>
      <c r="M61" s="99">
        <v>163</v>
      </c>
      <c r="N61" s="99">
        <v>88</v>
      </c>
      <c r="O61" s="99">
        <v>128</v>
      </c>
      <c r="P61" s="159">
        <v>128</v>
      </c>
      <c r="Q61" s="99">
        <v>11</v>
      </c>
      <c r="R61" s="99">
        <v>26</v>
      </c>
      <c r="S61" s="99">
        <v>37</v>
      </c>
      <c r="T61" s="99">
        <v>22</v>
      </c>
      <c r="U61" s="99" t="s">
        <v>597</v>
      </c>
      <c r="V61" s="99">
        <v>14</v>
      </c>
      <c r="W61" s="99">
        <v>32</v>
      </c>
      <c r="X61" s="99">
        <v>19</v>
      </c>
      <c r="Y61" s="99">
        <v>74</v>
      </c>
      <c r="Z61" s="99">
        <v>32</v>
      </c>
      <c r="AA61" s="99" t="s">
        <v>597</v>
      </c>
      <c r="AB61" s="99" t="s">
        <v>597</v>
      </c>
      <c r="AC61" s="99" t="s">
        <v>597</v>
      </c>
      <c r="AD61" s="98" t="s">
        <v>343</v>
      </c>
      <c r="AE61" s="100">
        <v>0.08939478067740145</v>
      </c>
      <c r="AF61" s="100">
        <v>0.38</v>
      </c>
      <c r="AG61" s="98">
        <v>360.9106052193226</v>
      </c>
      <c r="AH61" s="98">
        <v>124.9305941143809</v>
      </c>
      <c r="AI61" s="100">
        <v>0.012</v>
      </c>
      <c r="AJ61" s="100">
        <v>0.571949</v>
      </c>
      <c r="AK61" s="100">
        <v>0.574427</v>
      </c>
      <c r="AL61" s="100">
        <v>0.727904</v>
      </c>
      <c r="AM61" s="100">
        <v>0.412658</v>
      </c>
      <c r="AN61" s="100">
        <v>0.427184</v>
      </c>
      <c r="AO61" s="98">
        <v>1776.7906718489728</v>
      </c>
      <c r="AP61" s="158">
        <v>1.356289673</v>
      </c>
      <c r="AQ61" s="100">
        <v>0.0859375</v>
      </c>
      <c r="AR61" s="100">
        <v>0.4230769230769231</v>
      </c>
      <c r="AS61" s="98">
        <v>513.6035535813437</v>
      </c>
      <c r="AT61" s="98">
        <v>305.3858967240422</v>
      </c>
      <c r="AU61" s="98" t="s">
        <v>597</v>
      </c>
      <c r="AV61" s="98">
        <v>194.3364797334814</v>
      </c>
      <c r="AW61" s="98">
        <v>444.1976679622432</v>
      </c>
      <c r="AX61" s="98">
        <v>263.7423653525819</v>
      </c>
      <c r="AY61" s="98">
        <v>1027.2071071626874</v>
      </c>
      <c r="AZ61" s="98">
        <v>444.1976679622432</v>
      </c>
      <c r="BA61" s="100" t="s">
        <v>597</v>
      </c>
      <c r="BB61" s="100" t="s">
        <v>597</v>
      </c>
      <c r="BC61" s="100" t="s">
        <v>597</v>
      </c>
      <c r="BD61" s="158">
        <v>1.131520004</v>
      </c>
      <c r="BE61" s="158">
        <v>1.6126329039999998</v>
      </c>
      <c r="BF61" s="162">
        <v>549</v>
      </c>
      <c r="BG61" s="162">
        <v>524</v>
      </c>
      <c r="BH61" s="162">
        <v>1584</v>
      </c>
      <c r="BI61" s="162">
        <v>395</v>
      </c>
      <c r="BJ61" s="162">
        <v>206</v>
      </c>
      <c r="BK61" s="97"/>
      <c r="BL61" s="97"/>
      <c r="BM61" s="97"/>
      <c r="BN61" s="97"/>
    </row>
    <row r="62" spans="1:66" ht="12.75">
      <c r="A62" s="79" t="s">
        <v>560</v>
      </c>
      <c r="B62" s="79" t="s">
        <v>313</v>
      </c>
      <c r="C62" s="79" t="s">
        <v>159</v>
      </c>
      <c r="D62" s="99">
        <v>7219</v>
      </c>
      <c r="E62" s="99">
        <v>1515</v>
      </c>
      <c r="F62" s="99" t="s">
        <v>366</v>
      </c>
      <c r="G62" s="99">
        <v>31</v>
      </c>
      <c r="H62" s="99">
        <v>13</v>
      </c>
      <c r="I62" s="99">
        <v>147</v>
      </c>
      <c r="J62" s="99">
        <v>672</v>
      </c>
      <c r="K62" s="99">
        <v>8</v>
      </c>
      <c r="L62" s="99">
        <v>1385</v>
      </c>
      <c r="M62" s="99">
        <v>593</v>
      </c>
      <c r="N62" s="99">
        <v>315</v>
      </c>
      <c r="O62" s="99">
        <v>133</v>
      </c>
      <c r="P62" s="159">
        <v>133</v>
      </c>
      <c r="Q62" s="99">
        <v>18</v>
      </c>
      <c r="R62" s="99">
        <v>32</v>
      </c>
      <c r="S62" s="99">
        <v>28</v>
      </c>
      <c r="T62" s="99">
        <v>27</v>
      </c>
      <c r="U62" s="99">
        <v>7</v>
      </c>
      <c r="V62" s="99">
        <v>27</v>
      </c>
      <c r="W62" s="99">
        <v>51</v>
      </c>
      <c r="X62" s="99">
        <v>31</v>
      </c>
      <c r="Y62" s="99">
        <v>82</v>
      </c>
      <c r="Z62" s="99">
        <v>36</v>
      </c>
      <c r="AA62" s="99" t="s">
        <v>597</v>
      </c>
      <c r="AB62" s="99" t="s">
        <v>597</v>
      </c>
      <c r="AC62" s="99" t="s">
        <v>597</v>
      </c>
      <c r="AD62" s="98" t="s">
        <v>343</v>
      </c>
      <c r="AE62" s="100">
        <v>0.20986286189222883</v>
      </c>
      <c r="AF62" s="100">
        <v>0.14</v>
      </c>
      <c r="AG62" s="98">
        <v>429.4223576672669</v>
      </c>
      <c r="AH62" s="98">
        <v>180.08034353788614</v>
      </c>
      <c r="AI62" s="100">
        <v>0.02</v>
      </c>
      <c r="AJ62" s="100">
        <v>0.705142</v>
      </c>
      <c r="AK62" s="100">
        <v>0.666667</v>
      </c>
      <c r="AL62" s="100">
        <v>0.799654</v>
      </c>
      <c r="AM62" s="100">
        <v>0.6693</v>
      </c>
      <c r="AN62" s="100">
        <v>0.725806</v>
      </c>
      <c r="AO62" s="98">
        <v>1842.360437733758</v>
      </c>
      <c r="AP62" s="158">
        <v>0.8947573853</v>
      </c>
      <c r="AQ62" s="100">
        <v>0.13533834586466165</v>
      </c>
      <c r="AR62" s="100">
        <v>0.5625</v>
      </c>
      <c r="AS62" s="98">
        <v>387.8653553123701</v>
      </c>
      <c r="AT62" s="98">
        <v>374.0130211940712</v>
      </c>
      <c r="AU62" s="98">
        <v>96.96633882809253</v>
      </c>
      <c r="AV62" s="98">
        <v>374.0130211940712</v>
      </c>
      <c r="AW62" s="98">
        <v>706.4690400332456</v>
      </c>
      <c r="AX62" s="98">
        <v>429.4223576672669</v>
      </c>
      <c r="AY62" s="98">
        <v>1135.8913977005125</v>
      </c>
      <c r="AZ62" s="98">
        <v>498.6840282587616</v>
      </c>
      <c r="BA62" s="100" t="s">
        <v>597</v>
      </c>
      <c r="BB62" s="100" t="s">
        <v>597</v>
      </c>
      <c r="BC62" s="100" t="s">
        <v>597</v>
      </c>
      <c r="BD62" s="158">
        <v>0.7491616821</v>
      </c>
      <c r="BE62" s="158">
        <v>1.060388718</v>
      </c>
      <c r="BF62" s="162">
        <v>953</v>
      </c>
      <c r="BG62" s="162">
        <v>12</v>
      </c>
      <c r="BH62" s="162">
        <v>1732</v>
      </c>
      <c r="BI62" s="162">
        <v>886</v>
      </c>
      <c r="BJ62" s="162">
        <v>434</v>
      </c>
      <c r="BK62" s="97"/>
      <c r="BL62" s="97"/>
      <c r="BM62" s="97"/>
      <c r="BN62" s="97"/>
    </row>
    <row r="63" spans="1:66" ht="12.75">
      <c r="A63" s="79" t="s">
        <v>587</v>
      </c>
      <c r="B63" s="79" t="s">
        <v>340</v>
      </c>
      <c r="C63" s="79" t="s">
        <v>159</v>
      </c>
      <c r="D63" s="99">
        <v>5219</v>
      </c>
      <c r="E63" s="99">
        <v>764</v>
      </c>
      <c r="F63" s="99" t="s">
        <v>366</v>
      </c>
      <c r="G63" s="99">
        <v>30</v>
      </c>
      <c r="H63" s="99">
        <v>8</v>
      </c>
      <c r="I63" s="99">
        <v>79</v>
      </c>
      <c r="J63" s="99">
        <v>403</v>
      </c>
      <c r="K63" s="99">
        <v>6</v>
      </c>
      <c r="L63" s="99">
        <v>995</v>
      </c>
      <c r="M63" s="99">
        <v>248</v>
      </c>
      <c r="N63" s="99">
        <v>128</v>
      </c>
      <c r="O63" s="99">
        <v>147</v>
      </c>
      <c r="P63" s="159">
        <v>147</v>
      </c>
      <c r="Q63" s="99">
        <v>14</v>
      </c>
      <c r="R63" s="99">
        <v>23</v>
      </c>
      <c r="S63" s="99">
        <v>20</v>
      </c>
      <c r="T63" s="99">
        <v>21</v>
      </c>
      <c r="U63" s="99" t="s">
        <v>597</v>
      </c>
      <c r="V63" s="99">
        <v>27</v>
      </c>
      <c r="W63" s="99">
        <v>49</v>
      </c>
      <c r="X63" s="99">
        <v>35</v>
      </c>
      <c r="Y63" s="99">
        <v>86</v>
      </c>
      <c r="Z63" s="99">
        <v>34</v>
      </c>
      <c r="AA63" s="99" t="s">
        <v>597</v>
      </c>
      <c r="AB63" s="99" t="s">
        <v>597</v>
      </c>
      <c r="AC63" s="99" t="s">
        <v>597</v>
      </c>
      <c r="AD63" s="98" t="s">
        <v>343</v>
      </c>
      <c r="AE63" s="100">
        <v>0.1463881969726001</v>
      </c>
      <c r="AF63" s="100">
        <v>0.17</v>
      </c>
      <c r="AG63" s="98">
        <v>574.822762981414</v>
      </c>
      <c r="AH63" s="98">
        <v>153.28607012837708</v>
      </c>
      <c r="AI63" s="100">
        <v>0.015</v>
      </c>
      <c r="AJ63" s="100">
        <v>0.713274</v>
      </c>
      <c r="AK63" s="100">
        <v>0.75</v>
      </c>
      <c r="AL63" s="100">
        <v>0.761285</v>
      </c>
      <c r="AM63" s="100">
        <v>0.589074</v>
      </c>
      <c r="AN63" s="100">
        <v>0.581818</v>
      </c>
      <c r="AO63" s="98">
        <v>2816.631538608929</v>
      </c>
      <c r="AP63" s="158">
        <v>1.6182580569999998</v>
      </c>
      <c r="AQ63" s="100">
        <v>0.09523809523809523</v>
      </c>
      <c r="AR63" s="100">
        <v>0.6086956521739131</v>
      </c>
      <c r="AS63" s="98">
        <v>383.2151753209427</v>
      </c>
      <c r="AT63" s="98">
        <v>402.37593408698984</v>
      </c>
      <c r="AU63" s="98" t="s">
        <v>597</v>
      </c>
      <c r="AV63" s="98">
        <v>517.3404866832726</v>
      </c>
      <c r="AW63" s="98">
        <v>938.8771795363097</v>
      </c>
      <c r="AX63" s="98">
        <v>670.6265568116497</v>
      </c>
      <c r="AY63" s="98">
        <v>1647.8252538800537</v>
      </c>
      <c r="AZ63" s="98">
        <v>651.4657980456026</v>
      </c>
      <c r="BA63" s="100" t="s">
        <v>597</v>
      </c>
      <c r="BB63" s="100" t="s">
        <v>597</v>
      </c>
      <c r="BC63" s="100" t="s">
        <v>597</v>
      </c>
      <c r="BD63" s="158">
        <v>1.367236023</v>
      </c>
      <c r="BE63" s="158">
        <v>1.9020210270000002</v>
      </c>
      <c r="BF63" s="162">
        <v>565</v>
      </c>
      <c r="BG63" s="162">
        <v>8</v>
      </c>
      <c r="BH63" s="162">
        <v>1307</v>
      </c>
      <c r="BI63" s="162">
        <v>421</v>
      </c>
      <c r="BJ63" s="162">
        <v>220</v>
      </c>
      <c r="BK63" s="97"/>
      <c r="BL63" s="97"/>
      <c r="BM63" s="97"/>
      <c r="BN63" s="97"/>
    </row>
    <row r="64" spans="1:66" ht="12.75">
      <c r="A64" s="79" t="s">
        <v>572</v>
      </c>
      <c r="B64" s="79" t="s">
        <v>325</v>
      </c>
      <c r="C64" s="79" t="s">
        <v>159</v>
      </c>
      <c r="D64" s="99">
        <v>2430</v>
      </c>
      <c r="E64" s="99">
        <v>448</v>
      </c>
      <c r="F64" s="99" t="s">
        <v>363</v>
      </c>
      <c r="G64" s="99">
        <v>13</v>
      </c>
      <c r="H64" s="99">
        <v>10</v>
      </c>
      <c r="I64" s="99">
        <v>32</v>
      </c>
      <c r="J64" s="99">
        <v>187</v>
      </c>
      <c r="K64" s="99" t="s">
        <v>597</v>
      </c>
      <c r="L64" s="99">
        <v>377</v>
      </c>
      <c r="M64" s="99">
        <v>124</v>
      </c>
      <c r="N64" s="99">
        <v>69</v>
      </c>
      <c r="O64" s="99">
        <v>57</v>
      </c>
      <c r="P64" s="159">
        <v>57</v>
      </c>
      <c r="Q64" s="99" t="s">
        <v>597</v>
      </c>
      <c r="R64" s="99">
        <v>9</v>
      </c>
      <c r="S64" s="99">
        <v>17</v>
      </c>
      <c r="T64" s="99">
        <v>11</v>
      </c>
      <c r="U64" s="99" t="s">
        <v>597</v>
      </c>
      <c r="V64" s="99">
        <v>12</v>
      </c>
      <c r="W64" s="99">
        <v>12</v>
      </c>
      <c r="X64" s="99">
        <v>11</v>
      </c>
      <c r="Y64" s="99">
        <v>24</v>
      </c>
      <c r="Z64" s="99">
        <v>23</v>
      </c>
      <c r="AA64" s="99" t="s">
        <v>597</v>
      </c>
      <c r="AB64" s="99" t="s">
        <v>597</v>
      </c>
      <c r="AC64" s="99" t="s">
        <v>597</v>
      </c>
      <c r="AD64" s="98" t="s">
        <v>343</v>
      </c>
      <c r="AE64" s="100">
        <v>0.18436213991769548</v>
      </c>
      <c r="AF64" s="100">
        <v>0.2</v>
      </c>
      <c r="AG64" s="98">
        <v>534.9794238683128</v>
      </c>
      <c r="AH64" s="98">
        <v>411.52263374485597</v>
      </c>
      <c r="AI64" s="100">
        <v>0.013000000000000001</v>
      </c>
      <c r="AJ64" s="100">
        <v>0.724806</v>
      </c>
      <c r="AK64" s="100" t="s">
        <v>597</v>
      </c>
      <c r="AL64" s="100">
        <v>0.703358</v>
      </c>
      <c r="AM64" s="100">
        <v>0.584906</v>
      </c>
      <c r="AN64" s="100">
        <v>0.627273</v>
      </c>
      <c r="AO64" s="98">
        <v>2345.679012345679</v>
      </c>
      <c r="AP64" s="158">
        <v>1.282429047</v>
      </c>
      <c r="AQ64" s="100" t="s">
        <v>597</v>
      </c>
      <c r="AR64" s="100" t="s">
        <v>597</v>
      </c>
      <c r="AS64" s="98">
        <v>699.5884773662551</v>
      </c>
      <c r="AT64" s="98">
        <v>452.67489711934155</v>
      </c>
      <c r="AU64" s="98" t="s">
        <v>597</v>
      </c>
      <c r="AV64" s="98">
        <v>493.82716049382714</v>
      </c>
      <c r="AW64" s="98">
        <v>493.82716049382714</v>
      </c>
      <c r="AX64" s="98">
        <v>452.67489711934155</v>
      </c>
      <c r="AY64" s="98">
        <v>987.6543209876543</v>
      </c>
      <c r="AZ64" s="98">
        <v>946.5020576131687</v>
      </c>
      <c r="BA64" s="100" t="s">
        <v>597</v>
      </c>
      <c r="BB64" s="100" t="s">
        <v>597</v>
      </c>
      <c r="BC64" s="100" t="s">
        <v>597</v>
      </c>
      <c r="BD64" s="158">
        <v>0.9712992096</v>
      </c>
      <c r="BE64" s="158">
        <v>1.6615354919999998</v>
      </c>
      <c r="BF64" s="162">
        <v>258</v>
      </c>
      <c r="BG64" s="162" t="s">
        <v>597</v>
      </c>
      <c r="BH64" s="162">
        <v>536</v>
      </c>
      <c r="BI64" s="162">
        <v>212</v>
      </c>
      <c r="BJ64" s="162">
        <v>110</v>
      </c>
      <c r="BK64" s="97"/>
      <c r="BL64" s="97"/>
      <c r="BM64" s="97"/>
      <c r="BN64" s="97"/>
    </row>
    <row r="65" spans="1:66" ht="12.75">
      <c r="A65" s="79" t="s">
        <v>432</v>
      </c>
      <c r="B65" s="94" t="s">
        <v>159</v>
      </c>
      <c r="C65" s="94" t="s">
        <v>7</v>
      </c>
      <c r="D65" s="99">
        <v>356144</v>
      </c>
      <c r="E65" s="99">
        <v>51439</v>
      </c>
      <c r="F65" s="99">
        <v>65614.29000000001</v>
      </c>
      <c r="G65" s="99">
        <v>1423</v>
      </c>
      <c r="H65" s="99">
        <v>769</v>
      </c>
      <c r="I65" s="99">
        <v>4858</v>
      </c>
      <c r="J65" s="99">
        <v>24371</v>
      </c>
      <c r="K65" s="99">
        <v>8444</v>
      </c>
      <c r="L65" s="99">
        <v>59829</v>
      </c>
      <c r="M65" s="99">
        <v>17834</v>
      </c>
      <c r="N65" s="99">
        <v>9874</v>
      </c>
      <c r="O65" s="99">
        <v>7472</v>
      </c>
      <c r="P65" s="99">
        <v>7472</v>
      </c>
      <c r="Q65" s="99">
        <v>612</v>
      </c>
      <c r="R65" s="99">
        <v>1288</v>
      </c>
      <c r="S65" s="99">
        <v>1572</v>
      </c>
      <c r="T65" s="99">
        <v>1147</v>
      </c>
      <c r="U65" s="99">
        <v>263</v>
      </c>
      <c r="V65" s="99">
        <v>1281</v>
      </c>
      <c r="W65" s="99">
        <v>2412</v>
      </c>
      <c r="X65" s="99">
        <v>1332</v>
      </c>
      <c r="Y65" s="99">
        <v>3965</v>
      </c>
      <c r="Z65" s="99">
        <v>2081</v>
      </c>
      <c r="AA65" s="99">
        <v>0</v>
      </c>
      <c r="AB65" s="99">
        <v>0</v>
      </c>
      <c r="AC65" s="99">
        <v>0</v>
      </c>
      <c r="AD65" s="98">
        <v>0</v>
      </c>
      <c r="AE65" s="101">
        <v>0.14443315063569792</v>
      </c>
      <c r="AF65" s="101">
        <v>0.18423528123455682</v>
      </c>
      <c r="AG65" s="98">
        <v>399.55748236668313</v>
      </c>
      <c r="AH65" s="98">
        <v>215.9238959521991</v>
      </c>
      <c r="AI65" s="101">
        <v>0.013640549889932163</v>
      </c>
      <c r="AJ65" s="101">
        <v>0.6941920414732105</v>
      </c>
      <c r="AK65" s="101">
        <v>0.6986596061558829</v>
      </c>
      <c r="AL65" s="101">
        <v>0.7306644846915721</v>
      </c>
      <c r="AM65" s="101">
        <v>0.5691399393649273</v>
      </c>
      <c r="AN65" s="101">
        <v>0.598641930398933</v>
      </c>
      <c r="AO65" s="98">
        <v>2098.0277640504964</v>
      </c>
      <c r="AP65" s="98">
        <v>0</v>
      </c>
      <c r="AQ65" s="101">
        <v>0.08190578158458243</v>
      </c>
      <c r="AR65" s="101">
        <v>0.4751552795031056</v>
      </c>
      <c r="AS65" s="98">
        <v>441.39449211554876</v>
      </c>
      <c r="AT65" s="98">
        <v>322.06073947616693</v>
      </c>
      <c r="AU65" s="98">
        <v>73.84653398625275</v>
      </c>
      <c r="AV65" s="98">
        <v>359.68596972011323</v>
      </c>
      <c r="AW65" s="98">
        <v>677.2541443910328</v>
      </c>
      <c r="AX65" s="98">
        <v>374.006020036839</v>
      </c>
      <c r="AY65" s="98">
        <v>1113.3137158003503</v>
      </c>
      <c r="AZ65" s="98">
        <v>584.314209982479</v>
      </c>
      <c r="BA65" s="101">
        <v>0</v>
      </c>
      <c r="BB65" s="101">
        <v>0</v>
      </c>
      <c r="BC65" s="101">
        <v>0</v>
      </c>
      <c r="BD65" s="98">
        <v>0</v>
      </c>
      <c r="BE65" s="98">
        <v>0</v>
      </c>
      <c r="BF65" s="99">
        <v>35107</v>
      </c>
      <c r="BG65" s="99">
        <v>12086</v>
      </c>
      <c r="BH65" s="99">
        <v>81883</v>
      </c>
      <c r="BI65" s="99">
        <v>31335</v>
      </c>
      <c r="BJ65" s="99">
        <v>16494</v>
      </c>
      <c r="BK65" s="97"/>
      <c r="BL65" s="97"/>
      <c r="BM65" s="97"/>
      <c r="BN65" s="97"/>
    </row>
    <row r="66" spans="1:66" ht="12.75">
      <c r="A66" s="79" t="s">
        <v>24</v>
      </c>
      <c r="B66" s="94" t="s">
        <v>7</v>
      </c>
      <c r="C66" s="94" t="s">
        <v>7</v>
      </c>
      <c r="D66" s="99">
        <v>54615830</v>
      </c>
      <c r="E66" s="99">
        <v>8737890</v>
      </c>
      <c r="F66" s="99">
        <v>8198344.169999988</v>
      </c>
      <c r="G66" s="99">
        <v>243379</v>
      </c>
      <c r="H66" s="99">
        <v>127868</v>
      </c>
      <c r="I66" s="99">
        <v>870616</v>
      </c>
      <c r="J66" s="99">
        <v>4592627</v>
      </c>
      <c r="K66" s="99">
        <v>1679592</v>
      </c>
      <c r="L66" s="99">
        <v>10150944</v>
      </c>
      <c r="M66" s="99">
        <v>2959539</v>
      </c>
      <c r="N66" s="99">
        <v>1629320</v>
      </c>
      <c r="O66" s="99">
        <v>989730</v>
      </c>
      <c r="P66" s="99">
        <v>989730</v>
      </c>
      <c r="Q66" s="99">
        <v>108072</v>
      </c>
      <c r="R66" s="99">
        <v>238330</v>
      </c>
      <c r="S66" s="99">
        <v>206300</v>
      </c>
      <c r="T66" s="99">
        <v>154264</v>
      </c>
      <c r="U66" s="99">
        <v>38486</v>
      </c>
      <c r="V66" s="99">
        <v>176535</v>
      </c>
      <c r="W66" s="99">
        <v>307276</v>
      </c>
      <c r="X66" s="99">
        <v>221506</v>
      </c>
      <c r="Y66" s="99">
        <v>578574</v>
      </c>
      <c r="Z66" s="99">
        <v>318377</v>
      </c>
      <c r="AA66" s="99">
        <v>0</v>
      </c>
      <c r="AB66" s="99">
        <v>0</v>
      </c>
      <c r="AC66" s="99">
        <v>0</v>
      </c>
      <c r="AD66" s="98">
        <v>0</v>
      </c>
      <c r="AE66" s="101">
        <v>0.1599882305185145</v>
      </c>
      <c r="AF66" s="101">
        <v>0.15010930292554353</v>
      </c>
      <c r="AG66" s="98">
        <v>445.6198871279627</v>
      </c>
      <c r="AH66" s="98">
        <v>234.12259778895606</v>
      </c>
      <c r="AI66" s="101">
        <v>0.015940726342527432</v>
      </c>
      <c r="AJ66" s="101">
        <v>0.7248631360507991</v>
      </c>
      <c r="AK66" s="101">
        <v>0.7467412166569077</v>
      </c>
      <c r="AL66" s="101">
        <v>0.7559681673907895</v>
      </c>
      <c r="AM66" s="101">
        <v>0.5147293797466616</v>
      </c>
      <c r="AN66" s="101">
        <v>0.5752927626212945</v>
      </c>
      <c r="AO66" s="98">
        <v>1812.1669120472948</v>
      </c>
      <c r="AP66" s="98">
        <v>1</v>
      </c>
      <c r="AQ66" s="101">
        <v>0.10919341638628717</v>
      </c>
      <c r="AR66" s="101">
        <v>0.4534552930810221</v>
      </c>
      <c r="AS66" s="98">
        <v>377.7293140102421</v>
      </c>
      <c r="AT66" s="98">
        <v>282.45290788403287</v>
      </c>
      <c r="AU66" s="98">
        <v>70.46674929228394</v>
      </c>
      <c r="AV66" s="98">
        <v>323.23046266988894</v>
      </c>
      <c r="AW66" s="98">
        <v>562.6134400960308</v>
      </c>
      <c r="AX66" s="98">
        <v>405.57105879375996</v>
      </c>
      <c r="AY66" s="98">
        <v>1059.3522061277838</v>
      </c>
      <c r="AZ66" s="98">
        <v>582.9390489900089</v>
      </c>
      <c r="BA66" s="101">
        <v>0</v>
      </c>
      <c r="BB66" s="101">
        <v>0</v>
      </c>
      <c r="BC66" s="101">
        <v>0</v>
      </c>
      <c r="BD66" s="98">
        <v>0</v>
      </c>
      <c r="BE66" s="98">
        <v>0</v>
      </c>
      <c r="BF66" s="99">
        <v>6335854</v>
      </c>
      <c r="BG66" s="99">
        <v>2249229</v>
      </c>
      <c r="BH66" s="99">
        <v>13427740</v>
      </c>
      <c r="BI66" s="99">
        <v>5749699</v>
      </c>
      <c r="BJ66" s="99">
        <v>2832158</v>
      </c>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601</v>
      </c>
      <c r="Z4" s="75" t="s">
        <v>600</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1279</v>
      </c>
      <c r="E7" s="38">
        <f>IF(LEFT(VLOOKUP($B7,'Indicator chart'!$D$1:$J$36,5,FALSE),1)=" "," ",VLOOKUP($B7,'Indicator chart'!$D$1:$J$36,5,FALSE))</f>
        <v>0.08386885245901639</v>
      </c>
      <c r="F7" s="38">
        <f>IF(LEFT(VLOOKUP($B7,'Indicator chart'!$D$1:$J$36,6,FALSE),1)=" "," ",VLOOKUP($B7,'Indicator chart'!$D$1:$J$36,6,FALSE))</f>
        <v>0.07957348908515553</v>
      </c>
      <c r="G7" s="38">
        <f>IF(LEFT(VLOOKUP($B7,'Indicator chart'!$D$1:$J$36,7,FALSE),1)=" "," ",VLOOKUP($B7,'Indicator chart'!$D$1:$J$36,7,FALSE))</f>
        <v>0.08837381672664733</v>
      </c>
      <c r="H7" s="50">
        <f aca="true" t="shared" si="0" ref="H7:H31">IF(LEFT(F7,1)=" ",4,IF(AND(ABS(N7-E7)&gt;SQRT((E7-G7)^2+(N7-R7)^2),E7&lt;N7),1,IF(AND(ABS(N7-E7)&gt;SQRT((E7-F7)^2+(N7-S7)^2),E7&gt;N7),3,2)))</f>
        <v>1</v>
      </c>
      <c r="I7" s="38">
        <v>0.041688110679388046</v>
      </c>
      <c r="J7" s="38">
        <v>0.11951348185539246</v>
      </c>
      <c r="K7" s="38">
        <v>0.1517995297908783</v>
      </c>
      <c r="L7" s="38">
        <v>0.1855480670928955</v>
      </c>
      <c r="M7" s="38">
        <v>0.2743288576602936</v>
      </c>
      <c r="N7" s="80">
        <f>VLOOKUP('Hide - Control'!B$3,'All practice data'!A:CA,A7+29,FALSE)</f>
        <v>0.14443315063569792</v>
      </c>
      <c r="O7" s="80">
        <f>VLOOKUP('Hide - Control'!C$3,'All practice data'!A:CA,A7+29,FALSE)</f>
        <v>0.1599882305185145</v>
      </c>
      <c r="P7" s="38">
        <f>VLOOKUP('Hide - Control'!$B$4,'All practice data'!B:BC,A7+2,FALSE)</f>
        <v>51439</v>
      </c>
      <c r="Q7" s="38">
        <f>VLOOKUP('Hide - Control'!$B$4,'All practice data'!B:BC,3,FALSE)</f>
        <v>356144</v>
      </c>
      <c r="R7" s="38">
        <f>+((2*P7+1.96^2-1.96*SQRT(1.96^2+4*P7*(1-P7/Q7)))/(2*(Q7+1.96^2)))</f>
        <v>0.14328245994625943</v>
      </c>
      <c r="S7" s="38">
        <f>+((2*P7+1.96^2+1.96*SQRT(1.96^2+4*P7*(1-P7/Q7)))/(2*(Q7+1.96^2)))</f>
        <v>0.14559151199135403</v>
      </c>
      <c r="T7" s="53">
        <f>IF($C7=1,M7,I7)</f>
        <v>0.2743288576602936</v>
      </c>
      <c r="U7" s="51">
        <f aca="true" t="shared" si="1" ref="U7:U15">IF($C7=1,I7,M7)</f>
        <v>0.041688110679388046</v>
      </c>
      <c r="V7" s="7">
        <v>1</v>
      </c>
      <c r="W7" s="27">
        <f aca="true" t="shared" si="2" ref="W7:W31">IF((K7-I7)&gt;(M7-K7),I7,(K7-(M7-K7)))</f>
        <v>0.029270201921463013</v>
      </c>
      <c r="X7" s="27">
        <f aca="true" t="shared" si="3" ref="X7:X31">IF(W7=I7,K7+(K7-I7),M7)</f>
        <v>0.2743288576602936</v>
      </c>
      <c r="Y7" s="27">
        <f aca="true" t="shared" si="4" ref="Y7:Y31">IF(C7=1,W7,X7)</f>
        <v>0.029270201921463013</v>
      </c>
      <c r="Z7" s="27">
        <f aca="true" t="shared" si="5" ref="Z7:Z31">IF(C7=1,X7,W7)</f>
        <v>0.2743288576602936</v>
      </c>
      <c r="AA7" s="32">
        <f aca="true" t="shared" si="6" ref="AA7:AA31">IF(ISERROR(IF(C7=1,(I7-$Y7)/($Z7-$Y7),(U7-$Y7)/($Z7-$Y7))),"",IF(C7=1,(I7-$Y7)/($Z7-$Y7),(U7-$Y7)/($Z7-$Y7)))</f>
        <v>0.05067321013610442</v>
      </c>
      <c r="AB7" s="33">
        <f aca="true" t="shared" si="7" ref="AB7:AB31">IF(ISERROR(IF(C7=1,(J7-$Y7)/($Z7-$Y7),(L7-$Y7)/($Z7-$Y7))),"",IF(C7=1,(J7-$Y7)/($Z7-$Y7),(L7-$Y7)/($Z7-$Y7)))</f>
        <v>0.3682517545109916</v>
      </c>
      <c r="AC7" s="33">
        <v>0.5</v>
      </c>
      <c r="AD7" s="33">
        <f aca="true" t="shared" si="8" ref="AD7:AD31">IF(ISERROR(IF(C7=1,(L7-$Y7)/($Z7-$Y7),(J7-$Y7)/($Z7-$Y7))),"",IF(C7=1,(L7-$Y7)/($Z7-$Y7),(J7-$Y7)/($Z7-$Y7)))</f>
        <v>0.6377161610564961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0.22279829444482663</v>
      </c>
      <c r="AI7" s="34">
        <f aca="true" t="shared" si="13" ref="AI7:AI31">IF(ISERROR((O7-$Y7)/($Z7-$Y7)),-999,(O7-$Y7)/($Z7-$Y7))</f>
        <v>0.5334152682872921</v>
      </c>
      <c r="AJ7" s="4">
        <v>2.7020512924389086</v>
      </c>
      <c r="AK7" s="32">
        <f aca="true" t="shared" si="14" ref="AK7:AK31">IF(H7=1,(E7-$Y7)/($Z7-$Y7),-999)</f>
        <v>0.22279829444482663</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0.06605775982606572</v>
      </c>
      <c r="G8" s="38">
        <f>IF(LEFT(VLOOKUP($B8,'Indicator chart'!$D$1:$J$36,7,FALSE),1)=" "," ",VLOOKUP($B8,'Indicator chart'!$D$1:$J$36,7,FALSE))</f>
        <v>0.07415882666320267</v>
      </c>
      <c r="H8" s="50">
        <f t="shared" si="0"/>
        <v>1</v>
      </c>
      <c r="I8" s="38">
        <v>0.07000000029802322</v>
      </c>
      <c r="J8" s="38">
        <v>0.14000000059604645</v>
      </c>
      <c r="K8" s="38">
        <v>0.18000000715255737</v>
      </c>
      <c r="L8" s="38">
        <v>0.25</v>
      </c>
      <c r="M8" s="38">
        <v>0.3799999952316284</v>
      </c>
      <c r="N8" s="80">
        <f>VLOOKUP('Hide - Control'!B$3,'All practice data'!A:CA,A8+29,FALSE)</f>
        <v>0.18423528123455682</v>
      </c>
      <c r="O8" s="80">
        <f>VLOOKUP('Hide - Control'!C$3,'All practice data'!A:CA,A8+29,FALSE)</f>
        <v>0.15010930292554353</v>
      </c>
      <c r="P8" s="38">
        <f>VLOOKUP('Hide - Control'!$B$4,'All practice data'!B:BC,A8+2,FALSE)</f>
        <v>65614.29000000001</v>
      </c>
      <c r="Q8" s="38">
        <f>VLOOKUP('Hide - Control'!$B$4,'All practice data'!B:BC,3,FALSE)</f>
        <v>356144</v>
      </c>
      <c r="R8" s="38">
        <f>+((2*P8+1.96^2-1.96*SQRT(1.96^2+4*P8*(1-P8/Q8)))/(2*(Q8+1.96^2)))</f>
        <v>0.18296544415345697</v>
      </c>
      <c r="S8" s="38">
        <f>+((2*P8+1.96^2+1.96*SQRT(1.96^2+4*P8*(1-P8/Q8)))/(2*(Q8+1.96^2)))</f>
        <v>0.18551193032798374</v>
      </c>
      <c r="T8" s="53">
        <f aca="true" t="shared" si="16" ref="T8:T15">IF($C8=1,M8,I8)</f>
        <v>0.3799999952316284</v>
      </c>
      <c r="U8" s="51">
        <f t="shared" si="1"/>
        <v>0.07000000029802322</v>
      </c>
      <c r="V8" s="7"/>
      <c r="W8" s="27">
        <f t="shared" si="2"/>
        <v>-0.019999980926513672</v>
      </c>
      <c r="X8" s="27">
        <f t="shared" si="3"/>
        <v>0.3799999952316284</v>
      </c>
      <c r="Y8" s="27">
        <f t="shared" si="4"/>
        <v>-0.019999980926513672</v>
      </c>
      <c r="Z8" s="27">
        <f t="shared" si="5"/>
        <v>0.3799999952316284</v>
      </c>
      <c r="AA8" s="32">
        <f t="shared" si="6"/>
        <v>0.22499996647238532</v>
      </c>
      <c r="AB8" s="33">
        <f t="shared" si="7"/>
        <v>0.3999999776482569</v>
      </c>
      <c r="AC8" s="33">
        <v>0.5</v>
      </c>
      <c r="AD8" s="33">
        <f t="shared" si="8"/>
        <v>0.674999992549419</v>
      </c>
      <c r="AE8" s="33">
        <f t="shared" si="9"/>
        <v>1</v>
      </c>
      <c r="AF8" s="33">
        <f t="shared" si="10"/>
        <v>-999</v>
      </c>
      <c r="AG8" s="33">
        <f t="shared" si="11"/>
        <v>-999</v>
      </c>
      <c r="AH8" s="33">
        <f t="shared" si="12"/>
        <v>0.22499996572732722</v>
      </c>
      <c r="AI8" s="34">
        <f t="shared" si="13"/>
        <v>0.42527323497840314</v>
      </c>
      <c r="AJ8" s="4">
        <v>3.778046717820832</v>
      </c>
      <c r="AK8" s="32">
        <f t="shared" si="14"/>
        <v>0.22499996572732722</v>
      </c>
      <c r="AL8" s="34">
        <f t="shared" si="15"/>
        <v>-999</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157.37704918032787</v>
      </c>
      <c r="F9" s="38">
        <f>IF(LEFT(VLOOKUP($B9,'Indicator chart'!$D$1:$J$36,6,FALSE),1)=" "," ",VLOOKUP($B9,'Indicator chart'!$D$1:$J$36,6,FALSE))</f>
        <v>100.80386750662028</v>
      </c>
      <c r="G9" s="38">
        <f>IF(LEFT(VLOOKUP($B9,'Indicator chart'!$D$1:$J$36,7,FALSE),1)=" "," ",VLOOKUP($B9,'Indicator chart'!$D$1:$J$36,7,FALSE))</f>
        <v>234.17603172007463</v>
      </c>
      <c r="H9" s="50">
        <f t="shared" si="0"/>
        <v>1</v>
      </c>
      <c r="I9" s="38">
        <v>92.60600280761719</v>
      </c>
      <c r="J9" s="38">
        <v>325.4678649902344</v>
      </c>
      <c r="K9" s="38">
        <v>430.1075134277344</v>
      </c>
      <c r="L9" s="38">
        <v>507.3431091308594</v>
      </c>
      <c r="M9" s="38">
        <v>1048.65771484375</v>
      </c>
      <c r="N9" s="80">
        <f>VLOOKUP('Hide - Control'!B$3,'All practice data'!A:CA,A9+29,FALSE)</f>
        <v>399.55748236668313</v>
      </c>
      <c r="O9" s="80">
        <f>VLOOKUP('Hide - Control'!C$3,'All practice data'!A:CA,A9+29,FALSE)</f>
        <v>445.6198871279627</v>
      </c>
      <c r="P9" s="38">
        <f>VLOOKUP('Hide - Control'!$B$4,'All practice data'!B:BC,A9+2,FALSE)</f>
        <v>1423</v>
      </c>
      <c r="Q9" s="38">
        <f>VLOOKUP('Hide - Control'!$B$4,'All practice data'!B:BC,3,FALSE)</f>
        <v>356144</v>
      </c>
      <c r="R9" s="38">
        <f>100000*(P9*(1-1/(9*P9)-1.96/(3*SQRT(P9)))^3)/Q9</f>
        <v>379.0643227444805</v>
      </c>
      <c r="S9" s="38">
        <f>100000*((P9+1)*(1-1/(9*(P9+1))+1.96/(3*SQRT(P9+1)))^3)/Q9</f>
        <v>420.87059911259655</v>
      </c>
      <c r="T9" s="53">
        <f t="shared" si="16"/>
        <v>1048.65771484375</v>
      </c>
      <c r="U9" s="51">
        <f t="shared" si="1"/>
        <v>92.60600280761719</v>
      </c>
      <c r="V9" s="7"/>
      <c r="W9" s="27">
        <f t="shared" si="2"/>
        <v>-188.44268798828125</v>
      </c>
      <c r="X9" s="27">
        <f t="shared" si="3"/>
        <v>1048.65771484375</v>
      </c>
      <c r="Y9" s="27">
        <f t="shared" si="4"/>
        <v>-188.44268798828125</v>
      </c>
      <c r="Z9" s="27">
        <f t="shared" si="5"/>
        <v>1048.65771484375</v>
      </c>
      <c r="AA9" s="32">
        <f t="shared" si="6"/>
        <v>0.22718341223760652</v>
      </c>
      <c r="AB9" s="33">
        <f t="shared" si="7"/>
        <v>0.41541539538912625</v>
      </c>
      <c r="AC9" s="33">
        <v>0.5</v>
      </c>
      <c r="AD9" s="33">
        <f t="shared" si="8"/>
        <v>0.5624327625521045</v>
      </c>
      <c r="AE9" s="33">
        <f t="shared" si="9"/>
        <v>1</v>
      </c>
      <c r="AF9" s="33">
        <f t="shared" si="10"/>
        <v>-999</v>
      </c>
      <c r="AG9" s="33">
        <f t="shared" si="11"/>
        <v>-999</v>
      </c>
      <c r="AH9" s="33">
        <f t="shared" si="12"/>
        <v>0.27954055820929447</v>
      </c>
      <c r="AI9" s="34">
        <f t="shared" si="13"/>
        <v>0.5125393005003609</v>
      </c>
      <c r="AJ9" s="4">
        <v>4.854042143202755</v>
      </c>
      <c r="AK9" s="32">
        <f t="shared" si="14"/>
        <v>0.27954055820929447</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163.9344262295082</v>
      </c>
      <c r="F10" s="38">
        <f>IF(LEFT(VLOOKUP($B10,'Indicator chart'!$D$1:$J$36,6,FALSE),1)=" "," ",VLOOKUP($B10,'Indicator chart'!$D$1:$J$36,6,FALSE))</f>
        <v>106.05987683644786</v>
      </c>
      <c r="G10" s="38">
        <f>IF(LEFT(VLOOKUP($B10,'Indicator chart'!$D$1:$J$36,7,FALSE),1)=" "," ",VLOOKUP($B10,'Indicator chart'!$D$1:$J$36,7,FALSE))</f>
        <v>242.01103372436506</v>
      </c>
      <c r="H10" s="50">
        <f t="shared" si="0"/>
        <v>2</v>
      </c>
      <c r="I10" s="38">
        <v>44.173431396484375</v>
      </c>
      <c r="J10" s="38">
        <v>144.4854736328125</v>
      </c>
      <c r="K10" s="38">
        <v>192.19680786132812</v>
      </c>
      <c r="L10" s="38">
        <v>265.1113586425781</v>
      </c>
      <c r="M10" s="38">
        <v>1267.1976318359375</v>
      </c>
      <c r="N10" s="80">
        <f>VLOOKUP('Hide - Control'!B$3,'All practice data'!A:CA,A10+29,FALSE)</f>
        <v>215.9238959521991</v>
      </c>
      <c r="O10" s="80">
        <f>VLOOKUP('Hide - Control'!C$3,'All practice data'!A:CA,A10+29,FALSE)</f>
        <v>234.12259778895606</v>
      </c>
      <c r="P10" s="38">
        <f>VLOOKUP('Hide - Control'!$B$4,'All practice data'!B:BC,A10+2,FALSE)</f>
        <v>769</v>
      </c>
      <c r="Q10" s="38">
        <f>VLOOKUP('Hide - Control'!$B$4,'All practice data'!B:BC,3,FALSE)</f>
        <v>356144</v>
      </c>
      <c r="R10" s="38">
        <f>100000*(P10*(1-1/(9*P10)-1.96/(3*SQRT(P10)))^3)/Q10</f>
        <v>200.9300304491474</v>
      </c>
      <c r="S10" s="38">
        <f>100000*((P10+1)*(1-1/(9*(P10+1))+1.96/(3*SQRT(P10+1)))^3)/Q10</f>
        <v>231.74031029668046</v>
      </c>
      <c r="T10" s="53">
        <f t="shared" si="16"/>
        <v>1267.1976318359375</v>
      </c>
      <c r="U10" s="51">
        <f t="shared" si="1"/>
        <v>44.173431396484375</v>
      </c>
      <c r="V10" s="7"/>
      <c r="W10" s="27">
        <f t="shared" si="2"/>
        <v>-882.8040161132812</v>
      </c>
      <c r="X10" s="27">
        <f t="shared" si="3"/>
        <v>1267.1976318359375</v>
      </c>
      <c r="Y10" s="27">
        <f t="shared" si="4"/>
        <v>-882.8040161132812</v>
      </c>
      <c r="Z10" s="27">
        <f t="shared" si="5"/>
        <v>1267.1976318359375</v>
      </c>
      <c r="AA10" s="32">
        <f t="shared" si="6"/>
        <v>0.4311519706945174</v>
      </c>
      <c r="AB10" s="33">
        <f t="shared" si="7"/>
        <v>0.4778086987635451</v>
      </c>
      <c r="AC10" s="33">
        <v>0.5</v>
      </c>
      <c r="AD10" s="33">
        <f t="shared" si="8"/>
        <v>0.53391371855496</v>
      </c>
      <c r="AE10" s="33">
        <f t="shared" si="9"/>
        <v>1</v>
      </c>
      <c r="AF10" s="33">
        <f t="shared" si="10"/>
        <v>-999</v>
      </c>
      <c r="AG10" s="33">
        <f t="shared" si="11"/>
        <v>0.48685471629346055</v>
      </c>
      <c r="AH10" s="33">
        <f t="shared" si="12"/>
        <v>-999</v>
      </c>
      <c r="AI10" s="34">
        <f t="shared" si="13"/>
        <v>0.5195003524614127</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128</v>
      </c>
      <c r="E11" s="38">
        <f>IF(LEFT(VLOOKUP($B11,'Indicator chart'!$D$1:$J$36,5,FALSE),1)=" "," ",VLOOKUP($B11,'Indicator chart'!$D$1:$J$36,5,FALSE))</f>
        <v>0.008</v>
      </c>
      <c r="F11" s="38">
        <f>IF(LEFT(VLOOKUP($B11,'Indicator chart'!$D$1:$J$36,6,FALSE),1)=" "," ",VLOOKUP($B11,'Indicator chart'!$D$1:$J$36,6,FALSE))</f>
        <v>0.007064174894690233</v>
      </c>
      <c r="G11" s="38">
        <f>IF(LEFT(VLOOKUP($B11,'Indicator chart'!$D$1:$J$36,7,FALSE),1)=" "," ",VLOOKUP($B11,'Indicator chart'!$D$1:$J$36,7,FALSE))</f>
        <v>0.00997032741717329</v>
      </c>
      <c r="H11" s="50">
        <f t="shared" si="0"/>
        <v>1</v>
      </c>
      <c r="I11" s="38">
        <v>0.004000000189989805</v>
      </c>
      <c r="J11" s="38">
        <v>0.009999999776482582</v>
      </c>
      <c r="K11" s="38">
        <v>0.014000000432133675</v>
      </c>
      <c r="L11" s="38">
        <v>0.017000000923871994</v>
      </c>
      <c r="M11" s="38">
        <v>0.029999999329447746</v>
      </c>
      <c r="N11" s="80">
        <f>VLOOKUP('Hide - Control'!B$3,'All practice data'!A:CA,A11+29,FALSE)</f>
        <v>0.013640549889932163</v>
      </c>
      <c r="O11" s="80">
        <f>VLOOKUP('Hide - Control'!C$3,'All practice data'!A:CA,A11+29,FALSE)</f>
        <v>0.015940726342527432</v>
      </c>
      <c r="P11" s="38">
        <f>VLOOKUP('Hide - Control'!$B$4,'All practice data'!B:BC,A11+2,FALSE)</f>
        <v>4858</v>
      </c>
      <c r="Q11" s="38">
        <f>VLOOKUP('Hide - Control'!$B$4,'All practice data'!B:BC,3,FALSE)</f>
        <v>356144</v>
      </c>
      <c r="R11" s="80">
        <f aca="true" t="shared" si="17" ref="R11:R16">+((2*P11+1.96^2-1.96*SQRT(1.96^2+4*P11*(1-P11/Q11)))/(2*(Q11+1.96^2)))</f>
        <v>0.013264804217731012</v>
      </c>
      <c r="S11" s="80">
        <f aca="true" t="shared" si="18" ref="S11:S16">+((2*P11+1.96^2+1.96*SQRT(1.96^2+4*P11*(1-P11/Q11)))/(2*(Q11+1.96^2)))</f>
        <v>0.014026787825431325</v>
      </c>
      <c r="T11" s="53">
        <f t="shared" si="16"/>
        <v>0.029999999329447746</v>
      </c>
      <c r="U11" s="51">
        <f t="shared" si="1"/>
        <v>0.004000000189989805</v>
      </c>
      <c r="V11" s="7"/>
      <c r="W11" s="27">
        <f t="shared" si="2"/>
        <v>-0.001999998465180397</v>
      </c>
      <c r="X11" s="27">
        <f t="shared" si="3"/>
        <v>0.029999999329447746</v>
      </c>
      <c r="Y11" s="27">
        <f t="shared" si="4"/>
        <v>-0.001999998465180397</v>
      </c>
      <c r="Z11" s="27">
        <f t="shared" si="5"/>
        <v>0.029999999329447746</v>
      </c>
      <c r="AA11" s="32">
        <f t="shared" si="6"/>
        <v>0.18749997089616754</v>
      </c>
      <c r="AB11" s="33">
        <f t="shared" si="7"/>
        <v>0.37499997089616754</v>
      </c>
      <c r="AC11" s="33">
        <v>0.5</v>
      </c>
      <c r="AD11" s="33">
        <f t="shared" si="8"/>
        <v>0.5937500218278744</v>
      </c>
      <c r="AE11" s="33">
        <f t="shared" si="9"/>
        <v>1</v>
      </c>
      <c r="AF11" s="33">
        <f t="shared" si="10"/>
        <v>-999</v>
      </c>
      <c r="AG11" s="33">
        <f t="shared" si="11"/>
        <v>-999</v>
      </c>
      <c r="AH11" s="33">
        <f t="shared" si="12"/>
        <v>0.3124999735737201</v>
      </c>
      <c r="AI11" s="34">
        <f t="shared" si="13"/>
        <v>0.5606476888795145</v>
      </c>
      <c r="AJ11" s="4">
        <v>7.0060329939666</v>
      </c>
      <c r="AK11" s="32">
        <f t="shared" si="14"/>
        <v>0.3124999735737201</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689</v>
      </c>
      <c r="E12" s="38">
        <f>IF(LEFT(VLOOKUP($B12,'Indicator chart'!$D$1:$J$36,5,FALSE),1)=" "," ",VLOOKUP($B12,'Indicator chart'!$D$1:$J$36,5,FALSE))</f>
        <v>0.801163</v>
      </c>
      <c r="F12" s="38">
        <f>IF(LEFT(VLOOKUP($B12,'Indicator chart'!$D$1:$J$36,6,FALSE),1)=" "," ",VLOOKUP($B12,'Indicator chart'!$D$1:$J$36,6,FALSE))</f>
        <v>0.7731734778311056</v>
      </c>
      <c r="G12" s="38">
        <f>IF(LEFT(VLOOKUP($B12,'Indicator chart'!$D$1:$J$36,7,FALSE),1)=" "," ",VLOOKUP($B12,'Indicator chart'!$D$1:$J$36,7,FALSE))</f>
        <v>0.8264734944841894</v>
      </c>
      <c r="H12" s="50">
        <f t="shared" si="0"/>
        <v>3</v>
      </c>
      <c r="I12" s="38">
        <v>0.33333298563957214</v>
      </c>
      <c r="J12" s="38">
        <v>0.6207460165023804</v>
      </c>
      <c r="K12" s="38">
        <v>0.6816819906234741</v>
      </c>
      <c r="L12" s="38">
        <v>0.7432190179824829</v>
      </c>
      <c r="M12" s="38">
        <v>0.8287670016288757</v>
      </c>
      <c r="N12" s="80">
        <f>VLOOKUP('Hide - Control'!B$3,'All practice data'!A:CA,A12+29,FALSE)</f>
        <v>0.6941920414732105</v>
      </c>
      <c r="O12" s="80">
        <f>VLOOKUP('Hide - Control'!C$3,'All practice data'!A:CA,A12+29,FALSE)</f>
        <v>0.7248631360507991</v>
      </c>
      <c r="P12" s="38">
        <f>VLOOKUP('Hide - Control'!$B$4,'All practice data'!B:BC,A12+2,FALSE)</f>
        <v>24371</v>
      </c>
      <c r="Q12" s="38">
        <f>VLOOKUP('Hide - Control'!$B$4,'All practice data'!B:BJ,57,FALSE)</f>
        <v>35107</v>
      </c>
      <c r="R12" s="38">
        <f t="shared" si="17"/>
        <v>0.6893512732200433</v>
      </c>
      <c r="S12" s="38">
        <f t="shared" si="18"/>
        <v>0.6989903152652638</v>
      </c>
      <c r="T12" s="53">
        <f t="shared" si="16"/>
        <v>0.8287670016288757</v>
      </c>
      <c r="U12" s="51">
        <f t="shared" si="1"/>
        <v>0.33333298563957214</v>
      </c>
      <c r="V12" s="7"/>
      <c r="W12" s="27">
        <f t="shared" si="2"/>
        <v>0.33333298563957214</v>
      </c>
      <c r="X12" s="27">
        <f t="shared" si="3"/>
        <v>1.030030995607376</v>
      </c>
      <c r="Y12" s="27">
        <f t="shared" si="4"/>
        <v>0.33333298563957214</v>
      </c>
      <c r="Z12" s="27">
        <f t="shared" si="5"/>
        <v>1.030030995607376</v>
      </c>
      <c r="AA12" s="32">
        <f t="shared" si="6"/>
        <v>0</v>
      </c>
      <c r="AB12" s="33">
        <f t="shared" si="7"/>
        <v>0.4125360296006734</v>
      </c>
      <c r="AC12" s="33">
        <v>0.5</v>
      </c>
      <c r="AD12" s="33">
        <f t="shared" si="8"/>
        <v>0.588326687429253</v>
      </c>
      <c r="AE12" s="33">
        <f t="shared" si="9"/>
        <v>0.7111173118065871</v>
      </c>
      <c r="AF12" s="33">
        <f t="shared" si="10"/>
        <v>-999</v>
      </c>
      <c r="AG12" s="33">
        <f t="shared" si="11"/>
        <v>-999</v>
      </c>
      <c r="AH12" s="33">
        <f t="shared" si="12"/>
        <v>0.671496125533712</v>
      </c>
      <c r="AI12" s="34">
        <f t="shared" si="13"/>
        <v>0.561979716906785</v>
      </c>
      <c r="AJ12" s="4">
        <v>8.082028419348523</v>
      </c>
      <c r="AK12" s="32">
        <f t="shared" si="14"/>
        <v>-999</v>
      </c>
      <c r="AL12" s="34">
        <f t="shared" si="15"/>
        <v>0.671496125533712</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0.6000000238418579</v>
      </c>
      <c r="L13" s="38">
        <v>0.699999988079071</v>
      </c>
      <c r="M13" s="38">
        <v>1</v>
      </c>
      <c r="N13" s="80">
        <f>VLOOKUP('Hide - Control'!B$3,'All practice data'!A:CA,A13+29,FALSE)</f>
        <v>0.6986596061558829</v>
      </c>
      <c r="O13" s="80">
        <f>VLOOKUP('Hide - Control'!C$3,'All practice data'!A:CA,A13+29,FALSE)</f>
        <v>0.7467412166569077</v>
      </c>
      <c r="P13" s="38">
        <f>VLOOKUP('Hide - Control'!$B$4,'All practice data'!B:BC,A13+2,FALSE)</f>
        <v>8444</v>
      </c>
      <c r="Q13" s="38">
        <f>VLOOKUP('Hide - Control'!$B$4,'All practice data'!B:BJ,58,FALSE)</f>
        <v>12086</v>
      </c>
      <c r="R13" s="38">
        <f t="shared" si="17"/>
        <v>0.690417104818972</v>
      </c>
      <c r="S13" s="38">
        <f t="shared" si="18"/>
        <v>0.7067758575768298</v>
      </c>
      <c r="T13" s="53">
        <f t="shared" si="16"/>
        <v>1</v>
      </c>
      <c r="U13" s="51">
        <f t="shared" si="1"/>
        <v>0</v>
      </c>
      <c r="V13" s="7"/>
      <c r="W13" s="27">
        <f t="shared" si="2"/>
        <v>0</v>
      </c>
      <c r="X13" s="27">
        <f t="shared" si="3"/>
        <v>1.2000000476837158</v>
      </c>
      <c r="Y13" s="27">
        <f t="shared" si="4"/>
        <v>0</v>
      </c>
      <c r="Z13" s="27">
        <f t="shared" si="5"/>
        <v>1.2000000476837158</v>
      </c>
      <c r="AA13" s="32">
        <f t="shared" si="6"/>
        <v>0</v>
      </c>
      <c r="AB13" s="33">
        <f t="shared" si="7"/>
        <v>0.41666665010982157</v>
      </c>
      <c r="AC13" s="33">
        <v>0.5</v>
      </c>
      <c r="AD13" s="33">
        <f t="shared" si="8"/>
        <v>0.5833333002196431</v>
      </c>
      <c r="AE13" s="33">
        <f t="shared" si="9"/>
        <v>0.8333333002196431</v>
      </c>
      <c r="AF13" s="33">
        <f t="shared" si="10"/>
        <v>-999</v>
      </c>
      <c r="AG13" s="33">
        <f t="shared" si="11"/>
        <v>-999</v>
      </c>
      <c r="AH13" s="33">
        <f t="shared" si="12"/>
        <v>-999</v>
      </c>
      <c r="AI13" s="34">
        <f t="shared" si="13"/>
        <v>0.6222843224867325</v>
      </c>
      <c r="AJ13" s="4">
        <v>9.158023844730446</v>
      </c>
      <c r="AK13" s="32">
        <f t="shared" si="14"/>
        <v>-999</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1681</v>
      </c>
      <c r="E14" s="38">
        <f>IF(LEFT(VLOOKUP($B14,'Indicator chart'!$D$1:$J$36,5,FALSE),1)=" "," ",VLOOKUP($B14,'Indicator chart'!$D$1:$J$36,5,FALSE))</f>
        <v>0.717456</v>
      </c>
      <c r="F14" s="38">
        <f>IF(LEFT(VLOOKUP($B14,'Indicator chart'!$D$1:$J$36,6,FALSE),1)=" "," ",VLOOKUP($B14,'Indicator chart'!$D$1:$J$36,6,FALSE))</f>
        <v>0.6988807434107766</v>
      </c>
      <c r="G14" s="38">
        <f>IF(LEFT(VLOOKUP($B14,'Indicator chart'!$D$1:$J$36,7,FALSE),1)=" "," ",VLOOKUP($B14,'Indicator chart'!$D$1:$J$36,7,FALSE))</f>
        <v>0.7353198434545661</v>
      </c>
      <c r="H14" s="50">
        <f t="shared" si="0"/>
        <v>2</v>
      </c>
      <c r="I14" s="38">
        <v>0.6265429854393005</v>
      </c>
      <c r="J14" s="38">
        <v>0.697629988193512</v>
      </c>
      <c r="K14" s="38">
        <v>0.7269369959831238</v>
      </c>
      <c r="L14" s="38">
        <v>0.7645390033721924</v>
      </c>
      <c r="M14" s="38">
        <v>0.8558560013771057</v>
      </c>
      <c r="N14" s="80">
        <f>VLOOKUP('Hide - Control'!B$3,'All practice data'!A:CA,A14+29,FALSE)</f>
        <v>0.7306644846915721</v>
      </c>
      <c r="O14" s="80">
        <f>VLOOKUP('Hide - Control'!C$3,'All practice data'!A:CA,A14+29,FALSE)</f>
        <v>0.7559681673907895</v>
      </c>
      <c r="P14" s="38">
        <f>VLOOKUP('Hide - Control'!$B$4,'All practice data'!B:BC,A14+2,FALSE)</f>
        <v>59829</v>
      </c>
      <c r="Q14" s="38">
        <f>VLOOKUP('Hide - Control'!$B$4,'All practice data'!B:BJ,59,FALSE)</f>
        <v>81883</v>
      </c>
      <c r="R14" s="38">
        <f t="shared" si="17"/>
        <v>0.7276151750512116</v>
      </c>
      <c r="S14" s="38">
        <f t="shared" si="18"/>
        <v>0.7336921517659947</v>
      </c>
      <c r="T14" s="53">
        <f t="shared" si="16"/>
        <v>0.8558560013771057</v>
      </c>
      <c r="U14" s="51">
        <f t="shared" si="1"/>
        <v>0.6265429854393005</v>
      </c>
      <c r="V14" s="7"/>
      <c r="W14" s="27">
        <f t="shared" si="2"/>
        <v>0.5980179905891418</v>
      </c>
      <c r="X14" s="27">
        <f t="shared" si="3"/>
        <v>0.8558560013771057</v>
      </c>
      <c r="Y14" s="27">
        <f t="shared" si="4"/>
        <v>0.5980179905891418</v>
      </c>
      <c r="Z14" s="27">
        <f t="shared" si="5"/>
        <v>0.8558560013771057</v>
      </c>
      <c r="AA14" s="32">
        <f t="shared" si="6"/>
        <v>0.11063145718113904</v>
      </c>
      <c r="AB14" s="33">
        <f t="shared" si="7"/>
        <v>0.3863355806227004</v>
      </c>
      <c r="AC14" s="33">
        <v>0.5</v>
      </c>
      <c r="AD14" s="33">
        <f t="shared" si="8"/>
        <v>0.6458357798920155</v>
      </c>
      <c r="AE14" s="33">
        <f t="shared" si="9"/>
        <v>1</v>
      </c>
      <c r="AF14" s="33">
        <f t="shared" si="10"/>
        <v>-999</v>
      </c>
      <c r="AG14" s="33">
        <f t="shared" si="11"/>
        <v>0.4632288662398943</v>
      </c>
      <c r="AH14" s="33">
        <f t="shared" si="12"/>
        <v>-999</v>
      </c>
      <c r="AI14" s="34">
        <f t="shared" si="13"/>
        <v>0.6125946144206793</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481</v>
      </c>
      <c r="E15" s="38">
        <f>IF(LEFT(VLOOKUP($B15,'Indicator chart'!$D$1:$J$36,5,FALSE),1)=" "," ",VLOOKUP($B15,'Indicator chart'!$D$1:$J$36,5,FALSE))</f>
        <v>0.652646</v>
      </c>
      <c r="F15" s="38">
        <f>IF(LEFT(VLOOKUP($B15,'Indicator chart'!$D$1:$J$36,6,FALSE),1)=" "," ",VLOOKUP($B15,'Indicator chart'!$D$1:$J$36,6,FALSE))</f>
        <v>0.6175590613557119</v>
      </c>
      <c r="G15" s="38">
        <f>IF(LEFT(VLOOKUP($B15,'Indicator chart'!$D$1:$J$36,7,FALSE),1)=" "," ",VLOOKUP($B15,'Indicator chart'!$D$1:$J$36,7,FALSE))</f>
        <v>0.6861495856749085</v>
      </c>
      <c r="H15" s="50">
        <f t="shared" si="0"/>
        <v>3</v>
      </c>
      <c r="I15" s="38">
        <v>0.19607800245285034</v>
      </c>
      <c r="J15" s="38">
        <v>0.48622000217437744</v>
      </c>
      <c r="K15" s="38">
        <v>0.5646629929542542</v>
      </c>
      <c r="L15" s="38">
        <v>0.6097049713134766</v>
      </c>
      <c r="M15" s="38">
        <v>0.6821309924125671</v>
      </c>
      <c r="N15" s="80">
        <f>VLOOKUP('Hide - Control'!B$3,'All practice data'!A:CA,A15+29,FALSE)</f>
        <v>0.5691399393649273</v>
      </c>
      <c r="O15" s="80">
        <f>VLOOKUP('Hide - Control'!C$3,'All practice data'!A:CA,A15+29,FALSE)</f>
        <v>0.5147293797466616</v>
      </c>
      <c r="P15" s="38">
        <f>VLOOKUP('Hide - Control'!$B$4,'All practice data'!B:BC,A15+2,FALSE)</f>
        <v>17834</v>
      </c>
      <c r="Q15" s="38">
        <f>VLOOKUP('Hide - Control'!$B$4,'All practice data'!B:BJ,60,FALSE)</f>
        <v>31335</v>
      </c>
      <c r="R15" s="38">
        <f t="shared" si="17"/>
        <v>0.5636487856123633</v>
      </c>
      <c r="S15" s="38">
        <f t="shared" si="18"/>
        <v>0.5746141423957989</v>
      </c>
      <c r="T15" s="53">
        <f t="shared" si="16"/>
        <v>0.6821309924125671</v>
      </c>
      <c r="U15" s="51">
        <f t="shared" si="1"/>
        <v>0.19607800245285034</v>
      </c>
      <c r="V15" s="7"/>
      <c r="W15" s="27">
        <f t="shared" si="2"/>
        <v>0.19607800245285034</v>
      </c>
      <c r="X15" s="27">
        <f t="shared" si="3"/>
        <v>0.933247983455658</v>
      </c>
      <c r="Y15" s="27">
        <f t="shared" si="4"/>
        <v>0.19607800245285034</v>
      </c>
      <c r="Z15" s="27">
        <f t="shared" si="5"/>
        <v>0.933247983455658</v>
      </c>
      <c r="AA15" s="32">
        <f t="shared" si="6"/>
        <v>0</v>
      </c>
      <c r="AB15" s="33">
        <f t="shared" si="7"/>
        <v>0.3935890055192332</v>
      </c>
      <c r="AC15" s="33">
        <v>0.5</v>
      </c>
      <c r="AD15" s="33">
        <f t="shared" si="8"/>
        <v>0.5611012107383289</v>
      </c>
      <c r="AE15" s="33">
        <f t="shared" si="9"/>
        <v>0.6593499497883998</v>
      </c>
      <c r="AF15" s="33">
        <f t="shared" si="10"/>
        <v>-999</v>
      </c>
      <c r="AG15" s="33">
        <f t="shared" si="11"/>
        <v>-999</v>
      </c>
      <c r="AH15" s="33">
        <f t="shared" si="12"/>
        <v>0.6193524008208504</v>
      </c>
      <c r="AI15" s="34">
        <f t="shared" si="13"/>
        <v>0.43226309468046226</v>
      </c>
      <c r="AJ15" s="4">
        <v>11.310014695494289</v>
      </c>
      <c r="AK15" s="32">
        <f t="shared" si="14"/>
        <v>-999</v>
      </c>
      <c r="AL15" s="34">
        <f t="shared" si="15"/>
        <v>0.6193524008208504</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274</v>
      </c>
      <c r="E16" s="38">
        <f>IF(LEFT(VLOOKUP($B16,'Indicator chart'!$D$1:$J$36,5,FALSE),1)=" "," ",VLOOKUP($B16,'Indicator chart'!$D$1:$J$36,5,FALSE))</f>
        <v>0.685</v>
      </c>
      <c r="F16" s="38">
        <f>IF(LEFT(VLOOKUP($B16,'Indicator chart'!$D$1:$J$36,6,FALSE),1)=" "," ",VLOOKUP($B16,'Indicator chart'!$D$1:$J$36,6,FALSE))</f>
        <v>0.6379004762565755</v>
      </c>
      <c r="G16" s="38">
        <f>IF(LEFT(VLOOKUP($B16,'Indicator chart'!$D$1:$J$36,7,FALSE),1)=" "," ",VLOOKUP($B16,'Indicator chart'!$D$1:$J$36,7,FALSE))</f>
        <v>0.7285798467215427</v>
      </c>
      <c r="H16" s="50">
        <f t="shared" si="0"/>
        <v>3</v>
      </c>
      <c r="I16" s="38">
        <v>0.23958300054073334</v>
      </c>
      <c r="J16" s="38">
        <v>0.5</v>
      </c>
      <c r="K16" s="38">
        <v>0.5862069725990295</v>
      </c>
      <c r="L16" s="38">
        <v>0.6505299806594849</v>
      </c>
      <c r="M16" s="38">
        <v>0.7416269779205322</v>
      </c>
      <c r="N16" s="80">
        <f>VLOOKUP('Hide - Control'!B$3,'All practice data'!A:CA,A16+29,FALSE)</f>
        <v>0.598641930398933</v>
      </c>
      <c r="O16" s="80">
        <f>VLOOKUP('Hide - Control'!C$3,'All practice data'!A:CA,A16+29,FALSE)</f>
        <v>0.5752927626212945</v>
      </c>
      <c r="P16" s="38">
        <f>VLOOKUP('Hide - Control'!$B$4,'All practice data'!B:BC,A16+2,FALSE)</f>
        <v>9874</v>
      </c>
      <c r="Q16" s="38">
        <f>VLOOKUP('Hide - Control'!$B$4,'All practice data'!B:BJ,61,FALSE)</f>
        <v>16494</v>
      </c>
      <c r="R16" s="38">
        <f t="shared" si="17"/>
        <v>0.5911390899506218</v>
      </c>
      <c r="S16" s="38">
        <f t="shared" si="18"/>
        <v>0.606098832372502</v>
      </c>
      <c r="T16" s="53">
        <f aca="true" t="shared" si="19" ref="T16:T31">IF($C16=1,M16,I16)</f>
        <v>0.7416269779205322</v>
      </c>
      <c r="U16" s="51">
        <f aca="true" t="shared" si="20" ref="U16:U31">IF($C16=1,I16,M16)</f>
        <v>0.23958300054073334</v>
      </c>
      <c r="V16" s="7"/>
      <c r="W16" s="27">
        <f t="shared" si="2"/>
        <v>0.23958300054073334</v>
      </c>
      <c r="X16" s="27">
        <f t="shared" si="3"/>
        <v>0.9328309446573257</v>
      </c>
      <c r="Y16" s="27">
        <f t="shared" si="4"/>
        <v>0.23958300054073334</v>
      </c>
      <c r="Z16" s="27">
        <f t="shared" si="5"/>
        <v>0.9328309446573257</v>
      </c>
      <c r="AA16" s="32">
        <f t="shared" si="6"/>
        <v>0</v>
      </c>
      <c r="AB16" s="33">
        <f t="shared" si="7"/>
        <v>0.37564770536913267</v>
      </c>
      <c r="AC16" s="33">
        <v>0.5</v>
      </c>
      <c r="AD16" s="33">
        <f t="shared" si="8"/>
        <v>0.5927849964884098</v>
      </c>
      <c r="AE16" s="33">
        <f t="shared" si="9"/>
        <v>0.724191080032058</v>
      </c>
      <c r="AF16" s="33">
        <f t="shared" si="10"/>
        <v>-999</v>
      </c>
      <c r="AG16" s="33">
        <f t="shared" si="11"/>
        <v>-999</v>
      </c>
      <c r="AH16" s="33">
        <f t="shared" si="12"/>
        <v>0.6425074942369468</v>
      </c>
      <c r="AI16" s="34">
        <f t="shared" si="13"/>
        <v>0.48425641205233855</v>
      </c>
      <c r="AJ16" s="4">
        <v>12.386010120876215</v>
      </c>
      <c r="AK16" s="32">
        <f t="shared" si="14"/>
        <v>-999</v>
      </c>
      <c r="AL16" s="34">
        <f t="shared" si="15"/>
        <v>0.6425074942369468</v>
      </c>
      <c r="AY16" s="103" t="s">
        <v>341</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224</v>
      </c>
      <c r="E17" s="38">
        <f>IF(LEFT(VLOOKUP($B17,'Indicator chart'!$D$1:$J$36,5,FALSE),1)=" "," ",VLOOKUP($B17,'Indicator chart'!$D$1:$J$36,5,FALSE))</f>
        <v>1468.8524590163934</v>
      </c>
      <c r="F17" s="38">
        <f>IF(LEFT(VLOOKUP($B17,'Indicator chart'!$D$1:$J$36,6,FALSE),1)=" "," ",VLOOKUP($B17,'Indicator chart'!$D$1:$J$36,6,FALSE))</f>
        <v>1282.7711336497634</v>
      </c>
      <c r="G17" s="38">
        <f>IF(LEFT(VLOOKUP($B17,'Indicator chart'!$D$1:$J$36,7,FALSE),1)=" "," ",VLOOKUP($B17,'Indicator chart'!$D$1:$J$36,7,FALSE))</f>
        <v>1674.336352782509</v>
      </c>
      <c r="H17" s="50">
        <f t="shared" si="0"/>
        <v>1</v>
      </c>
      <c r="I17" s="38">
        <v>417.9031066894531</v>
      </c>
      <c r="J17" s="38">
        <v>1468.8524169921875</v>
      </c>
      <c r="K17" s="38">
        <v>1895.409912109375</v>
      </c>
      <c r="L17" s="38">
        <v>2739.36181640625</v>
      </c>
      <c r="M17" s="38">
        <v>6055.900390625</v>
      </c>
      <c r="N17" s="80">
        <f>VLOOKUP('Hide - Control'!B$3,'All practice data'!A:CA,A17+29,FALSE)</f>
        <v>2098.0277640504964</v>
      </c>
      <c r="O17" s="80">
        <f>VLOOKUP('Hide - Control'!C$3,'All practice data'!A:CA,A17+29,FALSE)</f>
        <v>1812.1669120472948</v>
      </c>
      <c r="P17" s="38">
        <f>VLOOKUP('Hide - Control'!$B$4,'All practice data'!B:BC,A17+2,FALSE)</f>
        <v>7472</v>
      </c>
      <c r="Q17" s="38">
        <f>VLOOKUP('Hide - Control'!$B$4,'All practice data'!B:BC,3,FALSE)</f>
        <v>356144</v>
      </c>
      <c r="R17" s="38">
        <f>100000*(P17*(1-1/(9*P17)-1.96/(3*SQRT(P17)))^3)/Q17</f>
        <v>2050.7225070362356</v>
      </c>
      <c r="S17" s="38">
        <f>100000*((P17+1)*(1-1/(9*(P17+1))+1.96/(3*SQRT(P17+1)))^3)/Q17</f>
        <v>2146.148901388835</v>
      </c>
      <c r="T17" s="53">
        <f t="shared" si="19"/>
        <v>6055.900390625</v>
      </c>
      <c r="U17" s="51">
        <f t="shared" si="20"/>
        <v>417.9031066894531</v>
      </c>
      <c r="V17" s="7"/>
      <c r="W17" s="27">
        <f t="shared" si="2"/>
        <v>-2265.08056640625</v>
      </c>
      <c r="X17" s="27">
        <f t="shared" si="3"/>
        <v>6055.900390625</v>
      </c>
      <c r="Y17" s="27">
        <f t="shared" si="4"/>
        <v>-2265.08056640625</v>
      </c>
      <c r="Z17" s="27">
        <f t="shared" si="5"/>
        <v>6055.900390625</v>
      </c>
      <c r="AA17" s="32">
        <f t="shared" si="6"/>
        <v>0.322435982842693</v>
      </c>
      <c r="AB17" s="33">
        <f t="shared" si="7"/>
        <v>0.4487371143715038</v>
      </c>
      <c r="AC17" s="33">
        <v>0.5</v>
      </c>
      <c r="AD17" s="33">
        <f t="shared" si="8"/>
        <v>0.6014245686482113</v>
      </c>
      <c r="AE17" s="33">
        <f t="shared" si="9"/>
        <v>1</v>
      </c>
      <c r="AF17" s="33">
        <f t="shared" si="10"/>
        <v>-999</v>
      </c>
      <c r="AG17" s="33">
        <f t="shared" si="11"/>
        <v>-999</v>
      </c>
      <c r="AH17" s="33">
        <f t="shared" si="12"/>
        <v>0.44873711942189465</v>
      </c>
      <c r="AI17" s="34">
        <f t="shared" si="13"/>
        <v>0.48999601122849107</v>
      </c>
      <c r="AJ17" s="4">
        <v>13.462005546258133</v>
      </c>
      <c r="AK17" s="32">
        <f t="shared" si="14"/>
        <v>0.44873711942189465</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224</v>
      </c>
      <c r="E18" s="80">
        <f>IF(LEFT(VLOOKUP($B18,'Indicator chart'!$D$1:$J$36,5,FALSE),1)=" "," ",VLOOKUP($B18,'Indicator chart'!$D$1:$J$36,5,FALSE))</f>
        <v>1.254353333</v>
      </c>
      <c r="F18" s="81">
        <f>IF(LEFT(VLOOKUP($B18,'Indicator chart'!$D$1:$J$36,6,FALSE),1)=" "," ",VLOOKUP($B18,'Indicator chart'!$D$1:$J$36,6,FALSE))</f>
        <v>1.0954551700000001</v>
      </c>
      <c r="G18" s="38">
        <f>IF(LEFT(VLOOKUP($B18,'Indicator chart'!$D$1:$J$36,7,FALSE),1)=" "," ",VLOOKUP($B18,'Indicator chart'!$D$1:$J$36,7,FALSE))</f>
        <v>1.429822083</v>
      </c>
      <c r="H18" s="50">
        <f>IF(LEFT(F18,1)=" ",4,IF(AND(ABS(N18-E18)&gt;SQRT((E18-G18)^2+(N18-R18)^2),E18&lt;N18),1,IF(AND(ABS(N18-E18)&gt;SQRT((E18-F18)^2+(N18-S18)^2),E18&gt;N18),3,2)))</f>
        <v>3</v>
      </c>
      <c r="I18" s="38">
        <v>0.2566588222980499</v>
      </c>
      <c r="J18" s="38"/>
      <c r="K18" s="38">
        <v>1</v>
      </c>
      <c r="L18" s="38"/>
      <c r="M18" s="38">
        <v>2.678666353225708</v>
      </c>
      <c r="N18" s="80">
        <v>1</v>
      </c>
      <c r="O18" s="80">
        <f>VLOOKUP('Hide - Control'!C$3,'All practice data'!A:CA,A18+29,FALSE)</f>
        <v>1</v>
      </c>
      <c r="P18" s="38">
        <f>VLOOKUP('Hide - Control'!$B$4,'All practice data'!B:BC,A18+2,FALSE)</f>
        <v>7472</v>
      </c>
      <c r="Q18" s="38">
        <f>VLOOKUP('Hide - Control'!$B$4,'All practice data'!B:BC,14,FALSE)</f>
        <v>7472</v>
      </c>
      <c r="R18" s="81">
        <v>1</v>
      </c>
      <c r="S18" s="38">
        <v>1</v>
      </c>
      <c r="T18" s="53">
        <f t="shared" si="19"/>
        <v>2.678666353225708</v>
      </c>
      <c r="U18" s="51">
        <f t="shared" si="20"/>
        <v>0.2566588222980499</v>
      </c>
      <c r="V18" s="7"/>
      <c r="W18" s="27">
        <f>IF((K18-I18)&gt;(M18-K18),I18,(K18-(M18-K18)))</f>
        <v>-0.678666353225708</v>
      </c>
      <c r="X18" s="27">
        <f t="shared" si="3"/>
        <v>2.678666353225708</v>
      </c>
      <c r="Y18" s="27">
        <f t="shared" si="4"/>
        <v>-0.678666353225708</v>
      </c>
      <c r="Z18" s="27">
        <f t="shared" si="5"/>
        <v>2.678666353225708</v>
      </c>
      <c r="AA18" s="32" t="s">
        <v>343</v>
      </c>
      <c r="AB18" s="33" t="s">
        <v>343</v>
      </c>
      <c r="AC18" s="33">
        <v>0.5</v>
      </c>
      <c r="AD18" s="33" t="s">
        <v>343</v>
      </c>
      <c r="AE18" s="33" t="s">
        <v>343</v>
      </c>
      <c r="AF18" s="33">
        <f t="shared" si="10"/>
        <v>-999</v>
      </c>
      <c r="AG18" s="33">
        <f t="shared" si="11"/>
        <v>-999</v>
      </c>
      <c r="AH18" s="33">
        <f t="shared" si="12"/>
        <v>0.5757605382723128</v>
      </c>
      <c r="AI18" s="34">
        <v>0.5</v>
      </c>
      <c r="AJ18" s="4">
        <v>14.538000971640056</v>
      </c>
      <c r="AK18" s="32">
        <f t="shared" si="14"/>
        <v>-999</v>
      </c>
      <c r="AL18" s="34">
        <f t="shared" si="15"/>
        <v>0.5757605382723128</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0.0625</v>
      </c>
      <c r="F19" s="38">
        <f>IF(LEFT(VLOOKUP($B19,'Indicator chart'!$D$1:$J$36,6,FALSE),1)=" "," ",VLOOKUP($B19,'Indicator chart'!$D$1:$J$36,6,FALSE))</f>
        <v>0.037591106720875164</v>
      </c>
      <c r="G19" s="38">
        <f>IF(LEFT(VLOOKUP($B19,'Indicator chart'!$D$1:$J$36,7,FALSE),1)=" "," ",VLOOKUP($B19,'Indicator chart'!$D$1:$J$36,7,FALSE))</f>
        <v>0.10216212534912435</v>
      </c>
      <c r="H19" s="50">
        <f t="shared" si="0"/>
        <v>2</v>
      </c>
      <c r="I19" s="38">
        <v>0.02070442959666252</v>
      </c>
      <c r="J19" s="38">
        <v>0.0625</v>
      </c>
      <c r="K19" s="38">
        <v>0.08695652335882187</v>
      </c>
      <c r="L19" s="38">
        <v>0.1133333295583725</v>
      </c>
      <c r="M19" s="38">
        <v>0.18644067645072937</v>
      </c>
      <c r="N19" s="80">
        <f>VLOOKUP('Hide - Control'!B$3,'All practice data'!A:CA,A19+29,FALSE)</f>
        <v>0.08190578158458243</v>
      </c>
      <c r="O19" s="80">
        <f>VLOOKUP('Hide - Control'!C$3,'All practice data'!A:CA,A19+29,FALSE)</f>
        <v>0.10919341638628717</v>
      </c>
      <c r="P19" s="38">
        <f>VLOOKUP('Hide - Control'!$B$4,'All practice data'!B:BC,A19+2,FALSE)</f>
        <v>612</v>
      </c>
      <c r="Q19" s="38">
        <f>VLOOKUP('Hide - Control'!$B$4,'All practice data'!B:BC,15,FALSE)</f>
        <v>7472</v>
      </c>
      <c r="R19" s="38">
        <f>+((2*P19+1.96^2-1.96*SQRT(1.96^2+4*P19*(1-P19/Q19)))/(2*(Q19+1.96^2)))</f>
        <v>0.07590068747218169</v>
      </c>
      <c r="S19" s="38">
        <f>+((2*P19+1.96^2+1.96*SQRT(1.96^2+4*P19*(1-P19/Q19)))/(2*(Q19+1.96^2)))</f>
        <v>0.08834056664962849</v>
      </c>
      <c r="T19" s="53">
        <f t="shared" si="19"/>
        <v>0.18644067645072937</v>
      </c>
      <c r="U19" s="51">
        <f t="shared" si="20"/>
        <v>0.02070442959666252</v>
      </c>
      <c r="V19" s="7"/>
      <c r="W19" s="27">
        <f t="shared" si="2"/>
        <v>-0.012527629733085632</v>
      </c>
      <c r="X19" s="27">
        <f t="shared" si="3"/>
        <v>0.18644067645072937</v>
      </c>
      <c r="Y19" s="27">
        <f t="shared" si="4"/>
        <v>-0.012527629733085632</v>
      </c>
      <c r="Z19" s="27">
        <f t="shared" si="5"/>
        <v>0.18644067645072937</v>
      </c>
      <c r="AA19" s="32">
        <f t="shared" si="6"/>
        <v>0.16702187382068293</v>
      </c>
      <c r="AB19" s="33">
        <f t="shared" si="7"/>
        <v>0.3770833213193867</v>
      </c>
      <c r="AC19" s="33">
        <v>0.5</v>
      </c>
      <c r="AD19" s="33">
        <f t="shared" si="8"/>
        <v>0.6325678782990828</v>
      </c>
      <c r="AE19" s="33">
        <f t="shared" si="9"/>
        <v>1</v>
      </c>
      <c r="AF19" s="33">
        <f t="shared" si="10"/>
        <v>-999</v>
      </c>
      <c r="AG19" s="33">
        <f t="shared" si="11"/>
        <v>0.3770833213193867</v>
      </c>
      <c r="AH19" s="33">
        <f t="shared" si="12"/>
        <v>-999</v>
      </c>
      <c r="AI19" s="34">
        <f t="shared" si="13"/>
        <v>0.611760980700725</v>
      </c>
      <c r="AJ19" s="4">
        <v>15.61399639702198</v>
      </c>
      <c r="AK19" s="32">
        <f t="shared" si="14"/>
        <v>-999</v>
      </c>
      <c r="AL19" s="34">
        <f t="shared" si="15"/>
        <v>-999</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0.45161290322580644</v>
      </c>
      <c r="F20" s="38">
        <f>IF(LEFT(VLOOKUP($B20,'Indicator chart'!$D$1:$J$36,6,FALSE),1)=" "," ",VLOOKUP($B20,'Indicator chart'!$D$1:$J$36,6,FALSE))</f>
        <v>0.2916148283658611</v>
      </c>
      <c r="G20" s="38">
        <f>IF(LEFT(VLOOKUP($B20,'Indicator chart'!$D$1:$J$36,7,FALSE),1)=" "," ",VLOOKUP($B20,'Indicator chart'!$D$1:$J$36,7,FALSE))</f>
        <v>0.6222812039633087</v>
      </c>
      <c r="H20" s="50">
        <f t="shared" si="0"/>
        <v>2</v>
      </c>
      <c r="I20" s="38">
        <v>0.09238772839307785</v>
      </c>
      <c r="J20" s="38">
        <v>0.3333333432674408</v>
      </c>
      <c r="K20" s="38">
        <v>0.4545454680919647</v>
      </c>
      <c r="L20" s="38">
        <v>0.5625</v>
      </c>
      <c r="M20" s="38">
        <v>1</v>
      </c>
      <c r="N20" s="80">
        <f>VLOOKUP('Hide - Control'!B$3,'All practice data'!A:CA,A20+29,FALSE)</f>
        <v>0.4751552795031056</v>
      </c>
      <c r="O20" s="80">
        <f>VLOOKUP('Hide - Control'!C$3,'All practice data'!A:CA,A20+29,FALSE)</f>
        <v>0.4534552930810221</v>
      </c>
      <c r="P20" s="38">
        <f>VLOOKUP('Hide - Control'!$B$4,'All practice data'!B:BC,A20+1,FALSE)</f>
        <v>612</v>
      </c>
      <c r="Q20" s="38">
        <f>VLOOKUP('Hide - Control'!$B$4,'All practice data'!B:BC,A20+2,FALSE)</f>
        <v>1288</v>
      </c>
      <c r="R20" s="38">
        <f>+((2*P20+1.96^2-1.96*SQRT(1.96^2+4*P20*(1-P20/Q20)))/(2*(Q20+1.96^2)))</f>
        <v>0.4479967414497717</v>
      </c>
      <c r="S20" s="38">
        <f>+((2*P20+1.96^2+1.96*SQRT(1.96^2+4*P20*(1-P20/Q20)))/(2*(Q20+1.96^2)))</f>
        <v>0.5024615809947137</v>
      </c>
      <c r="T20" s="53">
        <f t="shared" si="19"/>
        <v>1</v>
      </c>
      <c r="U20" s="51">
        <f t="shared" si="20"/>
        <v>0.09238772839307785</v>
      </c>
      <c r="V20" s="7"/>
      <c r="W20" s="27">
        <f t="shared" si="2"/>
        <v>-0.09090906381607056</v>
      </c>
      <c r="X20" s="27">
        <f t="shared" si="3"/>
        <v>1</v>
      </c>
      <c r="Y20" s="27">
        <f t="shared" si="4"/>
        <v>-0.09090906381607056</v>
      </c>
      <c r="Z20" s="27">
        <f t="shared" si="5"/>
        <v>1</v>
      </c>
      <c r="AA20" s="32">
        <f t="shared" si="6"/>
        <v>0.1680220636979258</v>
      </c>
      <c r="AB20" s="33">
        <f t="shared" si="7"/>
        <v>0.3888888828180453</v>
      </c>
      <c r="AC20" s="33">
        <v>0.5</v>
      </c>
      <c r="AD20" s="33">
        <f t="shared" si="8"/>
        <v>0.5989583233733555</v>
      </c>
      <c r="AE20" s="33">
        <f t="shared" si="9"/>
        <v>1</v>
      </c>
      <c r="AF20" s="33">
        <f t="shared" si="10"/>
        <v>-999</v>
      </c>
      <c r="AG20" s="33">
        <f t="shared" si="11"/>
        <v>0.4973118154725932</v>
      </c>
      <c r="AH20" s="33">
        <f t="shared" si="12"/>
        <v>-999</v>
      </c>
      <c r="AI20" s="34">
        <f t="shared" si="13"/>
        <v>0.4990006728818173</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177.04918032786884</v>
      </c>
      <c r="F21" s="38">
        <f>IF(LEFT(VLOOKUP($B21,'Indicator chart'!$D$1:$J$36,6,FALSE),1)=" "," ",VLOOKUP($B21,'Indicator chart'!$D$1:$J$36,6,FALSE))</f>
        <v>116.6480181906667</v>
      </c>
      <c r="G21" s="38">
        <f>IF(LEFT(VLOOKUP($B21,'Indicator chart'!$D$1:$J$36,7,FALSE),1)=" "," ",VLOOKUP($B21,'Indicator chart'!$D$1:$J$36,7,FALSE))</f>
        <v>257.60877057559634</v>
      </c>
      <c r="H21" s="50">
        <f t="shared" si="0"/>
        <v>1</v>
      </c>
      <c r="I21" s="38">
        <v>61.46357345581055</v>
      </c>
      <c r="J21" s="38">
        <v>292.5531921386719</v>
      </c>
      <c r="K21" s="38">
        <v>445.45635986328125</v>
      </c>
      <c r="L21" s="38">
        <v>555.2617797851562</v>
      </c>
      <c r="M21" s="38">
        <v>1224.9827880859375</v>
      </c>
      <c r="N21" s="80">
        <f>VLOOKUP('Hide - Control'!B$3,'All practice data'!A:CA,A21+29,FALSE)</f>
        <v>441.39449211554876</v>
      </c>
      <c r="O21" s="80">
        <f>VLOOKUP('Hide - Control'!C$3,'All practice data'!A:CA,A21+29,FALSE)</f>
        <v>377.7293140102421</v>
      </c>
      <c r="P21" s="38">
        <f>VLOOKUP('Hide - Control'!$B$4,'All practice data'!B:BC,A21+2,FALSE)</f>
        <v>1572</v>
      </c>
      <c r="Q21" s="38">
        <f>VLOOKUP('Hide - Control'!$B$4,'All practice data'!B:BC,3,FALSE)</f>
        <v>356144</v>
      </c>
      <c r="R21" s="38">
        <f aca="true" t="shared" si="21" ref="R21:R27">100000*(P21*(1-1/(9*P21)-1.96/(3*SQRT(P21)))^3)/Q21</f>
        <v>419.841443992025</v>
      </c>
      <c r="S21" s="38">
        <f aca="true" t="shared" si="22" ref="S21:S27">100000*((P21+1)*(1-1/(9*(P21+1))+1.96/(3*SQRT(P21+1)))^3)/Q21</f>
        <v>463.76714711139834</v>
      </c>
      <c r="T21" s="53">
        <f t="shared" si="19"/>
        <v>1224.9827880859375</v>
      </c>
      <c r="U21" s="51">
        <f t="shared" si="20"/>
        <v>61.46357345581055</v>
      </c>
      <c r="V21" s="7"/>
      <c r="W21" s="27">
        <f t="shared" si="2"/>
        <v>-334.070068359375</v>
      </c>
      <c r="X21" s="27">
        <f t="shared" si="3"/>
        <v>1224.9827880859375</v>
      </c>
      <c r="Y21" s="27">
        <f t="shared" si="4"/>
        <v>-334.070068359375</v>
      </c>
      <c r="Z21" s="27">
        <f t="shared" si="5"/>
        <v>1224.9827880859375</v>
      </c>
      <c r="AA21" s="32">
        <f t="shared" si="6"/>
        <v>0.2537012393005162</v>
      </c>
      <c r="AB21" s="33">
        <f t="shared" si="7"/>
        <v>0.4019256036814344</v>
      </c>
      <c r="AC21" s="33">
        <v>0.5</v>
      </c>
      <c r="AD21" s="33">
        <f t="shared" si="8"/>
        <v>0.5704308513132997</v>
      </c>
      <c r="AE21" s="33">
        <f t="shared" si="9"/>
        <v>1</v>
      </c>
      <c r="AF21" s="33">
        <f t="shared" si="10"/>
        <v>-999</v>
      </c>
      <c r="AG21" s="33">
        <f t="shared" si="11"/>
        <v>-999</v>
      </c>
      <c r="AH21" s="33">
        <f t="shared" si="12"/>
        <v>0.3278395896420158</v>
      </c>
      <c r="AI21" s="34">
        <f t="shared" si="13"/>
        <v>0.45655885201515306</v>
      </c>
      <c r="AJ21" s="4">
        <v>17.765987247785823</v>
      </c>
      <c r="AK21" s="32">
        <f t="shared" si="14"/>
        <v>0.3278395896420158</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196.72131147540983</v>
      </c>
      <c r="F22" s="38">
        <f>IF(LEFT(VLOOKUP($B22,'Indicator chart'!$D$1:$J$36,6,FALSE),1)=" "," ",VLOOKUP($B22,'Indicator chart'!$D$1:$J$36,6,FALSE))</f>
        <v>132.70024502160538</v>
      </c>
      <c r="G22" s="38">
        <f>IF(LEFT(VLOOKUP($B22,'Indicator chart'!$D$1:$J$36,7,FALSE),1)=" "," ",VLOOKUP($B22,'Indicator chart'!$D$1:$J$36,7,FALSE))</f>
        <v>280.84341432673284</v>
      </c>
      <c r="H22" s="50">
        <f t="shared" si="0"/>
        <v>1</v>
      </c>
      <c r="I22" s="38">
        <v>18.07059669494629</v>
      </c>
      <c r="J22" s="38">
        <v>163.74269104003906</v>
      </c>
      <c r="K22" s="38">
        <v>293.6241760253906</v>
      </c>
      <c r="L22" s="38">
        <v>402.3759460449219</v>
      </c>
      <c r="M22" s="38">
        <v>1104.2098388671875</v>
      </c>
      <c r="N22" s="80">
        <f>VLOOKUP('Hide - Control'!B$3,'All practice data'!A:CA,A22+29,FALSE)</f>
        <v>322.06073947616693</v>
      </c>
      <c r="O22" s="80">
        <f>VLOOKUP('Hide - Control'!C$3,'All practice data'!A:CA,A22+29,FALSE)</f>
        <v>282.45290788403287</v>
      </c>
      <c r="P22" s="38">
        <f>VLOOKUP('Hide - Control'!$B$4,'All practice data'!B:BC,A22+2,FALSE)</f>
        <v>1147</v>
      </c>
      <c r="Q22" s="38">
        <f>VLOOKUP('Hide - Control'!$B$4,'All practice data'!B:BC,3,FALSE)</f>
        <v>356144</v>
      </c>
      <c r="R22" s="38">
        <f t="shared" si="21"/>
        <v>303.6894213192162</v>
      </c>
      <c r="S22" s="38">
        <f t="shared" si="22"/>
        <v>341.25283480944285</v>
      </c>
      <c r="T22" s="53">
        <f t="shared" si="19"/>
        <v>1104.2098388671875</v>
      </c>
      <c r="U22" s="51">
        <f t="shared" si="20"/>
        <v>18.07059669494629</v>
      </c>
      <c r="V22" s="7"/>
      <c r="W22" s="27">
        <f t="shared" si="2"/>
        <v>-516.9614868164062</v>
      </c>
      <c r="X22" s="27">
        <f t="shared" si="3"/>
        <v>1104.2098388671875</v>
      </c>
      <c r="Y22" s="27">
        <f t="shared" si="4"/>
        <v>-516.9614868164062</v>
      </c>
      <c r="Z22" s="27">
        <f t="shared" si="5"/>
        <v>1104.2098388671875</v>
      </c>
      <c r="AA22" s="32">
        <f t="shared" si="6"/>
        <v>0.3300280945234134</v>
      </c>
      <c r="AB22" s="33">
        <f t="shared" si="7"/>
        <v>0.41988417082902396</v>
      </c>
      <c r="AC22" s="33">
        <v>0.5</v>
      </c>
      <c r="AD22" s="33">
        <f t="shared" si="8"/>
        <v>0.5670822190700137</v>
      </c>
      <c r="AE22" s="33">
        <f t="shared" si="9"/>
        <v>1</v>
      </c>
      <c r="AF22" s="33">
        <f t="shared" si="10"/>
        <v>-999</v>
      </c>
      <c r="AG22" s="33">
        <f t="shared" si="11"/>
        <v>-999</v>
      </c>
      <c r="AH22" s="33">
        <f t="shared" si="12"/>
        <v>0.4402266355105189</v>
      </c>
      <c r="AI22" s="34">
        <f t="shared" si="13"/>
        <v>0.49310913784103155</v>
      </c>
      <c r="AJ22" s="4">
        <v>18.841982673167745</v>
      </c>
      <c r="AK22" s="32">
        <f t="shared" si="14"/>
        <v>0.4402266355105189</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46.0405158996582</v>
      </c>
      <c r="K23" s="38">
        <v>72.26179504394531</v>
      </c>
      <c r="L23" s="38">
        <v>105.4574203491211</v>
      </c>
      <c r="M23" s="38">
        <v>301.07525634765625</v>
      </c>
      <c r="N23" s="80">
        <f>VLOOKUP('Hide - Control'!B$3,'All practice data'!A:CA,A23+29,FALSE)</f>
        <v>73.84653398625275</v>
      </c>
      <c r="O23" s="80">
        <f>VLOOKUP('Hide - Control'!C$3,'All practice data'!A:CA,A23+29,FALSE)</f>
        <v>70.46674929228394</v>
      </c>
      <c r="P23" s="38">
        <f>VLOOKUP('Hide - Control'!$B$4,'All practice data'!B:BC,A23+2,FALSE)</f>
        <v>263</v>
      </c>
      <c r="Q23" s="38">
        <f>VLOOKUP('Hide - Control'!$B$4,'All practice data'!B:BC,3,FALSE)</f>
        <v>356144</v>
      </c>
      <c r="R23" s="38">
        <f t="shared" si="21"/>
        <v>65.19009085853256</v>
      </c>
      <c r="S23" s="38">
        <f t="shared" si="22"/>
        <v>83.33241449805189</v>
      </c>
      <c r="T23" s="53">
        <f t="shared" si="19"/>
        <v>301.07525634765625</v>
      </c>
      <c r="U23" s="51">
        <f t="shared" si="20"/>
        <v>3.248678207397461</v>
      </c>
      <c r="V23" s="7"/>
      <c r="W23" s="27">
        <f t="shared" si="2"/>
        <v>-156.55166625976562</v>
      </c>
      <c r="X23" s="27">
        <f t="shared" si="3"/>
        <v>301.07525634765625</v>
      </c>
      <c r="Y23" s="27">
        <f t="shared" si="4"/>
        <v>-156.55166625976562</v>
      </c>
      <c r="Z23" s="27">
        <f t="shared" si="5"/>
        <v>301.07525634765625</v>
      </c>
      <c r="AA23" s="32">
        <f t="shared" si="6"/>
        <v>0.3491934949033775</v>
      </c>
      <c r="AB23" s="33">
        <f t="shared" si="7"/>
        <v>0.4427016247320283</v>
      </c>
      <c r="AC23" s="33">
        <v>0.5</v>
      </c>
      <c r="AD23" s="33">
        <f t="shared" si="8"/>
        <v>0.5725386197036595</v>
      </c>
      <c r="AE23" s="33">
        <f t="shared" si="9"/>
        <v>1</v>
      </c>
      <c r="AF23" s="33">
        <f t="shared" si="10"/>
        <v>-999</v>
      </c>
      <c r="AG23" s="33">
        <f t="shared" si="11"/>
        <v>-999</v>
      </c>
      <c r="AH23" s="33">
        <f t="shared" si="12"/>
        <v>-999</v>
      </c>
      <c r="AI23" s="34">
        <f t="shared" si="13"/>
        <v>0.4960774909364297</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51</v>
      </c>
      <c r="E24" s="38">
        <f>IF(LEFT(VLOOKUP($B24,'Indicator chart'!$D$1:$J$36,5,FALSE),1)=" "," ",VLOOKUP($B24,'Indicator chart'!$D$1:$J$36,5,FALSE))</f>
        <v>334.42622950819674</v>
      </c>
      <c r="F24" s="38">
        <f>IF(LEFT(VLOOKUP($B24,'Indicator chart'!$D$1:$J$36,6,FALSE),1)=" "," ",VLOOKUP($B24,'Indicator chart'!$D$1:$J$36,6,FALSE))</f>
        <v>248.98235951441478</v>
      </c>
      <c r="G24" s="38">
        <f>IF(LEFT(VLOOKUP($B24,'Indicator chart'!$D$1:$J$36,7,FALSE),1)=" "," ",VLOOKUP($B24,'Indicator chart'!$D$1:$J$36,7,FALSE))</f>
        <v>439.71982262755114</v>
      </c>
      <c r="H24" s="50">
        <f t="shared" si="0"/>
        <v>2</v>
      </c>
      <c r="I24" s="38">
        <v>27.3076171875</v>
      </c>
      <c r="J24" s="38">
        <v>194.33648681640625</v>
      </c>
      <c r="K24" s="38">
        <v>311.0199890136719</v>
      </c>
      <c r="L24" s="38">
        <v>481.2834167480469</v>
      </c>
      <c r="M24" s="38">
        <v>2181.2080078125</v>
      </c>
      <c r="N24" s="80">
        <f>VLOOKUP('Hide - Control'!B$3,'All practice data'!A:CA,A24+29,FALSE)</f>
        <v>359.68596972011323</v>
      </c>
      <c r="O24" s="80">
        <f>VLOOKUP('Hide - Control'!C$3,'All practice data'!A:CA,A24+29,FALSE)</f>
        <v>323.23046266988894</v>
      </c>
      <c r="P24" s="38">
        <f>VLOOKUP('Hide - Control'!$B$4,'All practice data'!B:BC,A24+2,FALSE)</f>
        <v>1281</v>
      </c>
      <c r="Q24" s="38">
        <f>VLOOKUP('Hide - Control'!$B$4,'All practice data'!B:BC,3,FALSE)</f>
        <v>356144</v>
      </c>
      <c r="R24" s="38">
        <f t="shared" si="21"/>
        <v>340.2559124374388</v>
      </c>
      <c r="S24" s="38">
        <f t="shared" si="22"/>
        <v>379.9363730568781</v>
      </c>
      <c r="T24" s="53">
        <f t="shared" si="19"/>
        <v>2181.2080078125</v>
      </c>
      <c r="U24" s="51">
        <f t="shared" si="20"/>
        <v>27.3076171875</v>
      </c>
      <c r="V24" s="7"/>
      <c r="W24" s="27">
        <f t="shared" si="2"/>
        <v>-1559.1680297851562</v>
      </c>
      <c r="X24" s="27">
        <f t="shared" si="3"/>
        <v>2181.2080078125</v>
      </c>
      <c r="Y24" s="27">
        <f t="shared" si="4"/>
        <v>-1559.1680297851562</v>
      </c>
      <c r="Z24" s="27">
        <f t="shared" si="5"/>
        <v>2181.2080078125</v>
      </c>
      <c r="AA24" s="32">
        <f t="shared" si="6"/>
        <v>0.4241487035061874</v>
      </c>
      <c r="AB24" s="33">
        <f t="shared" si="7"/>
        <v>0.46880433918291053</v>
      </c>
      <c r="AC24" s="33">
        <v>0.5</v>
      </c>
      <c r="AD24" s="33">
        <f t="shared" si="8"/>
        <v>0.5455204038371849</v>
      </c>
      <c r="AE24" s="33">
        <f t="shared" si="9"/>
        <v>1</v>
      </c>
      <c r="AF24" s="33">
        <f t="shared" si="10"/>
        <v>-999</v>
      </c>
      <c r="AG24" s="33">
        <f t="shared" si="11"/>
        <v>0.5062577238917289</v>
      </c>
      <c r="AH24" s="33">
        <f t="shared" si="12"/>
        <v>-999</v>
      </c>
      <c r="AI24" s="34">
        <f t="shared" si="13"/>
        <v>0.5032645042994286</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59</v>
      </c>
      <c r="E25" s="38">
        <f>IF(LEFT(VLOOKUP($B25,'Indicator chart'!$D$1:$J$36,5,FALSE),1)=" "," ",VLOOKUP($B25,'Indicator chart'!$D$1:$J$36,5,FALSE))</f>
        <v>386.88524590163934</v>
      </c>
      <c r="F25" s="38">
        <f>IF(LEFT(VLOOKUP($B25,'Indicator chart'!$D$1:$J$36,6,FALSE),1)=" "," ",VLOOKUP($B25,'Indicator chart'!$D$1:$J$36,6,FALSE))</f>
        <v>294.49649338976195</v>
      </c>
      <c r="G25" s="38">
        <f>IF(LEFT(VLOOKUP($B25,'Indicator chart'!$D$1:$J$36,7,FALSE),1)=" "," ",VLOOKUP($B25,'Indicator chart'!$D$1:$J$36,7,FALSE))</f>
        <v>499.0646854329278</v>
      </c>
      <c r="H25" s="50">
        <f t="shared" si="0"/>
        <v>1</v>
      </c>
      <c r="I25" s="38">
        <v>154.40040588378906</v>
      </c>
      <c r="J25" s="38">
        <v>488.2017822265625</v>
      </c>
      <c r="K25" s="38">
        <v>671.6154174804688</v>
      </c>
      <c r="L25" s="38">
        <v>817.2950439453125</v>
      </c>
      <c r="M25" s="38">
        <v>1449.275390625</v>
      </c>
      <c r="N25" s="80">
        <f>VLOOKUP('Hide - Control'!B$3,'All practice data'!A:CA,A25+29,FALSE)</f>
        <v>677.2541443910328</v>
      </c>
      <c r="O25" s="80">
        <f>VLOOKUP('Hide - Control'!C$3,'All practice data'!A:CA,A25+29,FALSE)</f>
        <v>562.6134400960308</v>
      </c>
      <c r="P25" s="38">
        <f>VLOOKUP('Hide - Control'!$B$4,'All practice data'!B:BC,A25+2,FALSE)</f>
        <v>2412</v>
      </c>
      <c r="Q25" s="38">
        <f>VLOOKUP('Hide - Control'!$B$4,'All practice data'!B:BC,3,FALSE)</f>
        <v>356144</v>
      </c>
      <c r="R25" s="38">
        <f t="shared" si="21"/>
        <v>650.4926652967463</v>
      </c>
      <c r="S25" s="38">
        <f t="shared" si="22"/>
        <v>704.8339064512061</v>
      </c>
      <c r="T25" s="53">
        <f t="shared" si="19"/>
        <v>1449.275390625</v>
      </c>
      <c r="U25" s="51">
        <f t="shared" si="20"/>
        <v>154.40040588378906</v>
      </c>
      <c r="V25" s="7"/>
      <c r="W25" s="27">
        <f t="shared" si="2"/>
        <v>-106.0445556640625</v>
      </c>
      <c r="X25" s="27">
        <f t="shared" si="3"/>
        <v>1449.275390625</v>
      </c>
      <c r="Y25" s="27">
        <f t="shared" si="4"/>
        <v>-106.0445556640625</v>
      </c>
      <c r="Z25" s="27">
        <f t="shared" si="5"/>
        <v>1449.275390625</v>
      </c>
      <c r="AA25" s="32">
        <f t="shared" si="6"/>
        <v>0.16745426699455881</v>
      </c>
      <c r="AB25" s="33">
        <f t="shared" si="7"/>
        <v>0.3820733729471389</v>
      </c>
      <c r="AC25" s="33">
        <v>0.5</v>
      </c>
      <c r="AD25" s="33">
        <f t="shared" si="8"/>
        <v>0.5936653752897789</v>
      </c>
      <c r="AE25" s="33">
        <f t="shared" si="9"/>
        <v>1</v>
      </c>
      <c r="AF25" s="33">
        <f t="shared" si="10"/>
        <v>-999</v>
      </c>
      <c r="AG25" s="33">
        <f t="shared" si="11"/>
        <v>-999</v>
      </c>
      <c r="AH25" s="33">
        <f t="shared" si="12"/>
        <v>0.31693144728312306</v>
      </c>
      <c r="AI25" s="34">
        <f t="shared" si="13"/>
        <v>0.4299166852167538</v>
      </c>
      <c r="AJ25" s="4">
        <v>22.06996894931352</v>
      </c>
      <c r="AK25" s="32">
        <f t="shared" si="14"/>
        <v>0.31693144728312306</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37</v>
      </c>
      <c r="E26" s="38">
        <f>IF(LEFT(VLOOKUP($B26,'Indicator chart'!$D$1:$J$36,5,FALSE),1)=" "," ",VLOOKUP($B26,'Indicator chart'!$D$1:$J$36,5,FALSE))</f>
        <v>242.62295081967213</v>
      </c>
      <c r="F26" s="38">
        <f>IF(LEFT(VLOOKUP($B26,'Indicator chart'!$D$1:$J$36,6,FALSE),1)=" "," ",VLOOKUP($B26,'Indicator chart'!$D$1:$J$36,6,FALSE))</f>
        <v>170.80518784187777</v>
      </c>
      <c r="G26" s="38">
        <f>IF(LEFT(VLOOKUP($B26,'Indicator chart'!$D$1:$J$36,7,FALSE),1)=" "," ",VLOOKUP($B26,'Indicator chart'!$D$1:$J$36,7,FALSE))</f>
        <v>334.4351916524001</v>
      </c>
      <c r="H26" s="50">
        <f t="shared" si="0"/>
        <v>1</v>
      </c>
      <c r="I26" s="38">
        <v>112.1823501586914</v>
      </c>
      <c r="J26" s="38">
        <v>284.38311767578125</v>
      </c>
      <c r="K26" s="38">
        <v>356.3650817871094</v>
      </c>
      <c r="L26" s="38">
        <v>475.4358215332031</v>
      </c>
      <c r="M26" s="38">
        <v>1122.3751220703125</v>
      </c>
      <c r="N26" s="80">
        <f>VLOOKUP('Hide - Control'!B$3,'All practice data'!A:CA,A26+29,FALSE)</f>
        <v>374.006020036839</v>
      </c>
      <c r="O26" s="80">
        <f>VLOOKUP('Hide - Control'!C$3,'All practice data'!A:CA,A26+29,FALSE)</f>
        <v>405.57105879375996</v>
      </c>
      <c r="P26" s="38">
        <f>VLOOKUP('Hide - Control'!$B$4,'All practice data'!B:BC,A26+2,FALSE)</f>
        <v>1332</v>
      </c>
      <c r="Q26" s="38">
        <f>VLOOKUP('Hide - Control'!$B$4,'All practice data'!B:BC,3,FALSE)</f>
        <v>356144</v>
      </c>
      <c r="R26" s="38">
        <f t="shared" si="21"/>
        <v>354.18766741652684</v>
      </c>
      <c r="S26" s="38">
        <f t="shared" si="22"/>
        <v>394.6445719135823</v>
      </c>
      <c r="T26" s="53">
        <f t="shared" si="19"/>
        <v>1122.3751220703125</v>
      </c>
      <c r="U26" s="51">
        <f t="shared" si="20"/>
        <v>112.1823501586914</v>
      </c>
      <c r="V26" s="7"/>
      <c r="W26" s="27">
        <f t="shared" si="2"/>
        <v>-409.64495849609375</v>
      </c>
      <c r="X26" s="27">
        <f t="shared" si="3"/>
        <v>1122.3751220703125</v>
      </c>
      <c r="Y26" s="27">
        <f t="shared" si="4"/>
        <v>-409.64495849609375</v>
      </c>
      <c r="Z26" s="27">
        <f t="shared" si="5"/>
        <v>1122.3751220703125</v>
      </c>
      <c r="AA26" s="32">
        <f t="shared" si="6"/>
        <v>0.3406138831168971</v>
      </c>
      <c r="AB26" s="33">
        <f t="shared" si="7"/>
        <v>0.4530149995914443</v>
      </c>
      <c r="AC26" s="33">
        <v>0.5</v>
      </c>
      <c r="AD26" s="33">
        <f t="shared" si="8"/>
        <v>0.5777213962509368</v>
      </c>
      <c r="AE26" s="33">
        <f t="shared" si="9"/>
        <v>1</v>
      </c>
      <c r="AF26" s="33">
        <f t="shared" si="10"/>
        <v>-999</v>
      </c>
      <c r="AG26" s="33">
        <f t="shared" si="11"/>
        <v>-999</v>
      </c>
      <c r="AH26" s="33">
        <f t="shared" si="12"/>
        <v>0.42575676232299425</v>
      </c>
      <c r="AI26" s="34">
        <f t="shared" si="13"/>
        <v>0.5321183629580485</v>
      </c>
      <c r="AJ26" s="4">
        <v>23.145964374695435</v>
      </c>
      <c r="AK26" s="32">
        <f t="shared" si="14"/>
        <v>0.42575676232299425</v>
      </c>
      <c r="AL26" s="34">
        <f t="shared" si="15"/>
        <v>-999</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629.5081967213115</v>
      </c>
      <c r="F27" s="38">
        <f>IF(LEFT(VLOOKUP($B27,'Indicator chart'!$D$1:$J$36,6,FALSE),1)=" "," ",VLOOKUP($B27,'Indicator chart'!$D$1:$J$36,6,FALSE))</f>
        <v>509.88898180054457</v>
      </c>
      <c r="G27" s="38">
        <f>IF(LEFT(VLOOKUP($B27,'Indicator chart'!$D$1:$J$36,7,FALSE),1)=" "," ",VLOOKUP($B27,'Indicator chart'!$D$1:$J$36,7,FALSE))</f>
        <v>768.7474927565762</v>
      </c>
      <c r="H27" s="50">
        <f t="shared" si="0"/>
        <v>1</v>
      </c>
      <c r="I27" s="38">
        <v>411.73443603515625</v>
      </c>
      <c r="J27" s="38">
        <v>884.1053466796875</v>
      </c>
      <c r="K27" s="38">
        <v>1135.891357421875</v>
      </c>
      <c r="L27" s="38">
        <v>1335.113525390625</v>
      </c>
      <c r="M27" s="38">
        <v>1984.126953125</v>
      </c>
      <c r="N27" s="80">
        <f>VLOOKUP('Hide - Control'!B$3,'All practice data'!A:CA,A27+29,FALSE)</f>
        <v>1113.3137158003503</v>
      </c>
      <c r="O27" s="80">
        <f>VLOOKUP('Hide - Control'!C$3,'All practice data'!A:CA,A27+29,FALSE)</f>
        <v>1059.3522061277838</v>
      </c>
      <c r="P27" s="38">
        <f>VLOOKUP('Hide - Control'!$B$4,'All practice data'!B:BC,A27+2,FALSE)</f>
        <v>3965</v>
      </c>
      <c r="Q27" s="38">
        <f>VLOOKUP('Hide - Control'!$B$4,'All practice data'!B:BC,3,FALSE)</f>
        <v>356144</v>
      </c>
      <c r="R27" s="38">
        <f t="shared" si="21"/>
        <v>1078.926473439468</v>
      </c>
      <c r="S27" s="38">
        <f t="shared" si="22"/>
        <v>1148.518018016884</v>
      </c>
      <c r="T27" s="53">
        <f t="shared" si="19"/>
        <v>1984.126953125</v>
      </c>
      <c r="U27" s="51">
        <f t="shared" si="20"/>
        <v>411.73443603515625</v>
      </c>
      <c r="V27" s="7"/>
      <c r="W27" s="27">
        <f t="shared" si="2"/>
        <v>287.65576171875</v>
      </c>
      <c r="X27" s="27">
        <f t="shared" si="3"/>
        <v>1984.126953125</v>
      </c>
      <c r="Y27" s="27">
        <f t="shared" si="4"/>
        <v>287.65576171875</v>
      </c>
      <c r="Z27" s="27">
        <f t="shared" si="5"/>
        <v>1984.126953125</v>
      </c>
      <c r="AA27" s="32">
        <f t="shared" si="6"/>
        <v>0.07313927577724096</v>
      </c>
      <c r="AB27" s="33">
        <f t="shared" si="7"/>
        <v>0.35158250136067715</v>
      </c>
      <c r="AC27" s="33">
        <v>0.5</v>
      </c>
      <c r="AD27" s="33">
        <f t="shared" si="8"/>
        <v>0.6174332750110596</v>
      </c>
      <c r="AE27" s="33">
        <f t="shared" si="9"/>
        <v>1</v>
      </c>
      <c r="AF27" s="33">
        <f t="shared" si="10"/>
        <v>-999</v>
      </c>
      <c r="AG27" s="33">
        <f t="shared" si="11"/>
        <v>-999</v>
      </c>
      <c r="AH27" s="33">
        <f t="shared" si="12"/>
        <v>0.20150795176143896</v>
      </c>
      <c r="AI27" s="34">
        <f t="shared" si="13"/>
        <v>0.45488331798275583</v>
      </c>
      <c r="AJ27" s="4">
        <v>24.221959800077364</v>
      </c>
      <c r="AK27" s="32">
        <f t="shared" si="14"/>
        <v>0.20150795176143896</v>
      </c>
      <c r="AL27" s="34">
        <f t="shared" si="15"/>
        <v>-999</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308.1967213114754</v>
      </c>
      <c r="F28" s="38">
        <f>IF(LEFT(VLOOKUP($B28,'Indicator chart'!$D$1:$J$36,6,FALSE),1)=" "," ",VLOOKUP($B28,'Indicator chart'!$D$1:$J$36,6,FALSE))</f>
        <v>226.4305358043574</v>
      </c>
      <c r="G28" s="38">
        <f>IF(LEFT(VLOOKUP($B28,'Indicator chart'!$D$1:$J$36,7,FALSE),1)=" "," ",VLOOKUP($B28,'Indicator chart'!$D$1:$J$36,7,FALSE))</f>
        <v>409.84749206641015</v>
      </c>
      <c r="H28" s="50">
        <f t="shared" si="0"/>
        <v>1</v>
      </c>
      <c r="I28" s="38">
        <v>155.9251708984375</v>
      </c>
      <c r="J28" s="38">
        <v>427.17657470703125</v>
      </c>
      <c r="K28" s="38">
        <v>577.94189453125</v>
      </c>
      <c r="L28" s="38">
        <v>797.5302124023438</v>
      </c>
      <c r="M28" s="38">
        <v>1216.4429931640625</v>
      </c>
      <c r="N28" s="80">
        <f>VLOOKUP('Hide - Control'!B$3,'All practice data'!A:CA,A28+29,FALSE)</f>
        <v>584.314209982479</v>
      </c>
      <c r="O28" s="80">
        <f>VLOOKUP('Hide - Control'!C$3,'All practice data'!A:CA,A28+29,FALSE)</f>
        <v>582.9390489900089</v>
      </c>
      <c r="P28" s="38">
        <f>VLOOKUP('Hide - Control'!$B$4,'All practice data'!B:BC,A28+2,FALSE)</f>
        <v>2081</v>
      </c>
      <c r="Q28" s="38">
        <f>VLOOKUP('Hide - Control'!$B$4,'All practice data'!B:BC,3,FALSE)</f>
        <v>356144</v>
      </c>
      <c r="R28" s="38">
        <f>100000*(P28*(1-1/(9*P28)-1.96/(3*SQRT(P28)))^3)/Q28</f>
        <v>559.4757584569157</v>
      </c>
      <c r="S28" s="38">
        <f>100000*((P28+1)*(1-1/(9*(P28+1))+1.96/(3*SQRT(P28+1)))^3)/Q28</f>
        <v>609.9713696368449</v>
      </c>
      <c r="T28" s="53">
        <f t="shared" si="19"/>
        <v>1216.4429931640625</v>
      </c>
      <c r="U28" s="51">
        <f t="shared" si="20"/>
        <v>155.9251708984375</v>
      </c>
      <c r="V28" s="7"/>
      <c r="W28" s="27">
        <f t="shared" si="2"/>
        <v>-60.5592041015625</v>
      </c>
      <c r="X28" s="27">
        <f t="shared" si="3"/>
        <v>1216.4429931640625</v>
      </c>
      <c r="Y28" s="27">
        <f t="shared" si="4"/>
        <v>-60.5592041015625</v>
      </c>
      <c r="Z28" s="27">
        <f t="shared" si="5"/>
        <v>1216.4429931640625</v>
      </c>
      <c r="AA28" s="32">
        <f t="shared" si="6"/>
        <v>0.16952545223770651</v>
      </c>
      <c r="AB28" s="33">
        <f t="shared" si="7"/>
        <v>0.38193808895000786</v>
      </c>
      <c r="AC28" s="33">
        <v>0.5</v>
      </c>
      <c r="AD28" s="33">
        <f t="shared" si="8"/>
        <v>0.6719561002645776</v>
      </c>
      <c r="AE28" s="33">
        <f t="shared" si="9"/>
        <v>1</v>
      </c>
      <c r="AF28" s="33">
        <f t="shared" si="10"/>
        <v>-999</v>
      </c>
      <c r="AG28" s="33">
        <f t="shared" si="11"/>
        <v>-999</v>
      </c>
      <c r="AH28" s="33">
        <f t="shared" si="12"/>
        <v>0.2887668683755085</v>
      </c>
      <c r="AI28" s="34">
        <f t="shared" si="13"/>
        <v>0.5039131917466227</v>
      </c>
      <c r="AJ28" s="4">
        <v>25.297955225459287</v>
      </c>
      <c r="AK28" s="32">
        <f t="shared" si="14"/>
        <v>0.2887668683755085</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599</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432</v>
      </c>
      <c r="C3" s="56" t="s">
        <v>24</v>
      </c>
    </row>
    <row r="4" spans="1:2" ht="12.75">
      <c r="A4" s="76">
        <v>1</v>
      </c>
      <c r="B4" s="78" t="s">
        <v>159</v>
      </c>
    </row>
    <row r="5" ht="12.75">
      <c r="A5" s="280" t="s">
        <v>533</v>
      </c>
    </row>
    <row r="6" ht="12.75">
      <c r="A6" s="280" t="s">
        <v>564</v>
      </c>
    </row>
    <row r="7" ht="12.75">
      <c r="A7" s="280" t="s">
        <v>552</v>
      </c>
    </row>
    <row r="8" ht="12.75">
      <c r="A8" s="280" t="s">
        <v>585</v>
      </c>
    </row>
    <row r="9" ht="12.75">
      <c r="A9" s="280" t="s">
        <v>531</v>
      </c>
    </row>
    <row r="10" ht="12.75">
      <c r="A10" s="280" t="s">
        <v>563</v>
      </c>
    </row>
    <row r="11" ht="12.75">
      <c r="A11" s="280" t="s">
        <v>589</v>
      </c>
    </row>
    <row r="12" ht="12.75">
      <c r="A12" s="280" t="s">
        <v>556</v>
      </c>
    </row>
    <row r="13" ht="12.75">
      <c r="A13" s="280" t="s">
        <v>555</v>
      </c>
    </row>
    <row r="14" ht="12.75">
      <c r="A14" s="280" t="s">
        <v>570</v>
      </c>
    </row>
    <row r="15" ht="12.75">
      <c r="A15" s="280" t="s">
        <v>575</v>
      </c>
    </row>
    <row r="16" ht="12.75">
      <c r="A16" s="280" t="s">
        <v>586</v>
      </c>
    </row>
    <row r="17" ht="12.75">
      <c r="A17" s="280" t="s">
        <v>538</v>
      </c>
    </row>
    <row r="18" ht="12.75">
      <c r="A18" s="280" t="s">
        <v>539</v>
      </c>
    </row>
    <row r="19" ht="12.75">
      <c r="A19" s="280" t="s">
        <v>576</v>
      </c>
    </row>
    <row r="20" ht="12.75">
      <c r="A20" s="280" t="s">
        <v>577</v>
      </c>
    </row>
    <row r="21" ht="12.75">
      <c r="A21" s="280" t="s">
        <v>581</v>
      </c>
    </row>
    <row r="22" ht="12.75">
      <c r="A22" s="280" t="s">
        <v>561</v>
      </c>
    </row>
    <row r="23" ht="12.75">
      <c r="A23" s="280" t="s">
        <v>534</v>
      </c>
    </row>
    <row r="24" ht="12.75">
      <c r="A24" s="280" t="s">
        <v>578</v>
      </c>
    </row>
    <row r="25" ht="12.75">
      <c r="A25" s="280" t="s">
        <v>566</v>
      </c>
    </row>
    <row r="26" ht="12.75">
      <c r="A26" s="280" t="s">
        <v>558</v>
      </c>
    </row>
    <row r="27" ht="12.75">
      <c r="A27" s="280" t="s">
        <v>542</v>
      </c>
    </row>
    <row r="28" ht="12.75">
      <c r="A28" s="280" t="s">
        <v>582</v>
      </c>
    </row>
    <row r="29" ht="12.75">
      <c r="A29" s="280" t="s">
        <v>535</v>
      </c>
    </row>
    <row r="30" ht="12.75">
      <c r="A30" s="280" t="s">
        <v>557</v>
      </c>
    </row>
    <row r="31" ht="12.75">
      <c r="A31" s="280" t="s">
        <v>544</v>
      </c>
    </row>
    <row r="32" ht="12.75">
      <c r="A32" s="280" t="s">
        <v>573</v>
      </c>
    </row>
    <row r="33" ht="12.75">
      <c r="A33" s="280" t="s">
        <v>574</v>
      </c>
    </row>
    <row r="34" ht="12.75">
      <c r="A34" s="280" t="s">
        <v>567</v>
      </c>
    </row>
    <row r="35" ht="12.75">
      <c r="A35" s="280" t="s">
        <v>546</v>
      </c>
    </row>
    <row r="36" ht="12.75">
      <c r="A36" s="280" t="s">
        <v>547</v>
      </c>
    </row>
    <row r="37" ht="12.75">
      <c r="A37" s="280" t="s">
        <v>569</v>
      </c>
    </row>
    <row r="38" ht="12.75">
      <c r="A38" s="280" t="s">
        <v>568</v>
      </c>
    </row>
    <row r="39" ht="12.75">
      <c r="A39" s="280" t="s">
        <v>529</v>
      </c>
    </row>
    <row r="40" ht="12.75">
      <c r="A40" s="280" t="s">
        <v>536</v>
      </c>
    </row>
    <row r="41" ht="12.75">
      <c r="A41" s="280" t="s">
        <v>541</v>
      </c>
    </row>
    <row r="42" ht="12.75">
      <c r="A42" s="280" t="s">
        <v>562</v>
      </c>
    </row>
    <row r="43" ht="12.75">
      <c r="A43" s="280" t="s">
        <v>532</v>
      </c>
    </row>
    <row r="44" ht="12.75">
      <c r="A44" s="280" t="s">
        <v>550</v>
      </c>
    </row>
    <row r="45" ht="12.75">
      <c r="A45" s="280" t="s">
        <v>579</v>
      </c>
    </row>
    <row r="46" ht="12.75">
      <c r="A46" s="280" t="s">
        <v>583</v>
      </c>
    </row>
    <row r="47" ht="12.75">
      <c r="A47" s="280" t="s">
        <v>545</v>
      </c>
    </row>
    <row r="48" ht="12.75">
      <c r="A48" s="280" t="s">
        <v>580</v>
      </c>
    </row>
    <row r="49" ht="12.75">
      <c r="A49" s="280" t="s">
        <v>554</v>
      </c>
    </row>
    <row r="50" ht="12.75">
      <c r="A50" s="280" t="s">
        <v>540</v>
      </c>
    </row>
    <row r="51" ht="12.75">
      <c r="A51" s="280" t="s">
        <v>543</v>
      </c>
    </row>
    <row r="52" ht="12.75">
      <c r="A52" s="280" t="s">
        <v>537</v>
      </c>
    </row>
    <row r="53" ht="12.75">
      <c r="A53" s="280" t="s">
        <v>584</v>
      </c>
    </row>
    <row r="54" ht="12.75">
      <c r="A54" s="280" t="s">
        <v>588</v>
      </c>
    </row>
    <row r="55" ht="12.75">
      <c r="A55" s="280" t="s">
        <v>565</v>
      </c>
    </row>
    <row r="56" ht="12.75">
      <c r="A56" s="280" t="s">
        <v>551</v>
      </c>
    </row>
    <row r="57" ht="12.75">
      <c r="A57" s="280" t="s">
        <v>548</v>
      </c>
    </row>
    <row r="58" ht="12.75">
      <c r="A58" s="280" t="s">
        <v>559</v>
      </c>
    </row>
    <row r="59" ht="12.75">
      <c r="A59" s="280" t="s">
        <v>530</v>
      </c>
    </row>
    <row r="60" ht="12.75">
      <c r="A60" s="280" t="s">
        <v>553</v>
      </c>
    </row>
    <row r="61" ht="12.75">
      <c r="A61" s="280" t="s">
        <v>571</v>
      </c>
    </row>
    <row r="62" ht="12.75">
      <c r="A62" s="280" t="s">
        <v>549</v>
      </c>
    </row>
    <row r="63" ht="12.75">
      <c r="A63" s="280" t="s">
        <v>560</v>
      </c>
    </row>
    <row r="64" ht="12.75">
      <c r="A64" s="280" t="s">
        <v>587</v>
      </c>
    </row>
    <row r="65" ht="12.75">
      <c r="A65" s="280" t="s">
        <v>572</v>
      </c>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