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<sst xmlns="http://schemas.openxmlformats.org/spreadsheetml/2006/main" count="2076" uniqueCount="622">
  <si>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</si>
  <si>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</si>
  <si>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</si>
  <si>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</si>
  <si>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</si>
  <si>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</si>
  <si>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</si>
  <si>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</si>
  <si>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</si>
  <si>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</si>
  <si>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</si>
  <si>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</si>
  <si>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</si>
  <si>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</si>
  <si>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</si>
  <si>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</si>
  <si>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</si>
  <si>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</si>
  <si>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</si>
  <si>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</si>
  <si>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</si>
  <si>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</si>
  <si>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</si>
  <si>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</si>
  <si>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</si>
  <si>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</si>
  <si>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</si>
  <si>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</si>
  <si>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</si>
  <si>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</si>
  <si>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</si>
  <si>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</si>
  <si>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</si>
  <si>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</si>
  <si>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</si>
  <si>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</si>
  <si>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</si>
  <si>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</si>
  <si>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</si>
  <si>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</si>
  <si>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</si>
  <si>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</si>
  <si>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</si>
  <si>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</si>
  <si>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</si>
  <si>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</si>
  <si>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</si>
  <si>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</si>
  <si>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</si>
  <si>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</si>
  <si>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</si>
  <si>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</si>
  <si>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</si>
  <si>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</si>
  <si>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</si>
  <si>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</si>
  <si>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</si>
  <si>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</si>
  <si>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</si>
  <si>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</si>
  <si>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</si>
  <si>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</si>
  <si>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</si>
  <si>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</si>
  <si>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</si>
  <si>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</si>
  <si>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</si>
  <si>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</si>
  <si>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</si>
  <si>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</si>
  <si>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</si>
  <si>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</si>
  <si>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</si>
  <si>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</si>
  <si>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</si>
  <si>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</si>
  <si>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</si>
  <si>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</si>
  <si>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</si>
  <si>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</si>
  <si>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</si>
  <si>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</si>
  <si>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</si>
  <si>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</si>
  <si>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</si>
  <si>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</si>
  <si>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</si>
  <si>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</si>
  <si>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</si>
  <si>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</si>
  <si>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</si>
  <si>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</si>
  <si>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</si>
  <si>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</si>
  <si>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</si>
  <si>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</si>
  <si>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</si>
  <si>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</si>
  <si>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</si>
  <si>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</si>
  <si>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</si>
  <si>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</si>
  <si>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</si>
  <si>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</si>
  <si>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</si>
  <si>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</si>
  <si>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</si>
  <si>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</si>
  <si>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</si>
  <si>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</si>
  <si>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</si>
  <si>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</si>
  <si>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</si>
  <si>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</si>
  <si>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</si>
  <si>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</si>
  <si>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</si>
  <si>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</si>
  <si>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</si>
  <si>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</si>
  <si>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</si>
  <si>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</si>
  <si>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</si>
  <si>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</si>
  <si>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</si>
  <si>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</si>
  <si>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</si>
  <si>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</si>
  <si>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</si>
  <si>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</si>
  <si>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</si>
  <si>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</si>
  <si>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</si>
  <si>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</si>
  <si>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</si>
  <si>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</si>
  <si>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</si>
  <si>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</si>
  <si>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</si>
  <si>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</si>
  <si>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</si>
  <si>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</si>
  <si>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</si>
  <si>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</si>
  <si>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</si>
  <si>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</si>
  <si>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</si>
  <si>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</si>
  <si>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</si>
  <si>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</si>
  <si>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</si>
  <si>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</si>
  <si>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</si>
  <si>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</si>
  <si>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</si>
  <si>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</si>
  <si>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</si>
  <si>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</si>
  <si>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</si>
  <si>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</si>
  <si>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</si>
  <si>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</si>
  <si>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</si>
  <si>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</si>
  <si>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</si>
  <si>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</si>
  <si>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</si>
  <si>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</si>
  <si>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</si>
  <si>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</si>
  <si>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</si>
  <si>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</si>
  <si>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</si>
  <si>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</si>
  <si>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</si>
  <si>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</si>
  <si>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</si>
  <si>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</si>
  <si>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</si>
  <si>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</si>
  <si>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</si>
  <si>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</si>
  <si>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</si>
  <si>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</si>
  <si>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</si>
  <si>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</si>
  <si>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</si>
  <si>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</si>
  <si>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</si>
  <si>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</si>
  <si>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</si>
  <si>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</si>
  <si>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</si>
  <si>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</si>
  <si>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</si>
  <si>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</si>
  <si>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</si>
  <si>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</si>
  <si>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</si>
  <si>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</si>
  <si>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</si>
  <si>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</si>
  <si>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</si>
  <si>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</si>
  <si>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</si>
  <si>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</si>
  <si>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</si>
  <si>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</si>
  <si>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</si>
  <si>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</si>
  <si>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</si>
  <si>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</si>
  <si>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</si>
  <si>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</si>
  <si>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</si>
  <si>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</si>
  <si>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</si>
  <si>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</si>
  <si>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</si>
  <si>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</si>
  <si>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</si>
  <si>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</si>
  <si>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</si>
  <si>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</si>
  <si>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</si>
  <si>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</si>
  <si>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</si>
  <si>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</si>
  <si>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</si>
  <si>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</si>
  <si>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</si>
  <si>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</si>
  <si>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</si>
  <si>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</si>
  <si>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</si>
  <si>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</si>
  <si>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</si>
  <si>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</si>
  <si>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</si>
  <si>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</si>
  <si>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</si>
  <si>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</si>
  <si>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</si>
  <si>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</si>
  <si>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</si>
  <si>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</si>
  <si>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</si>
  <si>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</si>
  <si>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</si>
  <si>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</si>
  <si>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</si>
  <si>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</si>
  <si>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</si>
  <si>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</si>
  <si>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</si>
  <si>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</si>
  <si>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</si>
  <si>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</si>
  <si>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</si>
  <si>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</si>
  <si>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</si>
  <si>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</si>
  <si>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</si>
  <si>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</si>
  <si>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</si>
  <si>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</si>
  <si>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</si>
  <si>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</si>
  <si>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</si>
  <si>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</si>
  <si>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</si>
  <si>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</si>
  <si>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</si>
  <si>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</si>
  <si>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</si>
  <si>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</si>
  <si>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</si>
  <si>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</si>
  <si>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</si>
  <si>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</si>
  <si>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</si>
  <si>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</si>
  <si>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B85001</t>
  </si>
  <si>
    <t>B85002</t>
  </si>
  <si>
    <t>B85004</t>
  </si>
  <si>
    <t>B85005</t>
  </si>
  <si>
    <t>B85006</t>
  </si>
  <si>
    <t>B85008</t>
  </si>
  <si>
    <t>B85009</t>
  </si>
  <si>
    <t>B85010</t>
  </si>
  <si>
    <t>B85011</t>
  </si>
  <si>
    <t>B85012</t>
  </si>
  <si>
    <t>B85014</t>
  </si>
  <si>
    <t>B85015</t>
  </si>
  <si>
    <t>B85016</t>
  </si>
  <si>
    <t>B85018</t>
  </si>
  <si>
    <t>B85019</t>
  </si>
  <si>
    <t>B85020</t>
  </si>
  <si>
    <t>B85021</t>
  </si>
  <si>
    <t>B85022</t>
  </si>
  <si>
    <t>B85023</t>
  </si>
  <si>
    <t>B85024</t>
  </si>
  <si>
    <t>B85025</t>
  </si>
  <si>
    <t>B85026</t>
  </si>
  <si>
    <t>B85027</t>
  </si>
  <si>
    <t>B85028</t>
  </si>
  <si>
    <t>B85030</t>
  </si>
  <si>
    <t>B85031</t>
  </si>
  <si>
    <t>B85032</t>
  </si>
  <si>
    <t>B85033</t>
  </si>
  <si>
    <t>B85036</t>
  </si>
  <si>
    <t>B85037</t>
  </si>
  <si>
    <t>B85038</t>
  </si>
  <si>
    <t>B85040</t>
  </si>
  <si>
    <t>B85041</t>
  </si>
  <si>
    <t>B85042</t>
  </si>
  <si>
    <t>B85044</t>
  </si>
  <si>
    <t>B85048</t>
  </si>
  <si>
    <t>B85051</t>
  </si>
  <si>
    <t>B85054</t>
  </si>
  <si>
    <t>B85055</t>
  </si>
  <si>
    <t>B85058</t>
  </si>
  <si>
    <t>B85059</t>
  </si>
  <si>
    <t>B85060</t>
  </si>
  <si>
    <t>B85061</t>
  </si>
  <si>
    <t>B85062</t>
  </si>
  <si>
    <t>B85606</t>
  </si>
  <si>
    <t>B85610</t>
  </si>
  <si>
    <t>B85611</t>
  </si>
  <si>
    <t>B85612</t>
  </si>
  <si>
    <t>B85614</t>
  </si>
  <si>
    <t>B85619</t>
  </si>
  <si>
    <t>B85620</t>
  </si>
  <si>
    <t>B85621</t>
  </si>
  <si>
    <t>B85622</t>
  </si>
  <si>
    <t>B85623</t>
  </si>
  <si>
    <t>B85625</t>
  </si>
  <si>
    <t>B85628</t>
  </si>
  <si>
    <t>B85629</t>
  </si>
  <si>
    <t>B85634</t>
  </si>
  <si>
    <t>B85636</t>
  </si>
  <si>
    <t>B85638</t>
  </si>
  <si>
    <t>B85640</t>
  </si>
  <si>
    <t>B85641</t>
  </si>
  <si>
    <t>B85644</t>
  </si>
  <si>
    <t>B85645</t>
  </si>
  <si>
    <t>B85646</t>
  </si>
  <si>
    <t>B85650</t>
  </si>
  <si>
    <t>B85652</t>
  </si>
  <si>
    <t>B85655</t>
  </si>
  <si>
    <t>B85659</t>
  </si>
  <si>
    <t>B85660</t>
  </si>
  <si>
    <t>5CC</t>
  </si>
  <si>
    <t>Y01851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</si>
  <si>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</si>
  <si>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</si>
  <si>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</si>
  <si>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</si>
  <si>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</si>
  <si>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</si>
  <si>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</si>
  <si>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</si>
  <si>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</si>
  <si>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</si>
  <si>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</si>
  <si>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</si>
  <si>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</si>
  <si>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</si>
  <si>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</si>
  <si>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</si>
  <si>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</si>
  <si>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</si>
  <si>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</si>
  <si>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</si>
  <si>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</si>
  <si>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</si>
  <si>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</si>
  <si>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</si>
  <si>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</si>
  <si>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</si>
  <si>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</si>
  <si>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</si>
  <si>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</si>
  <si>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</si>
  <si>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</si>
  <si>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</si>
  <si>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</si>
  <si>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</si>
  <si>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</si>
  <si>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</si>
  <si>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</si>
  <si>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</si>
  <si>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</si>
  <si>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</si>
  <si>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</si>
  <si>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</si>
  <si>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</si>
  <si>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</si>
  <si>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</si>
  <si>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</si>
  <si>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</si>
  <si>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</si>
  <si>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</si>
  <si>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</si>
  <si>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</si>
  <si>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</si>
  <si>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</si>
  <si>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</si>
  <si>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</si>
  <si>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</si>
  <si>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</si>
  <si>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</si>
  <si>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</si>
  <si>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</si>
  <si>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</si>
  <si>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</si>
  <si>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</si>
  <si>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</si>
  <si>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</si>
  <si>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</si>
  <si>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</si>
  <si>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</si>
  <si>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</si>
  <si>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</si>
  <si>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</si>
  <si>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</si>
  <si>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</si>
  <si>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</si>
  <si>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</si>
  <si>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</si>
  <si>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</si>
  <si>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</si>
  <si>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</si>
  <si>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</si>
  <si>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</si>
  <si>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</si>
  <si>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</si>
  <si>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</si>
  <si>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</si>
  <si>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</si>
  <si>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</si>
  <si>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</si>
  <si>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</si>
  <si>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</si>
  <si>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</si>
  <si>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</si>
  <si>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</si>
  <si>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</si>
  <si>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</si>
  <si>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</si>
  <si>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</si>
  <si>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</si>
  <si>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</si>
  <si>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</si>
  <si>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</si>
  <si>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</si>
  <si>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</si>
  <si>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</si>
  <si>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</si>
  <si>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</si>
  <si>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</si>
  <si>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</si>
  <si>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</si>
  <si>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</si>
  <si>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</si>
  <si>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</si>
  <si>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</si>
  <si>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</si>
  <si>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</si>
  <si>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</si>
  <si>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</si>
  <si>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</si>
  <si>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</si>
  <si>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</si>
  <si>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</si>
  <si>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</si>
  <si>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</si>
  <si>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</si>
  <si>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</si>
  <si>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</si>
  <si>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</si>
  <si>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</si>
  <si>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</si>
  <si>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</si>
  <si>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</si>
  <si>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</si>
  <si>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</si>
  <si>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</si>
  <si>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</si>
  <si>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</si>
  <si>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</si>
  <si>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</si>
  <si>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</si>
  <si>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</si>
  <si>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</si>
  <si>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</si>
  <si>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</si>
  <si>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</si>
  <si>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</si>
  <si>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</si>
  <si>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</si>
  <si>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</si>
  <si>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</si>
  <si>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</si>
  <si>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</si>
  <si>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</si>
  <si>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</si>
  <si>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</si>
  <si>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</si>
  <si>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</si>
  <si>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</si>
  <si>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</si>
  <si>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</si>
  <si>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</si>
  <si>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</si>
  <si>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</si>
  <si>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</si>
  <si>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</si>
  <si>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</si>
  <si>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</si>
  <si>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</si>
  <si>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</si>
  <si>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</si>
  <si>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</si>
  <si>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</si>
  <si>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</si>
  <si>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</si>
  <si>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</si>
  <si>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</si>
  <si>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</si>
  <si>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</si>
  <si>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</si>
  <si>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</si>
  <si>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</si>
  <si>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</si>
  <si>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</si>
  <si>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</si>
  <si>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</si>
  <si>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</si>
  <si>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(B85001) PARKVIEW SURGERY</t>
  </si>
  <si>
    <t>(B85002) DEARNE VALLEY HEALTH CENTRE</t>
  </si>
  <si>
    <t>(B85004) HALIFAX ROAD SURGERY</t>
  </si>
  <si>
    <t>(B85005) SHEPLEY HEALTH CENTRE</t>
  </si>
  <si>
    <t>(B85008) BATLEY HEALTH CENTRE SURGERY</t>
  </si>
  <si>
    <t>(B85010) DALTON SURGERY</t>
  </si>
  <si>
    <t>(B85011) COLNE VALLEY FAMILY DOCTORS</t>
  </si>
  <si>
    <t>(B85012) UNDERCLIFFE SURGERY</t>
  </si>
  <si>
    <t>(B85014) BROOKROYD HOUSE</t>
  </si>
  <si>
    <t>(B85015) WELLINGTON HOUSE</t>
  </si>
  <si>
    <t>(B85016) MELTHAM ROAD SURGERY</t>
  </si>
  <si>
    <t>(B85018) GROVE HOUSE SURGERY</t>
  </si>
  <si>
    <t>(B85019) DOCTOR LANE HEALTH CENTRE</t>
  </si>
  <si>
    <t>(B85020) EIGHTLANDS SURGERY</t>
  </si>
  <si>
    <t>(B85021) ST. JOHN'S HOUSE</t>
  </si>
  <si>
    <t>(B85022) HONLEY SURGERY</t>
  </si>
  <si>
    <t>(B85023) THE ALMONDBURY SURGERY</t>
  </si>
  <si>
    <t>(B85024) THE WATERLOO PRACTICE</t>
  </si>
  <si>
    <t>(B85025) BLACKBURN RD.MEDICAL CENTRE</t>
  </si>
  <si>
    <t>(B85026) KIRKBURTON HEALTH CENTRE</t>
  </si>
  <si>
    <t>(B85027) THE LINDLEY GROUP PRACTICE</t>
  </si>
  <si>
    <t>(B85028) THE GRANGE GROUP PRACTICE</t>
  </si>
  <si>
    <t>(B85030) SCRIVINGS CLECKHEATON HEALTH CENTRE</t>
  </si>
  <si>
    <t>(B85031) DR BARNWELL AND PARTNERS</t>
  </si>
  <si>
    <t>(B85032) MELTHAM GROUP PRACTICE</t>
  </si>
  <si>
    <t>(B85033) THE LINDLEY VILLAGE SURGERY</t>
  </si>
  <si>
    <t>(B85036) DR BOULTON AND PARTNERS</t>
  </si>
  <si>
    <t>(B85037) DR HAMID AND PARTNERS</t>
  </si>
  <si>
    <t>(B85038) THE PADDOCK SURGERY</t>
  </si>
  <si>
    <t>(B85041) MOUNT PLEASANT MEDICAL CENTRE</t>
  </si>
  <si>
    <t>(B85042) PADDOCK AND LONGWOOD FAMILY PRACTICE</t>
  </si>
  <si>
    <t>(B85044) THORNTON LODGE SURGERY</t>
  </si>
  <si>
    <t>(B85048) WOODHOUSE HILL SURGERY</t>
  </si>
  <si>
    <t>(B85051) FIELDHEAD SURGERY</t>
  </si>
  <si>
    <t>(B85054) MARSDEN HEALTH CENTRE</t>
  </si>
  <si>
    <t>(B85055) WEST PARK SURGERY</t>
  </si>
  <si>
    <t>(B85058) DR GLENCROSS</t>
  </si>
  <si>
    <t>(B85059) SLAITHWAITE HEALTH CENTRE</t>
  </si>
  <si>
    <t>(B85061) SKELMANTHORPE FAMILY DOCTORS</t>
  </si>
  <si>
    <t>(B85062) UNIVERSITY HEALTH CENTRE</t>
  </si>
  <si>
    <t>(B85606) SLAITHWAITE ROAD SURGERY</t>
  </si>
  <si>
    <t>(B85610) OAKLANDS HEALTH CENTRE</t>
  </si>
  <si>
    <t>(B85612) LIVERSEDGE MEDICAL CENTRE</t>
  </si>
  <si>
    <t>(B85619) ALBION STREET SURGERY</t>
  </si>
  <si>
    <t>(B85620) WINDSOR MEDICAL CENTRE</t>
  </si>
  <si>
    <t>(B85621) GREENSIDE SURGERY</t>
  </si>
  <si>
    <t>(B85622) BROUGHTON HOUSE SURGERY</t>
  </si>
  <si>
    <t>(B85623) MARSH SURGERY</t>
  </si>
  <si>
    <t>(B85628) DR GOWA</t>
  </si>
  <si>
    <t>(B85629) DR T UNNIKRISHNAN'S PRACTICE</t>
  </si>
  <si>
    <t>(B85634) DR SINGH</t>
  </si>
  <si>
    <t>(B85636) WESTBOURNE SURGERY</t>
  </si>
  <si>
    <t>(B85640) KIRKGATE SURGERY</t>
  </si>
  <si>
    <t>(B85644) MELTHAM VILLAGE SURGERY</t>
  </si>
  <si>
    <t>(B85645) SAVILE TOWN MEDICAL CENTRE</t>
  </si>
  <si>
    <t>(B85646) THE ALBION MOUNT MEDICAL PRACTICE</t>
  </si>
  <si>
    <t>(B85650) RAVENSTHORPE HEALTH CENTRE</t>
  </si>
  <si>
    <t>(B85652) THE NEW BREWERY LANE SURGERY</t>
  </si>
  <si>
    <t>(B85655) CHERRY TREE SURGERY</t>
  </si>
  <si>
    <t>(B85659) THE WHITEHOUSE CENTRE</t>
  </si>
  <si>
    <t>(B85660) THE JUNCTION SURGERY</t>
  </si>
  <si>
    <t>(Y01851) VICTORIA MEDICAL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</si>
  <si>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</si>
  <si>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</si>
  <si>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</si>
  <si>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</si>
  <si>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</si>
  <si>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</si>
  <si>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</si>
  <si>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</si>
  <si>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</si>
  <si>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</si>
  <si>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(B85006) DR JENNISON + PARTNERS</t>
  </si>
  <si>
    <t>(B85009) DR CHANDRA + PARTNERS</t>
  </si>
  <si>
    <t>(B85040) DR TAYLOR + PARTNERS</t>
  </si>
  <si>
    <t>(B85060) DR WYBREW + PARTNER</t>
  </si>
  <si>
    <t>(B85611) DR HANDA + PARTNER</t>
  </si>
  <si>
    <t>(B85614) DR BUTT + PARTNER</t>
  </si>
  <si>
    <t>(B85625) DR REDDY + PARTNER</t>
  </si>
  <si>
    <t>(B85638) DR HARIHARAN + PARTNER</t>
  </si>
  <si>
    <t>(B85641) LOCKWOOD + CROSLAND MOOR GROUP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</si>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</sst>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0.9999999570158833</c:v>
                </c:pt>
                <c:pt idx="4">
                  <c:v>1</c:v>
                </c:pt>
                <c:pt idx="5">
                  <c:v>1</c:v>
                </c:pt>
                <c:pt idx="6">
                  <c:v>1</c:v>
                </c:pt>
                <c:pt idx="7">
                  <c:v>0.6899895891800724</c:v>
                </c:pt>
                <c:pt idx="8">
                  <c:v>0.7912084447664438</c:v>
                </c:pt>
                <c:pt idx="9">
                  <c:v>0.756133065198477</c:v>
                </c:pt>
                <c:pt idx="10">
                  <c:v>0.7514352837006041</c:v>
                </c:pt>
                <c:pt idx="11">
                  <c:v>0.7114277750632819</c:v>
                </c:pt>
                <c:pt idx="12">
                  <c:v>1</c:v>
                </c:pt>
                <c:pt idx="13">
                  <c:v>0</c:v>
                </c:pt>
                <c:pt idx="14">
                  <c:v>1</c:v>
                </c:pt>
                <c:pt idx="15">
                  <c:v>1</c:v>
                </c:pt>
                <c:pt idx="16">
                  <c:v>1</c:v>
                </c:pt>
                <c:pt idx="17">
                  <c:v>1</c:v>
                </c:pt>
                <c:pt idx="18">
                  <c:v>1</c:v>
                </c:pt>
                <c:pt idx="19">
                  <c:v>1</c:v>
                </c:pt>
                <c:pt idx="20">
                  <c:v>0.9580788763540654</c:v>
                </c:pt>
                <c:pt idx="21">
                  <c:v>1</c:v>
                </c:pt>
                <c:pt idx="22">
                  <c:v>0.9560984881240632</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0.5459820973002617</c:v>
                </c:pt>
                <c:pt idx="3">
                  <c:v>0.6730768641115322</c:v>
                </c:pt>
                <c:pt idx="4">
                  <c:v>0.6157052785123189</c:v>
                </c:pt>
                <c:pt idx="5">
                  <c:v>0.5629705802081681</c:v>
                </c:pt>
                <c:pt idx="6">
                  <c:v>0.6764705721224459</c:v>
                </c:pt>
                <c:pt idx="7">
                  <c:v>0.5754675483663619</c:v>
                </c:pt>
                <c:pt idx="8">
                  <c:v>0.6425040582486324</c:v>
                </c:pt>
                <c:pt idx="9">
                  <c:v>0.5988465998859952</c:v>
                </c:pt>
                <c:pt idx="10">
                  <c:v>0.6643751380080481</c:v>
                </c:pt>
                <c:pt idx="11">
                  <c:v>0.6040892283382673</c:v>
                </c:pt>
                <c:pt idx="12">
                  <c:v>0.5583150502214035</c:v>
                </c:pt>
                <c:pt idx="13">
                  <c:v>0</c:v>
                </c:pt>
                <c:pt idx="14">
                  <c:v>0.5567831403770058</c:v>
                </c:pt>
                <c:pt idx="15">
                  <c:v>0.576923091633198</c:v>
                </c:pt>
                <c:pt idx="16">
                  <c:v>0.5602131792008019</c:v>
                </c:pt>
                <c:pt idx="17">
                  <c:v>0.5795511900377905</c:v>
                </c:pt>
                <c:pt idx="18">
                  <c:v>0.5779712623010392</c:v>
                </c:pt>
                <c:pt idx="19">
                  <c:v>0.5870034947942703</c:v>
                </c:pt>
                <c:pt idx="20">
                  <c:v>0.5965229021148568</c:v>
                </c:pt>
                <c:pt idx="21">
                  <c:v>0.6677587237617306</c:v>
                </c:pt>
                <c:pt idx="22">
                  <c:v>0.5813828587171505</c:v>
                </c:pt>
                <c:pt idx="23">
                  <c:v>0.581179000464704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0.4078067396820673</c:v>
                </c:pt>
                <c:pt idx="3">
                  <c:v>0.24999999283598054</c:v>
                </c:pt>
                <c:pt idx="4">
                  <c:v>0.31123315602718826</c:v>
                </c:pt>
                <c:pt idx="5">
                  <c:v>0.436131772026514</c:v>
                </c:pt>
                <c:pt idx="6">
                  <c:v>0.4117646865469351</c:v>
                </c:pt>
                <c:pt idx="7">
                  <c:v>0.38532284987268034</c:v>
                </c:pt>
                <c:pt idx="8">
                  <c:v>0.30769180616712943</c:v>
                </c:pt>
                <c:pt idx="9">
                  <c:v>0.42935568332704116</c:v>
                </c:pt>
                <c:pt idx="10">
                  <c:v>0.360979023142874</c:v>
                </c:pt>
                <c:pt idx="11">
                  <c:v>0.3854263099039291</c:v>
                </c:pt>
                <c:pt idx="12">
                  <c:v>0.4362644010068856</c:v>
                </c:pt>
                <c:pt idx="13">
                  <c:v>0</c:v>
                </c:pt>
                <c:pt idx="14">
                  <c:v>0.43343438726107314</c:v>
                </c:pt>
                <c:pt idx="15">
                  <c:v>0.43720927678568355</c:v>
                </c:pt>
                <c:pt idx="16">
                  <c:v>0.4529070200366024</c:v>
                </c:pt>
                <c:pt idx="17">
                  <c:v>0.40010859611468297</c:v>
                </c:pt>
                <c:pt idx="18">
                  <c:v>0.3616745317059734</c:v>
                </c:pt>
                <c:pt idx="19">
                  <c:v>0.4336283441077799</c:v>
                </c:pt>
                <c:pt idx="20">
                  <c:v>0.3168662125299118</c:v>
                </c:pt>
                <c:pt idx="21">
                  <c:v>0.38000822995622774</c:v>
                </c:pt>
                <c:pt idx="22">
                  <c:v>0.3820844586204756</c:v>
                </c:pt>
                <c:pt idx="23">
                  <c:v>0.4376798485371501</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0.046779957391309766</c:v>
                </c:pt>
                <c:pt idx="3">
                  <c:v>0</c:v>
                </c:pt>
                <c:pt idx="4">
                  <c:v>0.11338846894918336</c:v>
                </c:pt>
                <c:pt idx="5">
                  <c:v>0.33454624848047443</c:v>
                </c:pt>
                <c:pt idx="6">
                  <c:v>0.17647056869846567</c:v>
                </c:pt>
                <c:pt idx="7">
                  <c:v>0</c:v>
                </c:pt>
                <c:pt idx="8">
                  <c:v>0</c:v>
                </c:pt>
                <c:pt idx="9">
                  <c:v>0</c:v>
                </c:pt>
                <c:pt idx="10">
                  <c:v>0</c:v>
                </c:pt>
                <c:pt idx="11">
                  <c:v>0</c:v>
                </c:pt>
                <c:pt idx="12">
                  <c:v>0.3697957703883551</c:v>
                </c:pt>
                <c:pt idx="13">
                  <c:v>0</c:v>
                </c:pt>
                <c:pt idx="14">
                  <c:v>0.35435564881545784</c:v>
                </c:pt>
                <c:pt idx="15">
                  <c:v>0.1680220636979258</c:v>
                </c:pt>
                <c:pt idx="16">
                  <c:v>0.39243712974462597</c:v>
                </c:pt>
                <c:pt idx="17">
                  <c:v>0.34392983191371157</c:v>
                </c:pt>
                <c:pt idx="18">
                  <c:v>0.2798974853816473</c:v>
                </c:pt>
                <c:pt idx="19">
                  <c:v>0.39271650055021357</c:v>
                </c:pt>
                <c:pt idx="20">
                  <c:v>0</c:v>
                </c:pt>
                <c:pt idx="21">
                  <c:v>0.1666890184549696</c:v>
                </c:pt>
                <c:pt idx="22">
                  <c:v>0</c:v>
                </c:pt>
                <c:pt idx="23">
                  <c:v>0.2829336094857537</c:v>
                </c:pt>
                <c:pt idx="24">
                  <c:v>0</c:v>
                </c:pt>
                <c:pt idx="25">
                  <c:v>0</c:v>
                </c:pt>
                <c:pt idx="26">
                  <c:v>0</c:v>
                </c:pt>
              </c:numCache>
            </c:numRef>
          </c:val>
        </c:ser>
        <c:overlap val="100"/>
        <c:gapWidth val="100"/>
        <c:axId val="50101861"/>
        <c:axId val="4826356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0.5048889887494085</c:v>
                </c:pt>
                <c:pt idx="3">
                  <c:v>0.3850357586394337</c:v>
                </c:pt>
                <c:pt idx="4">
                  <c:v>0.5187616827459771</c:v>
                </c:pt>
                <c:pt idx="5">
                  <c:v>0.5117935027509937</c:v>
                </c:pt>
                <c:pt idx="6">
                  <c:v>0.6159037192892325</c:v>
                </c:pt>
                <c:pt idx="7">
                  <c:v>0.529106382094639</c:v>
                </c:pt>
                <c:pt idx="8">
                  <c:v>0.6892991800728845</c:v>
                </c:pt>
                <c:pt idx="9">
                  <c:v>0.46592760510696957</c:v>
                </c:pt>
                <c:pt idx="10">
                  <c:v>0.5274842442464849</c:v>
                </c:pt>
                <c:pt idx="11">
                  <c:v>0.5394214376587214</c:v>
                </c:pt>
                <c:pt idx="12">
                  <c:v>0.5683643046536648</c:v>
                </c:pt>
                <c:pt idx="13">
                  <c:v>0.5</c:v>
                </c:pt>
                <c:pt idx="14">
                  <c:v>0.46470162079529503</c:v>
                </c:pt>
                <c:pt idx="15">
                  <c:v>0.4990006728818173</c:v>
                </c:pt>
                <c:pt idx="16">
                  <c:v>0.5992688332749986</c:v>
                </c:pt>
                <c:pt idx="17">
                  <c:v>0.5564892250622179</c:v>
                </c:pt>
                <c:pt idx="18">
                  <c:v>0.4779714548182053</c:v>
                </c:pt>
                <c:pt idx="19">
                  <c:v>0.6229001021893608</c:v>
                </c:pt>
                <c:pt idx="20">
                  <c:v>0.5551025122052919</c:v>
                </c:pt>
                <c:pt idx="21">
                  <c:v>0.5574477793081604</c:v>
                </c:pt>
                <c:pt idx="22">
                  <c:v>0.4734776107076618</c:v>
                </c:pt>
                <c:pt idx="23">
                  <c:v>0.5300197931361653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0.5560787440039515</c:v>
                </c:pt>
                <c:pt idx="5">
                  <c:v>-999</c:v>
                </c:pt>
                <c:pt idx="6">
                  <c:v>-999</c:v>
                </c:pt>
                <c:pt idx="7">
                  <c:v>0.4828914935510602</c:v>
                </c:pt>
                <c:pt idx="8">
                  <c:v>-999</c:v>
                </c:pt>
                <c:pt idx="9">
                  <c:v>-999</c:v>
                </c:pt>
                <c:pt idx="10">
                  <c:v>0.49471185720034905</c:v>
                </c:pt>
                <c:pt idx="11">
                  <c:v>0.421794330667483</c:v>
                </c:pt>
                <c:pt idx="12">
                  <c:v>-999</c:v>
                </c:pt>
                <c:pt idx="13">
                  <c:v>-999</c:v>
                </c:pt>
                <c:pt idx="14">
                  <c:v>-999</c:v>
                </c:pt>
                <c:pt idx="15">
                  <c:v>-999</c:v>
                </c:pt>
                <c:pt idx="16">
                  <c:v>-999</c:v>
                </c:pt>
                <c:pt idx="17">
                  <c:v>-999</c:v>
                </c:pt>
                <c:pt idx="18">
                  <c:v>-999</c:v>
                </c:pt>
                <c:pt idx="19">
                  <c:v>-999</c:v>
                </c:pt>
                <c:pt idx="20">
                  <c:v>0.4999999762301088</c:v>
                </c:pt>
                <c:pt idx="21">
                  <c:v>0.6050860471776415</c:v>
                </c:pt>
                <c:pt idx="22">
                  <c:v>0.41494431123234704</c:v>
                </c:pt>
                <c:pt idx="23">
                  <c:v>0.44808455673683895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0.3393184768795789</c:v>
                </c:pt>
                <c:pt idx="3">
                  <c:v>0.538461509055994</c:v>
                </c:pt>
                <c:pt idx="4">
                  <c:v>-999</c:v>
                </c:pt>
                <c:pt idx="5">
                  <c:v>-999</c:v>
                </c:pt>
                <c:pt idx="6">
                  <c:v>0.3823529316118839</c:v>
                </c:pt>
                <c:pt idx="7">
                  <c:v>-999</c:v>
                </c:pt>
                <c:pt idx="8">
                  <c:v>-999</c:v>
                </c:pt>
                <c:pt idx="9">
                  <c:v>0.381052476865235</c:v>
                </c:pt>
                <c:pt idx="10">
                  <c:v>-999</c:v>
                </c:pt>
                <c:pt idx="11">
                  <c:v>-999</c:v>
                </c:pt>
                <c:pt idx="12">
                  <c:v>0.44902393558377046</c:v>
                </c:pt>
                <c:pt idx="13">
                  <c:v>0.3871402596275695</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1718911"/>
        <c:axId val="17034744"/>
      </c:scatterChart>
      <c:catAx>
        <c:axId val="50101861"/>
        <c:scaling>
          <c:orientation val="maxMin"/>
        </c:scaling>
        <c:axPos val="l"/>
        <c:delete val="0"/>
        <c:numFmt formatCode="General" sourceLinked="1"/>
        <c:majorTickMark val="out"/>
        <c:minorTickMark val="none"/>
        <c:tickLblPos val="none"/>
        <c:spPr>
          <a:ln w="3175">
            <a:noFill/>
          </a:ln>
        </c:spPr>
        <c:crossAx val="48263566"/>
        <c:crosses val="autoZero"/>
        <c:auto val="1"/>
        <c:lblOffset val="100"/>
        <c:tickLblSkip val="1"/>
        <c:noMultiLvlLbl val="0"/>
      </c:catAx>
      <c:valAx>
        <c:axId val="48263566"/>
        <c:scaling>
          <c:orientation val="minMax"/>
          <c:max val="1"/>
          <c:min val="0"/>
        </c:scaling>
        <c:axPos val="t"/>
        <c:delete val="0"/>
        <c:numFmt formatCode="General" sourceLinked="1"/>
        <c:majorTickMark val="none"/>
        <c:minorTickMark val="none"/>
        <c:tickLblPos val="none"/>
        <c:spPr>
          <a:ln w="3175">
            <a:noFill/>
          </a:ln>
        </c:spPr>
        <c:crossAx val="50101861"/>
        <c:crossesAt val="1"/>
        <c:crossBetween val="between"/>
        <c:dispUnits/>
        <c:majorUnit val="1"/>
      </c:valAx>
      <c:valAx>
        <c:axId val="31718911"/>
        <c:scaling>
          <c:orientation val="minMax"/>
          <c:max val="1"/>
          <c:min val="0"/>
        </c:scaling>
        <c:axPos val="t"/>
        <c:delete val="0"/>
        <c:numFmt formatCode="General" sourceLinked="1"/>
        <c:majorTickMark val="none"/>
        <c:minorTickMark val="none"/>
        <c:tickLblPos val="none"/>
        <c:spPr>
          <a:ln w="3175">
            <a:noFill/>
          </a:ln>
        </c:spPr>
        <c:crossAx val="17034744"/>
        <c:crosses val="max"/>
        <c:crossBetween val="midCat"/>
        <c:dispUnits/>
        <c:majorUnit val="0.1"/>
        <c:minorUnit val="0.020000000000000004"/>
      </c:valAx>
      <c:valAx>
        <c:axId val="17034744"/>
        <c:scaling>
          <c:orientation val="maxMin"/>
          <c:max val="29"/>
          <c:min val="0"/>
        </c:scaling>
        <c:axPos val="l"/>
        <c:delete val="0"/>
        <c:numFmt formatCode="General" sourceLinked="1"/>
        <c:majorTickMark val="none"/>
        <c:minorTickMark val="none"/>
        <c:tickLblPos val="none"/>
        <c:spPr>
          <a:ln w="3175">
            <a:noFill/>
          </a:ln>
        </c:spPr>
        <c:crossAx val="3171891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(B85619) ALBION STREET SURGERY, KIRKLEES PCT (5N2)</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508</v>
      </c>
      <c r="Q3" s="65"/>
      <c r="R3" s="66"/>
      <c r="S3" s="66"/>
      <c r="T3" s="66"/>
      <c r="U3" s="66"/>
      <c r="V3" s="66"/>
      <c r="W3" s="66"/>
      <c r="X3" s="66"/>
      <c r="Y3" s="66"/>
      <c r="Z3" s="66"/>
      <c r="AA3" s="66"/>
      <c r="AB3" s="66"/>
      <c r="AC3" s="66"/>
    </row>
    <row r="4" spans="2:29" ht="18" customHeight="1">
      <c r="B4" s="319" t="s">
        <v>604</v>
      </c>
      <c r="C4" s="320"/>
      <c r="D4" s="320"/>
      <c r="E4" s="320"/>
      <c r="F4" s="320"/>
      <c r="G4" s="321"/>
      <c r="H4" s="112"/>
      <c r="I4" s="112"/>
      <c r="J4" s="112"/>
      <c r="K4" s="112"/>
      <c r="L4" s="113"/>
      <c r="M4" s="65"/>
      <c r="N4" s="65"/>
      <c r="O4" s="65"/>
      <c r="P4" s="134" t="s">
        <v>509</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510</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405</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603</v>
      </c>
      <c r="C8" s="115"/>
      <c r="D8" s="115"/>
      <c r="E8" s="128">
        <f>VLOOKUP('Hide - Control'!A$3,'All practice data'!A:CA,4,FALSE)</f>
        <v>2719</v>
      </c>
      <c r="F8" s="310" t="str">
        <f>VLOOKUP('Hide - Control'!B4,'Hide - Calculation'!AY:BA,3,FALSE)</f>
        <v>Please note: Bowel screening indicators are based on less than 30 but over 12 months of data.</v>
      </c>
      <c r="G8" s="310"/>
      <c r="H8" s="310"/>
      <c r="I8" s="115"/>
      <c r="J8" s="115"/>
      <c r="K8" s="115"/>
      <c r="L8" s="115"/>
      <c r="M8" s="109"/>
      <c r="N8" s="314" t="s">
        <v>518</v>
      </c>
      <c r="O8" s="314"/>
      <c r="P8" s="314"/>
      <c r="Q8" s="314" t="s">
        <v>32</v>
      </c>
      <c r="R8" s="314"/>
      <c r="S8" s="314"/>
      <c r="T8" s="314" t="s">
        <v>607</v>
      </c>
      <c r="U8" s="314"/>
      <c r="V8" s="314" t="s">
        <v>33</v>
      </c>
      <c r="W8" s="314"/>
      <c r="X8" s="314"/>
      <c r="Y8" s="135"/>
      <c r="Z8" s="314" t="s">
        <v>511</v>
      </c>
      <c r="AA8" s="314"/>
      <c r="AB8" s="161"/>
      <c r="AC8" s="109"/>
    </row>
    <row r="9" spans="2:29" s="61" customFormat="1" ht="19.5" customHeight="1" thickBot="1">
      <c r="B9" s="114" t="s">
        <v>503</v>
      </c>
      <c r="C9" s="114"/>
      <c r="D9" s="114"/>
      <c r="E9" s="129">
        <f>VLOOKUP('Hide - Control'!B4,'Hide - Calculation'!AY:BB,4,FALSE)</f>
        <v>419928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500</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481</v>
      </c>
      <c r="E11" s="317"/>
      <c r="F11" s="318"/>
      <c r="G11" s="263" t="s">
        <v>479</v>
      </c>
      <c r="H11" s="255" t="s">
        <v>480</v>
      </c>
      <c r="I11" s="255" t="s">
        <v>491</v>
      </c>
      <c r="J11" s="255" t="s">
        <v>492</v>
      </c>
      <c r="K11" s="255" t="s">
        <v>363</v>
      </c>
      <c r="L11" s="256" t="s">
        <v>405</v>
      </c>
      <c r="M11" s="257" t="s">
        <v>501</v>
      </c>
      <c r="N11" s="334" t="s">
        <v>499</v>
      </c>
      <c r="O11" s="334"/>
      <c r="P11" s="334"/>
      <c r="Q11" s="334"/>
      <c r="R11" s="334"/>
      <c r="S11" s="334"/>
      <c r="T11" s="334"/>
      <c r="U11" s="334"/>
      <c r="V11" s="334"/>
      <c r="W11" s="334"/>
      <c r="X11" s="334"/>
      <c r="Y11" s="334"/>
      <c r="Z11" s="334"/>
      <c r="AA11" s="258" t="s">
        <v>502</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361</v>
      </c>
      <c r="C13" s="163">
        <v>1</v>
      </c>
      <c r="D13" s="312" t="s">
        <v>357</v>
      </c>
      <c r="E13" s="313"/>
      <c r="F13" s="313"/>
      <c r="G13" s="166">
        <f>IF(VLOOKUP('Hide - Control'!A$3,'All practice data'!A:CA,C13+4,FALSE)=" "," ",VLOOKUP('Hide - Control'!A$3,'All practice data'!A:CA,C13+4,FALSE))</f>
        <v>280</v>
      </c>
      <c r="H13" s="190">
        <f>IF(VLOOKUP('Hide - Control'!A$3,'All practice data'!A:CA,C13+30,FALSE)=" "," ",VLOOKUP('Hide - Control'!A$3,'All practice data'!A:CA,C13+30,FALSE))</f>
        <v>0.10297903641044502</v>
      </c>
      <c r="I13" s="191">
        <f>IF(LEFT(G13,1)=" "," n/a",+((2*G13+1.96^2-1.96*SQRT(1.96^2+4*G13*(1-G13/E$8)))/(2*(E$8+1.96^2))))</f>
        <v>0.09210927671777296</v>
      </c>
      <c r="J13" s="191">
        <f>IF(LEFT(G13,1)=" "," n/a",+((2*G13+1.96^2+1.96*SQRT(1.96^2+4*G13*(1-G13/E$8)))/(2*(E$8+1.96^2))))</f>
        <v>0.11496909317344656</v>
      </c>
      <c r="K13" s="190">
        <f>IF('Hide - Calculation'!N7="","",'Hide - Calculation'!N7)</f>
        <v>0.14865405498085385</v>
      </c>
      <c r="L13" s="192">
        <f>'Hide - Calculation'!O7</f>
        <v>0.1599882305185145</v>
      </c>
      <c r="M13" s="208">
        <f>IF(ISBLANK('Hide - Calculation'!K7),"",'Hide - Calculation'!U7)</f>
        <v>0.002252252073958516</v>
      </c>
      <c r="N13" s="173"/>
      <c r="O13" s="173"/>
      <c r="P13" s="173"/>
      <c r="Q13" s="173"/>
      <c r="R13" s="173"/>
      <c r="S13" s="173"/>
      <c r="T13" s="173"/>
      <c r="U13" s="173"/>
      <c r="V13" s="173"/>
      <c r="W13" s="173"/>
      <c r="X13" s="173"/>
      <c r="Y13" s="173"/>
      <c r="Z13" s="173"/>
      <c r="AA13" s="226">
        <f>IF(ISBLANK('Hide - Calculation'!K7),"",'Hide - Calculation'!T7)</f>
        <v>0.3304647207260132</v>
      </c>
      <c r="AB13" s="233" t="s">
        <v>601</v>
      </c>
      <c r="AC13" s="209" t="s">
        <v>602</v>
      </c>
    </row>
    <row r="14" spans="2:29" ht="33.75" customHeight="1">
      <c r="B14" s="306"/>
      <c r="C14" s="137">
        <v>2</v>
      </c>
      <c r="D14" s="132" t="s">
        <v>512</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0.19</v>
      </c>
      <c r="I14" s="120">
        <f>IF(LEFT(G14,1)=" "," n/a",+((2*H14*E8+1.96^2-1.96*SQRT(1.96^2+4*H14*E8*(1-H14*E8/E$8)))/(2*(E$8+1.96^2))))</f>
        <v>0.1756954061694424</v>
      </c>
      <c r="J14" s="120">
        <f>IF(LEFT(G14,1)=" "," n/a",+((2*H14*E8+1.96^2+1.96*SQRT(1.96^2+4*H14*E8*(1-H14*E8/E$8)))/(2*(E$8+1.96^2))))</f>
        <v>0.20517933880286884</v>
      </c>
      <c r="K14" s="119">
        <f>IF('Hide - Calculation'!N8="","",'Hide - Calculation'!N8)</f>
        <v>0.16577515669352844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0.3100000023841858</v>
      </c>
      <c r="AB14" s="234" t="s">
        <v>39</v>
      </c>
      <c r="AC14" s="130" t="s">
        <v>602</v>
      </c>
    </row>
    <row r="15" spans="2:39" s="63" customFormat="1" ht="33.75" customHeight="1">
      <c r="B15" s="306"/>
      <c r="C15" s="137">
        <v>3</v>
      </c>
      <c r="D15" s="132" t="s">
        <v>366</v>
      </c>
      <c r="E15" s="85"/>
      <c r="F15" s="85"/>
      <c r="G15" s="121">
        <f>IF(VLOOKUP('Hide - Control'!A$3,'All practice data'!A:CA,C15+4,FALSE)=" "," ",VLOOKUP('Hide - Control'!A$3,'All practice data'!A:CA,C15+4,FALSE))</f>
        <v>13</v>
      </c>
      <c r="H15" s="122">
        <f>IF(VLOOKUP('Hide - Control'!A$3,'All practice data'!A:CA,C15+30,FALSE)=" "," ",VLOOKUP('Hide - Control'!A$3,'All practice data'!A:CA,C15+30,FALSE))</f>
        <v>478.11695476278044</v>
      </c>
      <c r="I15" s="123">
        <f>IF(LEFT(G15,1)=" "," n/a",IF(G15&lt;5,100000*VLOOKUP(G15,'Hide - Calculation'!AQ:AR,2,FALSE)/$E$8,100000*(G15*(1-1/(9*G15)-1.96/(3*SQRT(G15)))^3)/$E$8))</f>
        <v>254.32716782877998</v>
      </c>
      <c r="J15" s="123">
        <f>IF(LEFT(G15,1)=" "," n/a",IF(G15&lt;5,100000*VLOOKUP(G15,'Hide - Calculation'!AQ:AS,3,FALSE)/$E$8,100000*((G15+1)*(1-1/(9*(G15+1))+1.96/(3*SQRT(G15+1)))^3)/$E$8))</f>
        <v>817.6502549191754</v>
      </c>
      <c r="K15" s="122">
        <f>IF('Hide - Calculation'!N9="","",'Hide - Calculation'!N9)</f>
        <v>422.691509020594</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864.6998901367188</v>
      </c>
      <c r="AB15" s="234" t="s">
        <v>482</v>
      </c>
      <c r="AC15" s="131">
        <v>2009</v>
      </c>
      <c r="AD15" s="64"/>
      <c r="AE15" s="64"/>
      <c r="AF15" s="64"/>
      <c r="AG15" s="64"/>
      <c r="AH15" s="64"/>
      <c r="AI15" s="64"/>
      <c r="AJ15" s="64"/>
      <c r="AK15" s="64"/>
      <c r="AL15" s="64"/>
      <c r="AM15" s="64"/>
    </row>
    <row r="16" spans="2:29" s="63" customFormat="1" ht="33.75" customHeight="1">
      <c r="B16" s="306"/>
      <c r="C16" s="137">
        <v>4</v>
      </c>
      <c r="D16" s="132" t="s">
        <v>504</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221.7046731820693</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757.3150024414062</v>
      </c>
      <c r="AB16" s="234" t="s">
        <v>360</v>
      </c>
      <c r="AC16" s="131" t="s">
        <v>536</v>
      </c>
    </row>
    <row r="17" spans="2:29" s="63" customFormat="1" ht="33.75" customHeight="1" thickBot="1">
      <c r="B17" s="309"/>
      <c r="C17" s="180">
        <v>5</v>
      </c>
      <c r="D17" s="195" t="s">
        <v>365</v>
      </c>
      <c r="E17" s="182"/>
      <c r="F17" s="182"/>
      <c r="G17" s="140">
        <f>IF(VLOOKUP('Hide - Control'!A$3,'All practice data'!A:CA,C17+4,FALSE)=" "," ",VLOOKUP('Hide - Control'!A$3,'All practice data'!A:CA,C17+4,FALSE))</f>
        <v>23</v>
      </c>
      <c r="H17" s="141">
        <f>IF(VLOOKUP('Hide - Control'!A$3,'All practice data'!A:CA,C17+30,FALSE)=" "," ",VLOOKUP('Hide - Control'!A$3,'All practice data'!A:CA,C17+30,FALSE))</f>
        <v>0.008</v>
      </c>
      <c r="I17" s="142">
        <f>IF(LEFT(G17,1)=" "," n/a",+((2*G17+1.96^2-1.96*SQRT(1.96^2+4*G17*(1-G17/E$8)))/(2*(E$8+1.96^2))))</f>
        <v>0.005643279484491847</v>
      </c>
      <c r="J17" s="142">
        <f>IF(LEFT(G17,1)=" "," n/a",+((2*G17+1.96^2+1.96*SQRT(1.96^2+4*G17*(1-G17/E$8)))/(2*(E$8+1.96^2))))</f>
        <v>0.012661714827332976</v>
      </c>
      <c r="K17" s="141">
        <f>IF('Hide - Calculation'!N11="","",'Hide - Calculation'!N11)</f>
        <v>0.013554704616029414</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0.028999999165534973</v>
      </c>
      <c r="AB17" s="235" t="s">
        <v>505</v>
      </c>
      <c r="AC17" s="189" t="s">
        <v>536</v>
      </c>
    </row>
    <row r="18" spans="2:29" s="63" customFormat="1" ht="33.75" customHeight="1">
      <c r="B18" s="308" t="s">
        <v>13</v>
      </c>
      <c r="C18" s="163">
        <v>6</v>
      </c>
      <c r="D18" s="164" t="s">
        <v>513</v>
      </c>
      <c r="E18" s="165"/>
      <c r="F18" s="165"/>
      <c r="G18" s="219">
        <f>IF(OR(VLOOKUP('Hide - Control'!A$3,'All practice data'!A:CA,C18+4,FALSE)=" ",VLOOKUP('Hide - Control'!A$3,'All practice data'!A:CA,C18+52,FALSE)=0)," n/a",VLOOKUP('Hide - Control'!A$3,'All practice data'!A:CA,C18+4,FALSE))</f>
        <v>173</v>
      </c>
      <c r="H18" s="220">
        <f>IF(OR(VLOOKUP('Hide - Control'!A$3,'All practice data'!A:CA,C18+30,FALSE)=" ",VLOOKUP('Hide - Control'!A$3,'All practice data'!A:CA,C18+52,FALSE)=0)," n/a",VLOOKUP('Hide - Control'!A$3,'All practice data'!A:CA,C18+30,FALSE))</f>
        <v>0.694779</v>
      </c>
      <c r="I18" s="191">
        <f>IF(OR(LEFT(H18,1)=" ",VLOOKUP('Hide - Control'!A$3,'All practice data'!A:CA,C18+52,FALSE)=0)," n/a",+((2*G18+1.96^2-1.96*SQRT(1.96^2+4*G18*(1-G18/(VLOOKUP('Hide - Control'!A$3,'All practice data'!A:CA,C18+52,FALSE)))))/(2*(((VLOOKUP('Hide - Control'!A$3,'All practice data'!A:CA,C18+52,FALSE)))+1.96^2))))</f>
        <v>0.634980002264596</v>
      </c>
      <c r="J18" s="191">
        <f>IF(OR(LEFT(H18,1)=" ",VLOOKUP('Hide - Control'!A$3,'All practice data'!A:CA,C18+52,FALSE)=0)," n/a",+((2*G18+1.96^2+1.96*SQRT(1.96^2+4*G18*(1-G18/(VLOOKUP('Hide - Control'!A$3,'All practice data'!A:CA,C18+52,FALSE)))))/(2*((VLOOKUP('Hide - Control'!A$3,'All practice data'!A:CA,C18+52,FALSE))+1.96^2))))</f>
        <v>0.7486593988466134</v>
      </c>
      <c r="K18" s="220">
        <f>IF('Hide - Calculation'!N12="","",'Hide - Calculation'!N12)</f>
        <v>0.727866579848348</v>
      </c>
      <c r="L18" s="192">
        <f>'Hide - Calculation'!O12</f>
        <v>0.7248631360507991</v>
      </c>
      <c r="M18" s="193">
        <f>IF(ISBLANK('Hide - Calculation'!K12),"",'Hide - Calculation'!U12)</f>
        <v>0.3804349899291992</v>
      </c>
      <c r="N18" s="194"/>
      <c r="O18" s="173"/>
      <c r="P18" s="173"/>
      <c r="Q18" s="173"/>
      <c r="R18" s="173"/>
      <c r="S18" s="173"/>
      <c r="T18" s="173"/>
      <c r="U18" s="173"/>
      <c r="V18" s="173"/>
      <c r="W18" s="173"/>
      <c r="X18" s="173"/>
      <c r="Y18" s="173"/>
      <c r="Z18" s="174"/>
      <c r="AA18" s="193">
        <f>IF(ISBLANK('Hide - Calculation'!K12),"",'Hide - Calculation'!T12)</f>
        <v>0.8295919895172119</v>
      </c>
      <c r="AB18" s="233" t="s">
        <v>48</v>
      </c>
      <c r="AC18" s="175" t="s">
        <v>537</v>
      </c>
    </row>
    <row r="19" spans="2:29" s="63" customFormat="1" ht="33.75" customHeight="1">
      <c r="B19" s="306"/>
      <c r="C19" s="137">
        <v>7</v>
      </c>
      <c r="D19" s="132" t="s">
        <v>514</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0.7141901496780667</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0.857142984867096</v>
      </c>
      <c r="AB19" s="234" t="s">
        <v>48</v>
      </c>
      <c r="AC19" s="131" t="s">
        <v>536</v>
      </c>
    </row>
    <row r="20" spans="2:29" s="63" customFormat="1" ht="33.75" customHeight="1">
      <c r="B20" s="306"/>
      <c r="C20" s="137">
        <v>8</v>
      </c>
      <c r="D20" s="132" t="s">
        <v>515</v>
      </c>
      <c r="E20" s="85"/>
      <c r="F20" s="85"/>
      <c r="G20" s="221">
        <f>IF(OR(VLOOKUP('Hide - Control'!A$3,'All practice data'!A:CA,C20+4,FALSE)=" ",VLOOKUP('Hide - Control'!A$3,'All practice data'!A:CA,C20+52,FALSE)=0)," n/a",VLOOKUP('Hide - Control'!A$3,'All practice data'!A:CA,C20+4,FALSE))</f>
        <v>426</v>
      </c>
      <c r="H20" s="218">
        <f>IF(OR(VLOOKUP('Hide - Control'!A$3,'All practice data'!A:CA,C20+30,FALSE)=" ",VLOOKUP('Hide - Control'!A$3,'All practice data'!A:CA,C20+52,FALSE)=0)," n/a",VLOOKUP('Hide - Control'!A$3,'All practice data'!A:CA,C20+30,FALSE))</f>
        <v>0.711185</v>
      </c>
      <c r="I20" s="120">
        <f>IF(OR(LEFT(H20,1)=" ",VLOOKUP('Hide - Control'!A$3,'All practice data'!A:CA,C20+52,FALSE)=0)," n/a",+((2*G20+1.96^2-1.96*SQRT(1.96^2+4*G20*(1-G20/(VLOOKUP('Hide - Control'!A$3,'All practice data'!A:CA,C20+52,FALSE)))))/(2*(((VLOOKUP('Hide - Control'!A$3,'All practice data'!A:CA,C20+52,FALSE)))+1.96^2))))</f>
        <v>0.6736356007770999</v>
      </c>
      <c r="J20" s="120">
        <f>IF(OR(LEFT(H20,1)=" ",VLOOKUP('Hide - Control'!A$3,'All practice data'!A:CA,C20+52,FALSE)=0)," n/a",+((2*G20+1.96^2+1.96*SQRT(1.96^2+4*G20*(1-G20/(VLOOKUP('Hide - Control'!A$3,'All practice data'!A:CA,C20+52,FALSE)))))/(2*((VLOOKUP('Hide - Control'!A$3,'All practice data'!A:CA,C20+52,FALSE))+1.96^2))))</f>
        <v>0.7460434658301149</v>
      </c>
      <c r="K20" s="218">
        <f>IF('Hide - Calculation'!N14="","",'Hide - Calculation'!N14)</f>
        <v>0.7825376191601671</v>
      </c>
      <c r="L20" s="155">
        <f>'Hide - Calculation'!O14</f>
        <v>0.7559681673907895</v>
      </c>
      <c r="M20" s="152">
        <f>IF(ISBLANK('Hide - Calculation'!K14),"",'Hide - Calculation'!U14)</f>
        <v>0.5101280212402344</v>
      </c>
      <c r="N20" s="160"/>
      <c r="O20" s="84"/>
      <c r="P20" s="84"/>
      <c r="Q20" s="84"/>
      <c r="R20" s="84"/>
      <c r="S20" s="84"/>
      <c r="T20" s="84"/>
      <c r="U20" s="84"/>
      <c r="V20" s="84"/>
      <c r="W20" s="84"/>
      <c r="X20" s="84"/>
      <c r="Y20" s="84"/>
      <c r="Z20" s="88"/>
      <c r="AA20" s="152">
        <f>IF(ISBLANK('Hide - Calculation'!K14),"",'Hide - Calculation'!T14)</f>
        <v>0.9090909957885742</v>
      </c>
      <c r="AB20" s="234" t="s">
        <v>48</v>
      </c>
      <c r="AC20" s="131" t="s">
        <v>538</v>
      </c>
    </row>
    <row r="21" spans="2:29" s="63" customFormat="1" ht="33.75" customHeight="1">
      <c r="B21" s="306"/>
      <c r="C21" s="137">
        <v>9</v>
      </c>
      <c r="D21" s="132" t="s">
        <v>516</v>
      </c>
      <c r="E21" s="85"/>
      <c r="F21" s="85"/>
      <c r="G21" s="221">
        <f>IF(OR(VLOOKUP('Hide - Control'!A$3,'All practice data'!A:CA,C21+4,FALSE)=" ",VLOOKUP('Hide - Control'!A$3,'All practice data'!A:CA,C21+52,FALSE)=0)," n/a",VLOOKUP('Hide - Control'!A$3,'All practice data'!A:CA,C21+4,FALSE))</f>
        <v>112</v>
      </c>
      <c r="H21" s="218">
        <f>IF(OR(VLOOKUP('Hide - Control'!A$3,'All practice data'!A:CA,C21+30,FALSE)=" ",VLOOKUP('Hide - Control'!A$3,'All practice data'!A:CA,C21+52,FALSE)=0)," n/a",VLOOKUP('Hide - Control'!A$3,'All practice data'!A:CA,C21+30,FALSE))</f>
        <v>0.493392</v>
      </c>
      <c r="I21" s="120">
        <f>IF(OR(LEFT(H21,1)=" ",VLOOKUP('Hide - Control'!A$3,'All practice data'!A:CA,C21+52,FALSE)=0)," n/a",+((2*G21+1.96^2-1.96*SQRT(1.96^2+4*G21*(1-G21/(VLOOKUP('Hide - Control'!A$3,'All practice data'!A:CA,C21+52,FALSE)))))/(2*(((VLOOKUP('Hide - Control'!A$3,'All practice data'!A:CA,C21+52,FALSE)))+1.96^2))))</f>
        <v>0.42900619247067795</v>
      </c>
      <c r="J21" s="120">
        <f>IF(OR(LEFT(H21,1)=" ",VLOOKUP('Hide - Control'!A$3,'All practice data'!A:CA,C21+52,FALSE)=0)," n/a",+((2*G21+1.96^2+1.96*SQRT(1.96^2+4*G21*(1-G21/(VLOOKUP('Hide - Control'!A$3,'All practice data'!A:CA,C21+52,FALSE)))))/(2*((VLOOKUP('Hide - Control'!A$3,'All practice data'!A:CA,C21+52,FALSE))+1.96^2))))</f>
        <v>0.5579978830512384</v>
      </c>
      <c r="K21" s="218">
        <f>IF('Hide - Calculation'!N15="","",'Hide - Calculation'!N15)</f>
        <v>0.5416224936621341</v>
      </c>
      <c r="L21" s="155">
        <f>'Hide - Calculation'!O15</f>
        <v>0.5147293797466616</v>
      </c>
      <c r="M21" s="152">
        <f>IF(ISBLANK('Hide - Calculation'!K15),"",'Hide - Calculation'!U15)</f>
        <v>0.17129600048065186</v>
      </c>
      <c r="N21" s="160"/>
      <c r="O21" s="84"/>
      <c r="P21" s="84"/>
      <c r="Q21" s="84"/>
      <c r="R21" s="84"/>
      <c r="S21" s="84"/>
      <c r="T21" s="84"/>
      <c r="U21" s="84"/>
      <c r="V21" s="84"/>
      <c r="W21" s="84"/>
      <c r="X21" s="84"/>
      <c r="Y21" s="84"/>
      <c r="Z21" s="88"/>
      <c r="AA21" s="152">
        <f>IF(ISBLANK('Hide - Calculation'!K15),"",'Hide - Calculation'!T15)</f>
        <v>0.6605389714241028</v>
      </c>
      <c r="AB21" s="234" t="s">
        <v>48</v>
      </c>
      <c r="AC21" s="131" t="s">
        <v>537</v>
      </c>
    </row>
    <row r="22" spans="2:29" s="63" customFormat="1" ht="33.75" customHeight="1" thickBot="1">
      <c r="B22" s="309"/>
      <c r="C22" s="180">
        <v>10</v>
      </c>
      <c r="D22" s="195" t="s">
        <v>517</v>
      </c>
      <c r="E22" s="182"/>
      <c r="F22" s="182"/>
      <c r="G22" s="222">
        <f>IF(OR(VLOOKUP('Hide - Control'!A$3,'All practice data'!A:CA,C22+4,FALSE)=" ",VLOOKUP('Hide - Control'!A$3,'All practice data'!A:CA,C22+52,FALSE)=0)," n/a",VLOOKUP('Hide - Control'!A$3,'All practice data'!A:CA,C22+4,FALSE))</f>
        <v>57</v>
      </c>
      <c r="H22" s="223">
        <f>IF(OR(VLOOKUP('Hide - Control'!A$3,'All practice data'!A:CA,C22+30,FALSE)=" ",VLOOKUP('Hide - Control'!A$3,'All practice data'!A:CA,C22+52,FALSE)=0)," n/a",VLOOKUP('Hide - Control'!A$3,'All practice data'!A:CA,C22+30,FALSE))</f>
        <v>0.491379</v>
      </c>
      <c r="I22" s="196">
        <f>IF(OR(LEFT(H22,1)=" ",VLOOKUP('Hide - Control'!A$3,'All practice data'!A:CA,C22+52,FALSE)=0)," n/a",+((2*G22+1.96^2-1.96*SQRT(1.96^2+4*G22*(1-G22/(VLOOKUP('Hide - Control'!A$3,'All practice data'!A:CA,C22+52,FALSE)))))/(2*(((VLOOKUP('Hide - Control'!A$3,'All practice data'!A:CA,C22+52,FALSE)))+1.96^2))))</f>
        <v>0.4021480781194227</v>
      </c>
      <c r="J22" s="196">
        <f>IF(OR(LEFT(H22,1)=" ",VLOOKUP('Hide - Control'!A$3,'All practice data'!A:CA,C22+52,FALSE)=0)," n/a",+((2*G22+1.96^2+1.96*SQRT(1.96^2+4*G22*(1-G22/(VLOOKUP('Hide - Control'!A$3,'All practice data'!A:CA,C22+52,FALSE)))))/(2*((VLOOKUP('Hide - Control'!A$3,'All practice data'!A:CA,C22+52,FALSE))+1.96^2))))</f>
        <v>0.5811632261355272</v>
      </c>
      <c r="K22" s="223">
        <f>IF('Hide - Calculation'!N16="","",'Hide - Calculation'!N16)</f>
        <v>0.5740235729142593</v>
      </c>
      <c r="L22" s="197">
        <f>'Hide - Calculation'!O16</f>
        <v>0.5752927626212945</v>
      </c>
      <c r="M22" s="198">
        <f>IF(ISBLANK('Hide - Calculation'!K16),"",'Hide - Calculation'!U16)</f>
        <v>0.19047600030899048</v>
      </c>
      <c r="N22" s="199"/>
      <c r="O22" s="91"/>
      <c r="P22" s="91"/>
      <c r="Q22" s="91"/>
      <c r="R22" s="91"/>
      <c r="S22" s="91"/>
      <c r="T22" s="91"/>
      <c r="U22" s="91"/>
      <c r="V22" s="91"/>
      <c r="W22" s="91"/>
      <c r="X22" s="91"/>
      <c r="Y22" s="91"/>
      <c r="Z22" s="188"/>
      <c r="AA22" s="198">
        <f>IF(ISBLANK('Hide - Calculation'!K16),"",'Hide - Calculation'!T16)</f>
        <v>0.6980000138282776</v>
      </c>
      <c r="AB22" s="235" t="s">
        <v>48</v>
      </c>
      <c r="AC22" s="189" t="s">
        <v>536</v>
      </c>
    </row>
    <row r="23" spans="2:29" s="63" customFormat="1" ht="33.75" customHeight="1">
      <c r="B23" s="308" t="s">
        <v>355</v>
      </c>
      <c r="C23" s="163">
        <v>11</v>
      </c>
      <c r="D23" s="179" t="s">
        <v>367</v>
      </c>
      <c r="E23" s="165"/>
      <c r="F23" s="165"/>
      <c r="G23" s="118">
        <f>IF(VLOOKUP('Hide - Control'!A$3,'All practice data'!A:CA,C23+4,FALSE)=" "," ",VLOOKUP('Hide - Control'!A$3,'All practice data'!A:CA,C23+4,FALSE))</f>
        <v>24</v>
      </c>
      <c r="H23" s="216">
        <f>IF(VLOOKUP('Hide - Control'!A$3,'All practice data'!A:CA,C23+30,FALSE)=" "," ",VLOOKUP('Hide - Control'!A$3,'All practice data'!A:CA,C23+30,FALSE))</f>
        <v>882.6774549466716</v>
      </c>
      <c r="I23" s="215">
        <f>IF(LEFT(G23,1)=" "," n/a",IF(G23&lt;5,100000*VLOOKUP(G23,'Hide - Calculation'!AQ:AR,2,FALSE)/$E$8,100000*(G23*(1-1/(9*G23)-1.96/(3*SQRT(G23)))^3)/$E$8))</f>
        <v>565.3766014990655</v>
      </c>
      <c r="J23" s="215">
        <f>IF(LEFT(G23,1)=" "," n/a",IF(G23&lt;5,100000*VLOOKUP(G23,'Hide - Calculation'!AQ:AS,3,FALSE)/$E$8,100000*((G23+1)*(1-1/(9*(G23+1))+1.96/(3*SQRT(G23+1)))^3)/$E$8))</f>
        <v>1313.4183463520185</v>
      </c>
      <c r="K23" s="216">
        <f>IF('Hide - Calculation'!N17="","",'Hide - Calculation'!N17)</f>
        <v>1464.2986416719057</v>
      </c>
      <c r="L23" s="217">
        <f>'Hide - Calculation'!O17</f>
        <v>1812.1669120472948</v>
      </c>
      <c r="M23" s="170">
        <f>IF(ISBLANK('Hide - Calculation'!K17),"",'Hide - Calculation'!U17)</f>
        <v>265.604248046875</v>
      </c>
      <c r="N23" s="171"/>
      <c r="O23" s="172"/>
      <c r="P23" s="172"/>
      <c r="Q23" s="172"/>
      <c r="R23" s="173"/>
      <c r="S23" s="173"/>
      <c r="T23" s="173"/>
      <c r="U23" s="173"/>
      <c r="V23" s="173"/>
      <c r="W23" s="173"/>
      <c r="X23" s="173"/>
      <c r="Y23" s="173"/>
      <c r="Z23" s="174"/>
      <c r="AA23" s="170">
        <f>IF(ISBLANK('Hide - Calculation'!K17),"",'Hide - Calculation'!T17)</f>
        <v>5173.98681640625</v>
      </c>
      <c r="AB23" s="233" t="s">
        <v>26</v>
      </c>
      <c r="AC23" s="175" t="s">
        <v>536</v>
      </c>
    </row>
    <row r="24" spans="2:29" s="63" customFormat="1" ht="33.75" customHeight="1">
      <c r="B24" s="306"/>
      <c r="C24" s="137">
        <v>12</v>
      </c>
      <c r="D24" s="147" t="s">
        <v>523</v>
      </c>
      <c r="E24" s="85"/>
      <c r="F24" s="85"/>
      <c r="G24" s="118">
        <f>IF(VLOOKUP('Hide - Control'!A$3,'All practice data'!A:CA,C24+4,FALSE)=" "," ",VLOOKUP('Hide - Control'!A$3,'All practice data'!A:CA,C24+4,FALSE))</f>
        <v>24</v>
      </c>
      <c r="H24" s="119">
        <f>IF(VLOOKUP('Hide - Control'!A$3,'All practice data'!A:CA,C24+30,FALSE)=" "," ",VLOOKUP('Hide - Control'!A$3,'All practice data'!A:CA,C24+30,FALSE))</f>
        <v>0.6330833054</v>
      </c>
      <c r="I24" s="212">
        <f>IF(LEFT(VLOOKUP('Hide - Control'!A$3,'All practice data'!A:CA,C24+44,FALSE),1)=" "," n/a",VLOOKUP('Hide - Control'!A$3,'All practice data'!A:CA,C24+44,FALSE))</f>
        <v>0.40562843319999997</v>
      </c>
      <c r="J24" s="212">
        <f>IF(LEFT(VLOOKUP('Hide - Control'!A$3,'All practice data'!A:CA,C24+45,FALSE),1)=" "," n/a",VLOOKUP('Hide - Control'!A$3,'All practice data'!A:CA,C24+45,FALSE))</f>
        <v>0.9419777679000001</v>
      </c>
      <c r="K24" s="152" t="s">
        <v>606</v>
      </c>
      <c r="L24" s="213">
        <v>1</v>
      </c>
      <c r="M24" s="152">
        <f>IF(ISBLANK('Hide - Calculation'!K18),"",'Hide - Calculation'!U18)</f>
        <v>0.1793227642774582</v>
      </c>
      <c r="N24" s="86"/>
      <c r="O24" s="87"/>
      <c r="P24" s="87"/>
      <c r="Q24" s="87"/>
      <c r="R24" s="84"/>
      <c r="S24" s="84"/>
      <c r="T24" s="84"/>
      <c r="U24" s="84"/>
      <c r="V24" s="84"/>
      <c r="W24" s="84"/>
      <c r="X24" s="84"/>
      <c r="Y24" s="84"/>
      <c r="Z24" s="88"/>
      <c r="AA24" s="152">
        <f>IF(ISBLANK('Hide - Calculation'!K18),"",'Hide - Calculation'!T18)</f>
        <v>2.6255428791046143</v>
      </c>
      <c r="AB24" s="234" t="s">
        <v>26</v>
      </c>
      <c r="AC24" s="131" t="s">
        <v>536</v>
      </c>
    </row>
    <row r="25" spans="2:29" s="63" customFormat="1" ht="33.75" customHeight="1">
      <c r="B25" s="306"/>
      <c r="C25" s="137">
        <v>13</v>
      </c>
      <c r="D25" s="147" t="s">
        <v>362</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0.13237924865831843</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0.5384615659713745</v>
      </c>
      <c r="AB25" s="234" t="s">
        <v>26</v>
      </c>
      <c r="AC25" s="131" t="s">
        <v>536</v>
      </c>
    </row>
    <row r="26" spans="2:29" s="63" customFormat="1" ht="33.75" customHeight="1">
      <c r="B26" s="306"/>
      <c r="C26" s="137">
        <v>14</v>
      </c>
      <c r="D26" s="147" t="s">
        <v>506</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0.4635535307517084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536</v>
      </c>
    </row>
    <row r="27" spans="2:29" s="63" customFormat="1" ht="33.75" customHeight="1">
      <c r="B27" s="306"/>
      <c r="C27" s="137">
        <v>15</v>
      </c>
      <c r="D27" s="147" t="s">
        <v>493</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270.2844297117601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990.4861450195312</v>
      </c>
      <c r="AB27" s="234" t="s">
        <v>26</v>
      </c>
      <c r="AC27" s="131" t="s">
        <v>536</v>
      </c>
    </row>
    <row r="28" spans="2:29" s="63" customFormat="1" ht="33.75" customHeight="1">
      <c r="B28" s="306"/>
      <c r="C28" s="137">
        <v>16</v>
      </c>
      <c r="D28" s="147" t="s">
        <v>494</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231.23011563887144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834.0935668945312</v>
      </c>
      <c r="AB28" s="234" t="s">
        <v>26</v>
      </c>
      <c r="AC28" s="131" t="s">
        <v>536</v>
      </c>
    </row>
    <row r="29" spans="2:29" s="63" customFormat="1" ht="33.75" customHeight="1">
      <c r="B29" s="306"/>
      <c r="C29" s="137">
        <v>17</v>
      </c>
      <c r="D29" s="147" t="s">
        <v>495</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77.15608390009716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247.6215362548828</v>
      </c>
      <c r="AB29" s="234" t="s">
        <v>26</v>
      </c>
      <c r="AC29" s="131" t="s">
        <v>536</v>
      </c>
    </row>
    <row r="30" spans="2:29" s="63" customFormat="1" ht="33.75" customHeight="1" thickBot="1">
      <c r="B30" s="309"/>
      <c r="C30" s="180">
        <v>18</v>
      </c>
      <c r="D30" s="181" t="s">
        <v>496</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238.13606142005295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808.0281372070312</v>
      </c>
      <c r="AB30" s="235" t="s">
        <v>26</v>
      </c>
      <c r="AC30" s="189" t="s">
        <v>536</v>
      </c>
    </row>
    <row r="31" spans="2:29" s="63" customFormat="1" ht="33.75" customHeight="1">
      <c r="B31" s="304" t="s">
        <v>364</v>
      </c>
      <c r="C31" s="163">
        <v>19</v>
      </c>
      <c r="D31" s="164" t="s">
        <v>368</v>
      </c>
      <c r="E31" s="165"/>
      <c r="F31" s="165"/>
      <c r="G31" s="166">
        <f>IF(VLOOKUP('Hide - Control'!A$3,'All practice data'!A:CA,C31+4,FALSE)=" "," ",VLOOKUP('Hide - Control'!A$3,'All practice data'!A:CA,C31+4,FALSE))</f>
        <v>14</v>
      </c>
      <c r="H31" s="167">
        <f>IF(VLOOKUP('Hide - Control'!A$3,'All practice data'!A:CA,C31+30,FALSE)=" "," ",VLOOKUP('Hide - Control'!A$3,'All practice data'!A:CA,C31+30,FALSE))</f>
        <v>514.8951820522251</v>
      </c>
      <c r="I31" s="168">
        <f>IF(LEFT(G31,1)=" "," n/a",IF(G31&lt;5,100000*VLOOKUP(G31,'Hide - Calculation'!AQ:AR,2,FALSE)/$E$8,100000*(G31*(1-1/(9*G31)-1.96/(3*SQRT(G31)))^3)/$E$8))</f>
        <v>281.25931043560877</v>
      </c>
      <c r="J31" s="168">
        <f>IF(LEFT(G31,1)=" "," n/a",IF(G31&lt;5,100000*VLOOKUP(G31,'Hide - Calculation'!AQ:AS,3,FALSE)/$E$8,100000*((G31+1)*(1-1/(9*(G31+1))+1.96/(3*SQRT(G31+1)))^3)/$E$8))</f>
        <v>863.9641738662285</v>
      </c>
      <c r="K31" s="167">
        <f>IF('Hide - Calculation'!N25="","",'Hide - Calculation'!N25)</f>
        <v>533.4247775809187</v>
      </c>
      <c r="L31" s="169">
        <f>'Hide - Calculation'!O25</f>
        <v>562.6134400960308</v>
      </c>
      <c r="M31" s="170">
        <f>IF(ISBLANK('Hide - Calculation'!K25),"",'Hide - Calculation'!U25)</f>
        <v>81.90008544921875</v>
      </c>
      <c r="N31" s="171"/>
      <c r="O31" s="172"/>
      <c r="P31" s="172"/>
      <c r="Q31" s="172"/>
      <c r="R31" s="173"/>
      <c r="S31" s="173"/>
      <c r="T31" s="173"/>
      <c r="U31" s="173"/>
      <c r="V31" s="173"/>
      <c r="W31" s="173"/>
      <c r="X31" s="173"/>
      <c r="Y31" s="173"/>
      <c r="Z31" s="174"/>
      <c r="AA31" s="170">
        <f>IF(ISBLANK('Hide - Calculation'!K25),"",'Hide - Calculation'!T25)</f>
        <v>911.5870361328125</v>
      </c>
      <c r="AB31" s="233" t="s">
        <v>47</v>
      </c>
      <c r="AC31" s="175" t="s">
        <v>536</v>
      </c>
    </row>
    <row r="32" spans="2:29" s="63" customFormat="1" ht="33.75" customHeight="1">
      <c r="B32" s="305"/>
      <c r="C32" s="137">
        <v>20</v>
      </c>
      <c r="D32" s="132" t="s">
        <v>369</v>
      </c>
      <c r="E32" s="85"/>
      <c r="F32" s="85"/>
      <c r="G32" s="121">
        <f>IF(VLOOKUP('Hide - Control'!A$3,'All practice data'!A:CA,C32+4,FALSE)=" "," ",VLOOKUP('Hide - Control'!A$3,'All practice data'!A:CA,C32+4,FALSE))</f>
        <v>12</v>
      </c>
      <c r="H32" s="122">
        <f>IF(VLOOKUP('Hide - Control'!A$3,'All practice data'!A:CA,C32+30,FALSE)=" "," ",VLOOKUP('Hide - Control'!A$3,'All practice data'!A:CA,C32+30,FALSE))</f>
        <v>441.3387274733358</v>
      </c>
      <c r="I32" s="123">
        <f>IF(LEFT(G32,1)=" "," n/a",IF(G32&lt;5,100000*VLOOKUP(G32,'Hide - Calculation'!AQ:AR,2,FALSE)/$E$8,100000*(G32*(1-1/(9*G32)-1.96/(3*SQRT(G32)))^3)/$E$8))</f>
        <v>227.7833603483504</v>
      </c>
      <c r="J32" s="123">
        <f>IF(LEFT(G32,1)=" "," n/a",IF(G32&lt;5,100000*VLOOKUP(G32,'Hide - Calculation'!AQ:AS,3,FALSE)/$E$8,100000*((G32+1)*(1-1/(9*(G32+1))+1.96/(3*SQRT(G32+1)))^3)/$E$8))</f>
        <v>770.9833254913406</v>
      </c>
      <c r="K32" s="122">
        <f>IF('Hide - Calculation'!N26="","",'Hide - Calculation'!N26)</f>
        <v>392.9245013430874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737.8472290039062</v>
      </c>
      <c r="AB32" s="234" t="s">
        <v>47</v>
      </c>
      <c r="AC32" s="131" t="s">
        <v>536</v>
      </c>
    </row>
    <row r="33" spans="2:29" s="63" customFormat="1" ht="33.75" customHeight="1">
      <c r="B33" s="305"/>
      <c r="C33" s="137">
        <v>21</v>
      </c>
      <c r="D33" s="132" t="s">
        <v>371</v>
      </c>
      <c r="E33" s="85"/>
      <c r="F33" s="85"/>
      <c r="G33" s="121">
        <f>IF(VLOOKUP('Hide - Control'!A$3,'All practice data'!A:CA,C33+4,FALSE)=" "," ",VLOOKUP('Hide - Control'!A$3,'All practice data'!A:CA,C33+4,FALSE))</f>
        <v>26</v>
      </c>
      <c r="H33" s="122">
        <f>IF(VLOOKUP('Hide - Control'!A$3,'All practice data'!A:CA,C33+30,FALSE)=" "," ",VLOOKUP('Hide - Control'!A$3,'All practice data'!A:CA,C33+30,FALSE))</f>
        <v>956.2339095255609</v>
      </c>
      <c r="I33" s="123">
        <f>IF(LEFT(G33,1)=" "," n/a",IF(G33&lt;5,100000*VLOOKUP(G33,'Hide - Calculation'!AQ:AR,2,FALSE)/$E$8,100000*(G33*(1-1/(9*G33)-1.96/(3*SQRT(G33)))^3)/$E$8))</f>
        <v>624.4802343556449</v>
      </c>
      <c r="J33" s="123">
        <f>IF(LEFT(G33,1)=" "," n/a",IF(G33&lt;5,100000*VLOOKUP(G33,'Hide - Calculation'!AQ:AS,3,FALSE)/$E$8,100000*((G33+1)*(1-1/(9*(G33+1))+1.96/(3*SQRT(G33+1)))^3)/$E$8))</f>
        <v>1401.16872297892</v>
      </c>
      <c r="K33" s="122">
        <f>IF('Hide - Calculation'!N27="","",'Hide - Calculation'!N27)</f>
        <v>1073.5173648815987</v>
      </c>
      <c r="L33" s="156">
        <f>'Hide - Calculation'!O27</f>
        <v>1059.3522061277838</v>
      </c>
      <c r="M33" s="148">
        <f>IF(ISBLANK('Hide - Calculation'!K27),"",'Hide - Calculation'!U27)</f>
        <v>225.2252197265625</v>
      </c>
      <c r="N33" s="86"/>
      <c r="O33" s="87"/>
      <c r="P33" s="87"/>
      <c r="Q33" s="87"/>
      <c r="R33" s="84"/>
      <c r="S33" s="84"/>
      <c r="T33" s="84"/>
      <c r="U33" s="84"/>
      <c r="V33" s="84"/>
      <c r="W33" s="84"/>
      <c r="X33" s="84"/>
      <c r="Y33" s="84"/>
      <c r="Z33" s="88"/>
      <c r="AA33" s="148">
        <f>IF(ISBLANK('Hide - Calculation'!K27),"",'Hide - Calculation'!T27)</f>
        <v>1909.5869140625</v>
      </c>
      <c r="AB33" s="234" t="s">
        <v>47</v>
      </c>
      <c r="AC33" s="131" t="s">
        <v>536</v>
      </c>
    </row>
    <row r="34" spans="2:29" s="63" customFormat="1" ht="33.75" customHeight="1">
      <c r="B34" s="305"/>
      <c r="C34" s="137">
        <v>22</v>
      </c>
      <c r="D34" s="132" t="s">
        <v>370</v>
      </c>
      <c r="E34" s="85"/>
      <c r="F34" s="85"/>
      <c r="G34" s="118">
        <f>IF(VLOOKUP('Hide - Control'!A$3,'All practice data'!A:CA,C34+4,FALSE)=" "," ",VLOOKUP('Hide - Control'!A$3,'All practice data'!A:CA,C34+4,FALSE))</f>
        <v>12</v>
      </c>
      <c r="H34" s="122">
        <f>IF(VLOOKUP('Hide - Control'!A$3,'All practice data'!A:CA,C34+30,FALSE)=" "," ",VLOOKUP('Hide - Control'!A$3,'All practice data'!A:CA,C34+30,FALSE))</f>
        <v>441.3387274733358</v>
      </c>
      <c r="I34" s="123">
        <f>IF(LEFT(G34,1)=" "," n/a",IF(G34&lt;5,100000*VLOOKUP(G34,'Hide - Calculation'!AQ:AR,2,FALSE)/$E$8,100000*(G34*(1-1/(9*G34)-1.96/(3*SQRT(G34)))^3)/$E$8))</f>
        <v>227.7833603483504</v>
      </c>
      <c r="J34" s="123">
        <f>IF(LEFT(G34,1)=" "," n/a",IF(G34&lt;5,100000*VLOOKUP(G34,'Hide - Calculation'!AQ:AS,3,FALSE)/$E$8,100000*((G34+1)*(1-1/(9*(G34+1))+1.96/(3*SQRT(G34+1)))^3)/$E$8))</f>
        <v>770.9833254913406</v>
      </c>
      <c r="K34" s="122">
        <f>IF('Hide - Calculation'!N28="","",'Hide - Calculation'!N28)</f>
        <v>550.0943018803223</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1395.157958984375</v>
      </c>
      <c r="AB34" s="234" t="s">
        <v>47</v>
      </c>
      <c r="AC34" s="131" t="s">
        <v>536</v>
      </c>
    </row>
    <row r="35" spans="2:29" s="63" customFormat="1" ht="33.75" customHeight="1">
      <c r="B35" s="305"/>
      <c r="C35" s="137">
        <v>23</v>
      </c>
      <c r="D35" s="138" t="s">
        <v>497</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356</v>
      </c>
      <c r="AC35" s="131">
        <v>2008</v>
      </c>
    </row>
    <row r="36" spans="2:29" ht="33.75" customHeight="1">
      <c r="B36" s="306"/>
      <c r="C36" s="137">
        <v>24</v>
      </c>
      <c r="D36" s="224" t="s">
        <v>498</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356</v>
      </c>
      <c r="AC36" s="131">
        <v>2008</v>
      </c>
    </row>
    <row r="37" spans="2:29" ht="33.75" customHeight="1" thickBot="1">
      <c r="B37" s="307"/>
      <c r="C37" s="176">
        <v>25</v>
      </c>
      <c r="D37" s="177" t="s">
        <v>372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356</v>
      </c>
      <c r="AC37" s="149">
        <v>2008</v>
      </c>
    </row>
    <row r="38" spans="2:29" ht="16.5" customHeight="1">
      <c r="B38" s="69"/>
      <c r="C38" s="69"/>
      <c r="D38" s="65" t="s">
        <v>354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605</v>
      </c>
      <c r="C39" s="244"/>
      <c r="D39" s="244"/>
      <c r="E39" s="303" t="s">
        <v>609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522</v>
      </c>
      <c r="BE2" s="341"/>
      <c r="BF2" s="341"/>
      <c r="BG2" s="341"/>
      <c r="BH2" s="341"/>
      <c r="BI2" s="341"/>
      <c r="BJ2" s="342"/>
    </row>
    <row r="3" spans="1:82" s="72" customFormat="1" ht="76.5" customHeight="1">
      <c r="A3" s="266" t="s">
        <v>276</v>
      </c>
      <c r="B3" s="275" t="s">
        <v>277</v>
      </c>
      <c r="C3" s="276" t="s">
        <v>49</v>
      </c>
      <c r="D3" s="274" t="s">
        <v>507</v>
      </c>
      <c r="E3" s="267" t="s">
        <v>379</v>
      </c>
      <c r="F3" s="267" t="s">
        <v>490</v>
      </c>
      <c r="G3" s="267" t="s">
        <v>381</v>
      </c>
      <c r="H3" s="267" t="s">
        <v>382</v>
      </c>
      <c r="I3" s="267" t="s">
        <v>383</v>
      </c>
      <c r="J3" s="267" t="s">
        <v>531</v>
      </c>
      <c r="K3" s="267" t="s">
        <v>532</v>
      </c>
      <c r="L3" s="267" t="s">
        <v>533</v>
      </c>
      <c r="M3" s="267" t="s">
        <v>384</v>
      </c>
      <c r="N3" s="267" t="s">
        <v>385</v>
      </c>
      <c r="O3" s="267" t="s">
        <v>386</v>
      </c>
      <c r="P3" s="267" t="s">
        <v>521</v>
      </c>
      <c r="Q3" s="267" t="s">
        <v>387</v>
      </c>
      <c r="R3" s="267" t="s">
        <v>388</v>
      </c>
      <c r="S3" s="267" t="s">
        <v>389</v>
      </c>
      <c r="T3" s="267" t="s">
        <v>390</v>
      </c>
      <c r="U3" s="267" t="s">
        <v>391</v>
      </c>
      <c r="V3" s="267" t="s">
        <v>392</v>
      </c>
      <c r="W3" s="267" t="s">
        <v>393</v>
      </c>
      <c r="X3" s="267" t="s">
        <v>394</v>
      </c>
      <c r="Y3" s="267" t="s">
        <v>395</v>
      </c>
      <c r="Z3" s="267" t="s">
        <v>396</v>
      </c>
      <c r="AA3" s="267" t="s">
        <v>397</v>
      </c>
      <c r="AB3" s="267" t="s">
        <v>398</v>
      </c>
      <c r="AC3" s="267" t="s">
        <v>399</v>
      </c>
      <c r="AD3" s="268" t="s">
        <v>400</v>
      </c>
      <c r="AE3" s="268" t="s">
        <v>379</v>
      </c>
      <c r="AF3" s="269" t="s">
        <v>380</v>
      </c>
      <c r="AG3" s="268" t="s">
        <v>381</v>
      </c>
      <c r="AH3" s="268" t="s">
        <v>382</v>
      </c>
      <c r="AI3" s="268" t="s">
        <v>383</v>
      </c>
      <c r="AJ3" s="268" t="s">
        <v>531</v>
      </c>
      <c r="AK3" s="268" t="s">
        <v>532</v>
      </c>
      <c r="AL3" s="268" t="s">
        <v>533</v>
      </c>
      <c r="AM3" s="268" t="s">
        <v>384</v>
      </c>
      <c r="AN3" s="268" t="s">
        <v>385</v>
      </c>
      <c r="AO3" s="268" t="s">
        <v>386</v>
      </c>
      <c r="AP3" s="268" t="s">
        <v>521</v>
      </c>
      <c r="AQ3" s="268" t="s">
        <v>387</v>
      </c>
      <c r="AR3" s="268" t="s">
        <v>388</v>
      </c>
      <c r="AS3" s="268" t="s">
        <v>389</v>
      </c>
      <c r="AT3" s="268" t="s">
        <v>390</v>
      </c>
      <c r="AU3" s="268" t="s">
        <v>391</v>
      </c>
      <c r="AV3" s="268" t="s">
        <v>392</v>
      </c>
      <c r="AW3" s="268" t="s">
        <v>393</v>
      </c>
      <c r="AX3" s="268" t="s">
        <v>394</v>
      </c>
      <c r="AY3" s="270" t="s">
        <v>395</v>
      </c>
      <c r="AZ3" s="271" t="s">
        <v>396</v>
      </c>
      <c r="BA3" s="271" t="s">
        <v>397</v>
      </c>
      <c r="BB3" s="271" t="s">
        <v>398</v>
      </c>
      <c r="BC3" s="272" t="s">
        <v>399</v>
      </c>
      <c r="BD3" s="273" t="s">
        <v>519</v>
      </c>
      <c r="BE3" s="273" t="s">
        <v>520</v>
      </c>
      <c r="BF3" s="273" t="s">
        <v>527</v>
      </c>
      <c r="BG3" s="273" t="s">
        <v>528</v>
      </c>
      <c r="BH3" s="273" t="s">
        <v>526</v>
      </c>
      <c r="BI3" s="273" t="s">
        <v>529</v>
      </c>
      <c r="BJ3" s="273" t="s">
        <v>530</v>
      </c>
      <c r="BK3" s="73"/>
      <c r="BL3" s="73"/>
      <c r="BM3" s="73"/>
      <c r="BN3" s="73"/>
      <c r="BO3" s="73"/>
      <c r="BP3" s="73"/>
      <c r="BQ3" s="73"/>
      <c r="BR3" s="73"/>
      <c r="BS3" s="73"/>
      <c r="BT3" s="73"/>
      <c r="BU3" s="73"/>
      <c r="BV3" s="73"/>
      <c r="BW3" s="73"/>
      <c r="BX3" s="73"/>
      <c r="BY3" s="73"/>
      <c r="BZ3" s="73"/>
      <c r="CA3" s="73"/>
      <c r="CB3" s="73"/>
      <c r="CC3" s="73"/>
      <c r="CD3" s="73"/>
    </row>
    <row r="4" spans="1:66" ht="12.75">
      <c r="A4" s="79" t="s">
        <v>582</v>
      </c>
      <c r="B4" s="79" t="s">
        <v>331</v>
      </c>
      <c r="C4" s="79" t="s">
        <v>165</v>
      </c>
      <c r="D4" s="99">
        <v>2719</v>
      </c>
      <c r="E4" s="99">
        <v>280</v>
      </c>
      <c r="F4" s="99" t="s">
        <v>374</v>
      </c>
      <c r="G4" s="99">
        <v>13</v>
      </c>
      <c r="H4" s="99" t="s">
        <v>608</v>
      </c>
      <c r="I4" s="99">
        <v>23</v>
      </c>
      <c r="J4" s="99">
        <v>173</v>
      </c>
      <c r="K4" s="99" t="s">
        <v>608</v>
      </c>
      <c r="L4" s="99">
        <v>426</v>
      </c>
      <c r="M4" s="99">
        <v>112</v>
      </c>
      <c r="N4" s="99">
        <v>57</v>
      </c>
      <c r="O4" s="99">
        <v>24</v>
      </c>
      <c r="P4" s="159">
        <v>24</v>
      </c>
      <c r="Q4" s="99" t="s">
        <v>608</v>
      </c>
      <c r="R4" s="99" t="s">
        <v>608</v>
      </c>
      <c r="S4" s="99" t="s">
        <v>608</v>
      </c>
      <c r="T4" s="99" t="s">
        <v>608</v>
      </c>
      <c r="U4" s="99" t="s">
        <v>608</v>
      </c>
      <c r="V4" s="99" t="s">
        <v>608</v>
      </c>
      <c r="W4" s="99">
        <v>14</v>
      </c>
      <c r="X4" s="99">
        <v>12</v>
      </c>
      <c r="Y4" s="99">
        <v>26</v>
      </c>
      <c r="Z4" s="99">
        <v>12</v>
      </c>
      <c r="AA4" s="99" t="s">
        <v>608</v>
      </c>
      <c r="AB4" s="99" t="s">
        <v>608</v>
      </c>
      <c r="AC4" s="99" t="s">
        <v>608</v>
      </c>
      <c r="AD4" s="98" t="s">
        <v>354</v>
      </c>
      <c r="AE4" s="100">
        <v>0.10297903641044502</v>
      </c>
      <c r="AF4" s="100">
        <v>0.19</v>
      </c>
      <c r="AG4" s="98">
        <v>478.11695476278044</v>
      </c>
      <c r="AH4" s="98" t="s">
        <v>608</v>
      </c>
      <c r="AI4" s="100">
        <v>0.008</v>
      </c>
      <c r="AJ4" s="100">
        <v>0.694779</v>
      </c>
      <c r="AK4" s="100" t="s">
        <v>608</v>
      </c>
      <c r="AL4" s="100">
        <v>0.711185</v>
      </c>
      <c r="AM4" s="100">
        <v>0.493392</v>
      </c>
      <c r="AN4" s="100">
        <v>0.491379</v>
      </c>
      <c r="AO4" s="98">
        <v>882.6774549466716</v>
      </c>
      <c r="AP4" s="158">
        <v>0.6330833054</v>
      </c>
      <c r="AQ4" s="100" t="s">
        <v>608</v>
      </c>
      <c r="AR4" s="100" t="s">
        <v>608</v>
      </c>
      <c r="AS4" s="98" t="s">
        <v>608</v>
      </c>
      <c r="AT4" s="98" t="s">
        <v>608</v>
      </c>
      <c r="AU4" s="98" t="s">
        <v>608</v>
      </c>
      <c r="AV4" s="98" t="s">
        <v>608</v>
      </c>
      <c r="AW4" s="98">
        <v>514.8951820522251</v>
      </c>
      <c r="AX4" s="98">
        <v>441.3387274733358</v>
      </c>
      <c r="AY4" s="98">
        <v>956.2339095255609</v>
      </c>
      <c r="AZ4" s="98">
        <v>441.3387274733358</v>
      </c>
      <c r="BA4" s="100" t="s">
        <v>608</v>
      </c>
      <c r="BB4" s="100" t="s">
        <v>608</v>
      </c>
      <c r="BC4" s="100" t="s">
        <v>608</v>
      </c>
      <c r="BD4" s="158">
        <v>0.40562843319999997</v>
      </c>
      <c r="BE4" s="158">
        <v>0.9419777679000001</v>
      </c>
      <c r="BF4" s="162">
        <v>249</v>
      </c>
      <c r="BG4" s="162" t="s">
        <v>608</v>
      </c>
      <c r="BH4" s="162">
        <v>599</v>
      </c>
      <c r="BI4" s="162">
        <v>227</v>
      </c>
      <c r="BJ4" s="162">
        <v>116</v>
      </c>
      <c r="BK4" s="97"/>
      <c r="BL4" s="97"/>
      <c r="BM4" s="97"/>
      <c r="BN4" s="97"/>
    </row>
    <row r="5" spans="1:66" ht="12.75">
      <c r="A5" s="79" t="s">
        <v>543</v>
      </c>
      <c r="B5" s="79" t="s">
        <v>287</v>
      </c>
      <c r="C5" s="79" t="s">
        <v>165</v>
      </c>
      <c r="D5" s="99">
        <v>4515</v>
      </c>
      <c r="E5" s="99">
        <v>686</v>
      </c>
      <c r="F5" s="99" t="s">
        <v>374</v>
      </c>
      <c r="G5" s="99">
        <v>16</v>
      </c>
      <c r="H5" s="99">
        <v>10</v>
      </c>
      <c r="I5" s="99">
        <v>55</v>
      </c>
      <c r="J5" s="99">
        <v>348</v>
      </c>
      <c r="K5" s="99">
        <v>332</v>
      </c>
      <c r="L5" s="99">
        <v>790</v>
      </c>
      <c r="M5" s="99">
        <v>195</v>
      </c>
      <c r="N5" s="99">
        <v>135</v>
      </c>
      <c r="O5" s="99">
        <v>68</v>
      </c>
      <c r="P5" s="159">
        <v>68</v>
      </c>
      <c r="Q5" s="99">
        <v>11</v>
      </c>
      <c r="R5" s="99">
        <v>30</v>
      </c>
      <c r="S5" s="99">
        <v>21</v>
      </c>
      <c r="T5" s="99">
        <v>6</v>
      </c>
      <c r="U5" s="99" t="s">
        <v>608</v>
      </c>
      <c r="V5" s="99">
        <v>11</v>
      </c>
      <c r="W5" s="99">
        <v>26</v>
      </c>
      <c r="X5" s="99">
        <v>12</v>
      </c>
      <c r="Y5" s="99">
        <v>43</v>
      </c>
      <c r="Z5" s="99">
        <v>27</v>
      </c>
      <c r="AA5" s="99" t="s">
        <v>608</v>
      </c>
      <c r="AB5" s="99" t="s">
        <v>608</v>
      </c>
      <c r="AC5" s="99" t="s">
        <v>608</v>
      </c>
      <c r="AD5" s="98" t="s">
        <v>354</v>
      </c>
      <c r="AE5" s="100">
        <v>0.15193798449612403</v>
      </c>
      <c r="AF5" s="100">
        <v>0.2</v>
      </c>
      <c r="AG5" s="98">
        <v>354.3743078626799</v>
      </c>
      <c r="AH5" s="98">
        <v>221.48394241417498</v>
      </c>
      <c r="AI5" s="100">
        <v>0.012</v>
      </c>
      <c r="AJ5" s="100">
        <v>0.726514</v>
      </c>
      <c r="AK5" s="100">
        <v>0.720174</v>
      </c>
      <c r="AL5" s="100">
        <v>0.760346</v>
      </c>
      <c r="AM5" s="100">
        <v>0.422078</v>
      </c>
      <c r="AN5" s="100">
        <v>0.525292</v>
      </c>
      <c r="AO5" s="98">
        <v>1506.0908084163898</v>
      </c>
      <c r="AP5" s="158">
        <v>0.8666763306</v>
      </c>
      <c r="AQ5" s="100">
        <v>0.16176470588235295</v>
      </c>
      <c r="AR5" s="100">
        <v>0.36666666666666664</v>
      </c>
      <c r="AS5" s="98">
        <v>465.1162790697674</v>
      </c>
      <c r="AT5" s="98">
        <v>132.89036544850498</v>
      </c>
      <c r="AU5" s="98" t="s">
        <v>608</v>
      </c>
      <c r="AV5" s="98">
        <v>243.63233665559247</v>
      </c>
      <c r="AW5" s="98">
        <v>575.858250276855</v>
      </c>
      <c r="AX5" s="98">
        <v>265.78073089700996</v>
      </c>
      <c r="AY5" s="98">
        <v>952.3809523809524</v>
      </c>
      <c r="AZ5" s="98">
        <v>598.0066445182724</v>
      </c>
      <c r="BA5" s="100" t="s">
        <v>608</v>
      </c>
      <c r="BB5" s="100" t="s">
        <v>608</v>
      </c>
      <c r="BC5" s="100" t="s">
        <v>608</v>
      </c>
      <c r="BD5" s="158">
        <v>0.6730081176999999</v>
      </c>
      <c r="BE5" s="158">
        <v>1.098718796</v>
      </c>
      <c r="BF5" s="162">
        <v>479</v>
      </c>
      <c r="BG5" s="162">
        <v>461</v>
      </c>
      <c r="BH5" s="162">
        <v>1039</v>
      </c>
      <c r="BI5" s="162">
        <v>462</v>
      </c>
      <c r="BJ5" s="162">
        <v>257</v>
      </c>
      <c r="BK5" s="97"/>
      <c r="BL5" s="97"/>
      <c r="BM5" s="97"/>
      <c r="BN5" s="97"/>
    </row>
    <row r="6" spans="1:66" ht="12.75">
      <c r="A6" s="79" t="s">
        <v>557</v>
      </c>
      <c r="B6" s="79" t="s">
        <v>302</v>
      </c>
      <c r="C6" s="79" t="s">
        <v>165</v>
      </c>
      <c r="D6" s="99">
        <v>10730</v>
      </c>
      <c r="E6" s="99">
        <v>1850</v>
      </c>
      <c r="F6" s="99" t="s">
        <v>376</v>
      </c>
      <c r="G6" s="99">
        <v>53</v>
      </c>
      <c r="H6" s="99">
        <v>35</v>
      </c>
      <c r="I6" s="99">
        <v>193</v>
      </c>
      <c r="J6" s="99">
        <v>1040</v>
      </c>
      <c r="K6" s="99">
        <v>16</v>
      </c>
      <c r="L6" s="99">
        <v>2182</v>
      </c>
      <c r="M6" s="99">
        <v>636</v>
      </c>
      <c r="N6" s="99">
        <v>400</v>
      </c>
      <c r="O6" s="99">
        <v>395</v>
      </c>
      <c r="P6" s="159">
        <v>395</v>
      </c>
      <c r="Q6" s="99">
        <v>28</v>
      </c>
      <c r="R6" s="99">
        <v>69</v>
      </c>
      <c r="S6" s="99">
        <v>67</v>
      </c>
      <c r="T6" s="99">
        <v>46</v>
      </c>
      <c r="U6" s="99">
        <v>11</v>
      </c>
      <c r="V6" s="99">
        <v>75</v>
      </c>
      <c r="W6" s="99">
        <v>87</v>
      </c>
      <c r="X6" s="99">
        <v>33</v>
      </c>
      <c r="Y6" s="99">
        <v>138</v>
      </c>
      <c r="Z6" s="99">
        <v>97</v>
      </c>
      <c r="AA6" s="99" t="s">
        <v>608</v>
      </c>
      <c r="AB6" s="99" t="s">
        <v>608</v>
      </c>
      <c r="AC6" s="99" t="s">
        <v>608</v>
      </c>
      <c r="AD6" s="98" t="s">
        <v>354</v>
      </c>
      <c r="AE6" s="100">
        <v>0.1724137931034483</v>
      </c>
      <c r="AF6" s="100">
        <v>0.11</v>
      </c>
      <c r="AG6" s="98">
        <v>493.94221808014913</v>
      </c>
      <c r="AH6" s="98">
        <v>326.18825722274</v>
      </c>
      <c r="AI6" s="100">
        <v>0.018000000000000002</v>
      </c>
      <c r="AJ6" s="100">
        <v>0.751988</v>
      </c>
      <c r="AK6" s="100">
        <v>0.615385</v>
      </c>
      <c r="AL6" s="100">
        <v>0.787441</v>
      </c>
      <c r="AM6" s="100">
        <v>0.507582</v>
      </c>
      <c r="AN6" s="100">
        <v>0.60698</v>
      </c>
      <c r="AO6" s="98">
        <v>3681.2674743709226</v>
      </c>
      <c r="AP6" s="158">
        <v>1.9157296750000001</v>
      </c>
      <c r="AQ6" s="100">
        <v>0.07088607594936709</v>
      </c>
      <c r="AR6" s="100">
        <v>0.4057971014492754</v>
      </c>
      <c r="AS6" s="98">
        <v>624.4175209692451</v>
      </c>
      <c r="AT6" s="98">
        <v>428.7045666356011</v>
      </c>
      <c r="AU6" s="98">
        <v>102.51630941286113</v>
      </c>
      <c r="AV6" s="98">
        <v>698.9748369058714</v>
      </c>
      <c r="AW6" s="98">
        <v>810.8108108108108</v>
      </c>
      <c r="AX6" s="98">
        <v>307.5489282385834</v>
      </c>
      <c r="AY6" s="98">
        <v>1286.1136999068033</v>
      </c>
      <c r="AZ6" s="98">
        <v>904.0074557315936</v>
      </c>
      <c r="BA6" s="100" t="s">
        <v>608</v>
      </c>
      <c r="BB6" s="100" t="s">
        <v>608</v>
      </c>
      <c r="BC6" s="100" t="s">
        <v>608</v>
      </c>
      <c r="BD6" s="158">
        <v>1.731437683</v>
      </c>
      <c r="BE6" s="158">
        <v>2.114295349</v>
      </c>
      <c r="BF6" s="162">
        <v>1383</v>
      </c>
      <c r="BG6" s="162">
        <v>26</v>
      </c>
      <c r="BH6" s="162">
        <v>2771</v>
      </c>
      <c r="BI6" s="162">
        <v>1253</v>
      </c>
      <c r="BJ6" s="162">
        <v>659</v>
      </c>
      <c r="BK6" s="97"/>
      <c r="BL6" s="97"/>
      <c r="BM6" s="97"/>
      <c r="BN6" s="97"/>
    </row>
    <row r="7" spans="1:66" ht="12.75">
      <c r="A7" s="79" t="s">
        <v>547</v>
      </c>
      <c r="B7" s="79" t="s">
        <v>292</v>
      </c>
      <c r="C7" s="79" t="s">
        <v>165</v>
      </c>
      <c r="D7" s="99">
        <v>10131</v>
      </c>
      <c r="E7" s="99">
        <v>1729</v>
      </c>
      <c r="F7" s="99" t="s">
        <v>377</v>
      </c>
      <c r="G7" s="99">
        <v>57</v>
      </c>
      <c r="H7" s="99">
        <v>32</v>
      </c>
      <c r="I7" s="99">
        <v>174</v>
      </c>
      <c r="J7" s="99">
        <v>1001</v>
      </c>
      <c r="K7" s="99">
        <v>13</v>
      </c>
      <c r="L7" s="99">
        <v>2038</v>
      </c>
      <c r="M7" s="99">
        <v>662</v>
      </c>
      <c r="N7" s="99">
        <v>366</v>
      </c>
      <c r="O7" s="99">
        <v>212</v>
      </c>
      <c r="P7" s="159">
        <v>212</v>
      </c>
      <c r="Q7" s="99">
        <v>28</v>
      </c>
      <c r="R7" s="99">
        <v>54</v>
      </c>
      <c r="S7" s="99">
        <v>22</v>
      </c>
      <c r="T7" s="99">
        <v>40</v>
      </c>
      <c r="U7" s="99">
        <v>16</v>
      </c>
      <c r="V7" s="99">
        <v>36</v>
      </c>
      <c r="W7" s="99">
        <v>86</v>
      </c>
      <c r="X7" s="99">
        <v>38</v>
      </c>
      <c r="Y7" s="99">
        <v>144</v>
      </c>
      <c r="Z7" s="99">
        <v>63</v>
      </c>
      <c r="AA7" s="99" t="s">
        <v>608</v>
      </c>
      <c r="AB7" s="99" t="s">
        <v>608</v>
      </c>
      <c r="AC7" s="99" t="s">
        <v>608</v>
      </c>
      <c r="AD7" s="98" t="s">
        <v>354</v>
      </c>
      <c r="AE7" s="100">
        <v>0.1706642977001283</v>
      </c>
      <c r="AF7" s="100">
        <v>0.15</v>
      </c>
      <c r="AG7" s="98">
        <v>562.6295528575658</v>
      </c>
      <c r="AH7" s="98">
        <v>315.86220511301946</v>
      </c>
      <c r="AI7" s="100">
        <v>0.017</v>
      </c>
      <c r="AJ7" s="100">
        <v>0.742031</v>
      </c>
      <c r="AK7" s="100">
        <v>0.52</v>
      </c>
      <c r="AL7" s="100">
        <v>0.8241</v>
      </c>
      <c r="AM7" s="100">
        <v>0.545754</v>
      </c>
      <c r="AN7" s="100">
        <v>0.596091</v>
      </c>
      <c r="AO7" s="98">
        <v>2092.587108873754</v>
      </c>
      <c r="AP7" s="158">
        <v>1.090046997</v>
      </c>
      <c r="AQ7" s="100">
        <v>0.1320754716981132</v>
      </c>
      <c r="AR7" s="100">
        <v>0.5185185185185185</v>
      </c>
      <c r="AS7" s="98">
        <v>217.15526601520088</v>
      </c>
      <c r="AT7" s="98">
        <v>394.8277563912743</v>
      </c>
      <c r="AU7" s="98">
        <v>157.93110255650973</v>
      </c>
      <c r="AV7" s="98">
        <v>355.34498075214685</v>
      </c>
      <c r="AW7" s="98">
        <v>848.8796762412397</v>
      </c>
      <c r="AX7" s="98">
        <v>375.0863685717106</v>
      </c>
      <c r="AY7" s="98">
        <v>1421.3799230085874</v>
      </c>
      <c r="AZ7" s="98">
        <v>621.8537163162571</v>
      </c>
      <c r="BA7" s="100" t="s">
        <v>608</v>
      </c>
      <c r="BB7" s="100" t="s">
        <v>608</v>
      </c>
      <c r="BC7" s="100" t="s">
        <v>608</v>
      </c>
      <c r="BD7" s="158">
        <v>0.948243866</v>
      </c>
      <c r="BE7" s="158">
        <v>1.247074432</v>
      </c>
      <c r="BF7" s="162">
        <v>1349</v>
      </c>
      <c r="BG7" s="162">
        <v>25</v>
      </c>
      <c r="BH7" s="162">
        <v>2473</v>
      </c>
      <c r="BI7" s="162">
        <v>1213</v>
      </c>
      <c r="BJ7" s="162">
        <v>614</v>
      </c>
      <c r="BK7" s="97"/>
      <c r="BL7" s="97"/>
      <c r="BM7" s="97"/>
      <c r="BN7" s="97"/>
    </row>
    <row r="8" spans="1:66" ht="12.75">
      <c r="A8" s="79" t="s">
        <v>585</v>
      </c>
      <c r="B8" s="79" t="s">
        <v>334</v>
      </c>
      <c r="C8" s="79" t="s">
        <v>165</v>
      </c>
      <c r="D8" s="99">
        <v>3937</v>
      </c>
      <c r="E8" s="99">
        <v>659</v>
      </c>
      <c r="F8" s="99" t="s">
        <v>374</v>
      </c>
      <c r="G8" s="99">
        <v>21</v>
      </c>
      <c r="H8" s="99">
        <v>17</v>
      </c>
      <c r="I8" s="99">
        <v>70</v>
      </c>
      <c r="J8" s="99">
        <v>337</v>
      </c>
      <c r="K8" s="99">
        <v>336</v>
      </c>
      <c r="L8" s="99">
        <v>685</v>
      </c>
      <c r="M8" s="99">
        <v>183</v>
      </c>
      <c r="N8" s="99">
        <v>112</v>
      </c>
      <c r="O8" s="99">
        <v>95</v>
      </c>
      <c r="P8" s="159">
        <v>95</v>
      </c>
      <c r="Q8" s="99">
        <v>12</v>
      </c>
      <c r="R8" s="99">
        <v>26</v>
      </c>
      <c r="S8" s="99">
        <v>18</v>
      </c>
      <c r="T8" s="99">
        <v>18</v>
      </c>
      <c r="U8" s="99" t="s">
        <v>608</v>
      </c>
      <c r="V8" s="99">
        <v>12</v>
      </c>
      <c r="W8" s="99">
        <v>22</v>
      </c>
      <c r="X8" s="99">
        <v>9</v>
      </c>
      <c r="Y8" s="99">
        <v>46</v>
      </c>
      <c r="Z8" s="99">
        <v>42</v>
      </c>
      <c r="AA8" s="99" t="s">
        <v>608</v>
      </c>
      <c r="AB8" s="99" t="s">
        <v>608</v>
      </c>
      <c r="AC8" s="99" t="s">
        <v>608</v>
      </c>
      <c r="AD8" s="98" t="s">
        <v>354</v>
      </c>
      <c r="AE8" s="100">
        <v>0.16738633477266954</v>
      </c>
      <c r="AF8" s="100">
        <v>0.21</v>
      </c>
      <c r="AG8" s="98">
        <v>533.4010668021336</v>
      </c>
      <c r="AH8" s="98">
        <v>431.8008636017272</v>
      </c>
      <c r="AI8" s="100">
        <v>0.018000000000000002</v>
      </c>
      <c r="AJ8" s="100">
        <v>0.743929</v>
      </c>
      <c r="AK8" s="100">
        <v>0.758465</v>
      </c>
      <c r="AL8" s="100">
        <v>0.738147</v>
      </c>
      <c r="AM8" s="100">
        <v>0.430588</v>
      </c>
      <c r="AN8" s="100">
        <v>0.511416</v>
      </c>
      <c r="AO8" s="98">
        <v>2413.004826009652</v>
      </c>
      <c r="AP8" s="158">
        <v>1.3214215089999999</v>
      </c>
      <c r="AQ8" s="100">
        <v>0.12631578947368421</v>
      </c>
      <c r="AR8" s="100">
        <v>0.46153846153846156</v>
      </c>
      <c r="AS8" s="98">
        <v>457.2009144018288</v>
      </c>
      <c r="AT8" s="98">
        <v>457.2009144018288</v>
      </c>
      <c r="AU8" s="98" t="s">
        <v>608</v>
      </c>
      <c r="AV8" s="98">
        <v>304.8006096012192</v>
      </c>
      <c r="AW8" s="98">
        <v>558.8011176022352</v>
      </c>
      <c r="AX8" s="98">
        <v>228.6004572009144</v>
      </c>
      <c r="AY8" s="98">
        <v>1168.4023368046735</v>
      </c>
      <c r="AZ8" s="98">
        <v>1066.8021336042673</v>
      </c>
      <c r="BA8" s="100" t="s">
        <v>608</v>
      </c>
      <c r="BB8" s="100" t="s">
        <v>608</v>
      </c>
      <c r="BC8" s="100" t="s">
        <v>608</v>
      </c>
      <c r="BD8" s="158">
        <v>1.0691089630000001</v>
      </c>
      <c r="BE8" s="158">
        <v>1.6153694150000002</v>
      </c>
      <c r="BF8" s="162">
        <v>453</v>
      </c>
      <c r="BG8" s="162">
        <v>443</v>
      </c>
      <c r="BH8" s="162">
        <v>928</v>
      </c>
      <c r="BI8" s="162">
        <v>425</v>
      </c>
      <c r="BJ8" s="162">
        <v>219</v>
      </c>
      <c r="BK8" s="97"/>
      <c r="BL8" s="97"/>
      <c r="BM8" s="97"/>
      <c r="BN8" s="97"/>
    </row>
    <row r="9" spans="1:66" ht="12.75">
      <c r="A9" s="79" t="s">
        <v>597</v>
      </c>
      <c r="B9" s="79" t="s">
        <v>349</v>
      </c>
      <c r="C9" s="79" t="s">
        <v>165</v>
      </c>
      <c r="D9" s="99">
        <v>2437</v>
      </c>
      <c r="E9" s="99">
        <v>343</v>
      </c>
      <c r="F9" s="99" t="s">
        <v>374</v>
      </c>
      <c r="G9" s="99">
        <v>14</v>
      </c>
      <c r="H9" s="99">
        <v>16</v>
      </c>
      <c r="I9" s="99">
        <v>30</v>
      </c>
      <c r="J9" s="99">
        <v>159</v>
      </c>
      <c r="K9" s="99">
        <v>157</v>
      </c>
      <c r="L9" s="99">
        <v>490</v>
      </c>
      <c r="M9" s="99">
        <v>88</v>
      </c>
      <c r="N9" s="99">
        <v>55</v>
      </c>
      <c r="O9" s="99">
        <v>28</v>
      </c>
      <c r="P9" s="159">
        <v>28</v>
      </c>
      <c r="Q9" s="99">
        <v>8</v>
      </c>
      <c r="R9" s="99">
        <v>14</v>
      </c>
      <c r="S9" s="99" t="s">
        <v>608</v>
      </c>
      <c r="T9" s="99" t="s">
        <v>608</v>
      </c>
      <c r="U9" s="99" t="s">
        <v>608</v>
      </c>
      <c r="V9" s="99" t="s">
        <v>608</v>
      </c>
      <c r="W9" s="99">
        <v>12</v>
      </c>
      <c r="X9" s="99" t="s">
        <v>608</v>
      </c>
      <c r="Y9" s="99">
        <v>27</v>
      </c>
      <c r="Z9" s="99">
        <v>34</v>
      </c>
      <c r="AA9" s="99" t="s">
        <v>608</v>
      </c>
      <c r="AB9" s="99" t="s">
        <v>608</v>
      </c>
      <c r="AC9" s="99" t="s">
        <v>608</v>
      </c>
      <c r="AD9" s="98" t="s">
        <v>354</v>
      </c>
      <c r="AE9" s="100">
        <v>0.1407468198604842</v>
      </c>
      <c r="AF9" s="100">
        <v>0.21</v>
      </c>
      <c r="AG9" s="98">
        <v>574.4768157570784</v>
      </c>
      <c r="AH9" s="98">
        <v>656.5449322938039</v>
      </c>
      <c r="AI9" s="100">
        <v>0.012</v>
      </c>
      <c r="AJ9" s="100">
        <v>0.659751</v>
      </c>
      <c r="AK9" s="100">
        <v>0.679654</v>
      </c>
      <c r="AL9" s="100">
        <v>0.909091</v>
      </c>
      <c r="AM9" s="100">
        <v>0.382609</v>
      </c>
      <c r="AN9" s="100">
        <v>0.470085</v>
      </c>
      <c r="AO9" s="98">
        <v>1148.9536315141568</v>
      </c>
      <c r="AP9" s="158">
        <v>0.6997013092000001</v>
      </c>
      <c r="AQ9" s="100">
        <v>0.2857142857142857</v>
      </c>
      <c r="AR9" s="100">
        <v>0.5714285714285714</v>
      </c>
      <c r="AS9" s="98" t="s">
        <v>608</v>
      </c>
      <c r="AT9" s="98" t="s">
        <v>608</v>
      </c>
      <c r="AU9" s="98" t="s">
        <v>608</v>
      </c>
      <c r="AV9" s="98" t="s">
        <v>608</v>
      </c>
      <c r="AW9" s="98">
        <v>492.4086992203529</v>
      </c>
      <c r="AX9" s="98" t="s">
        <v>608</v>
      </c>
      <c r="AY9" s="98">
        <v>1107.919573245794</v>
      </c>
      <c r="AZ9" s="98">
        <v>1395.1579811243332</v>
      </c>
      <c r="BA9" s="100" t="s">
        <v>608</v>
      </c>
      <c r="BB9" s="100" t="s">
        <v>608</v>
      </c>
      <c r="BC9" s="100" t="s">
        <v>608</v>
      </c>
      <c r="BD9" s="158">
        <v>0.4649464417</v>
      </c>
      <c r="BE9" s="158">
        <v>1.011263199</v>
      </c>
      <c r="BF9" s="162">
        <v>241</v>
      </c>
      <c r="BG9" s="162">
        <v>231</v>
      </c>
      <c r="BH9" s="162">
        <v>539</v>
      </c>
      <c r="BI9" s="162">
        <v>230</v>
      </c>
      <c r="BJ9" s="162">
        <v>117</v>
      </c>
      <c r="BK9" s="97"/>
      <c r="BL9" s="97"/>
      <c r="BM9" s="97"/>
      <c r="BN9" s="97"/>
    </row>
    <row r="10" spans="1:66" ht="12.75">
      <c r="A10" s="79" t="s">
        <v>545</v>
      </c>
      <c r="B10" s="79" t="s">
        <v>290</v>
      </c>
      <c r="C10" s="79" t="s">
        <v>165</v>
      </c>
      <c r="D10" s="99">
        <v>6379</v>
      </c>
      <c r="E10" s="99">
        <v>1014</v>
      </c>
      <c r="F10" s="99" t="s">
        <v>376</v>
      </c>
      <c r="G10" s="99">
        <v>21</v>
      </c>
      <c r="H10" s="99">
        <v>11</v>
      </c>
      <c r="I10" s="99">
        <v>74</v>
      </c>
      <c r="J10" s="99">
        <v>611</v>
      </c>
      <c r="K10" s="99" t="s">
        <v>608</v>
      </c>
      <c r="L10" s="99">
        <v>1346</v>
      </c>
      <c r="M10" s="99">
        <v>452</v>
      </c>
      <c r="N10" s="99">
        <v>198</v>
      </c>
      <c r="O10" s="99">
        <v>88</v>
      </c>
      <c r="P10" s="159">
        <v>88</v>
      </c>
      <c r="Q10" s="99">
        <v>20</v>
      </c>
      <c r="R10" s="99">
        <v>27</v>
      </c>
      <c r="S10" s="99">
        <v>13</v>
      </c>
      <c r="T10" s="99">
        <v>17</v>
      </c>
      <c r="U10" s="99" t="s">
        <v>608</v>
      </c>
      <c r="V10" s="99">
        <v>9</v>
      </c>
      <c r="W10" s="99">
        <v>23</v>
      </c>
      <c r="X10" s="99">
        <v>39</v>
      </c>
      <c r="Y10" s="99">
        <v>74</v>
      </c>
      <c r="Z10" s="99">
        <v>35</v>
      </c>
      <c r="AA10" s="99" t="s">
        <v>608</v>
      </c>
      <c r="AB10" s="99" t="s">
        <v>608</v>
      </c>
      <c r="AC10" s="99" t="s">
        <v>608</v>
      </c>
      <c r="AD10" s="98" t="s">
        <v>354</v>
      </c>
      <c r="AE10" s="100">
        <v>0.15895908449600252</v>
      </c>
      <c r="AF10" s="100">
        <v>0.1</v>
      </c>
      <c r="AG10" s="98">
        <v>329.20520457751996</v>
      </c>
      <c r="AH10" s="98">
        <v>172.44082144536762</v>
      </c>
      <c r="AI10" s="100">
        <v>0.012</v>
      </c>
      <c r="AJ10" s="100">
        <v>0.746944</v>
      </c>
      <c r="AK10" s="100" t="s">
        <v>608</v>
      </c>
      <c r="AL10" s="100">
        <v>0.836025</v>
      </c>
      <c r="AM10" s="100">
        <v>0.589309</v>
      </c>
      <c r="AN10" s="100">
        <v>0.578947</v>
      </c>
      <c r="AO10" s="98">
        <v>1379.526571562941</v>
      </c>
      <c r="AP10" s="158">
        <v>0.7317775726000001</v>
      </c>
      <c r="AQ10" s="100">
        <v>0.22727272727272727</v>
      </c>
      <c r="AR10" s="100">
        <v>0.7407407407407407</v>
      </c>
      <c r="AS10" s="98">
        <v>203.79369807179808</v>
      </c>
      <c r="AT10" s="98">
        <v>266.49945132465905</v>
      </c>
      <c r="AU10" s="98" t="s">
        <v>608</v>
      </c>
      <c r="AV10" s="98">
        <v>141.08794481893713</v>
      </c>
      <c r="AW10" s="98">
        <v>360.55808120395045</v>
      </c>
      <c r="AX10" s="98">
        <v>611.3810942153942</v>
      </c>
      <c r="AY10" s="98">
        <v>1160.0564351779276</v>
      </c>
      <c r="AZ10" s="98">
        <v>548.6753409625334</v>
      </c>
      <c r="BA10" s="100" t="s">
        <v>608</v>
      </c>
      <c r="BB10" s="100" t="s">
        <v>608</v>
      </c>
      <c r="BC10" s="100" t="s">
        <v>608</v>
      </c>
      <c r="BD10" s="158">
        <v>0.5869069672</v>
      </c>
      <c r="BE10" s="158">
        <v>0.9015703583</v>
      </c>
      <c r="BF10" s="162">
        <v>818</v>
      </c>
      <c r="BG10" s="162" t="s">
        <v>608</v>
      </c>
      <c r="BH10" s="162">
        <v>1610</v>
      </c>
      <c r="BI10" s="162">
        <v>767</v>
      </c>
      <c r="BJ10" s="162">
        <v>342</v>
      </c>
      <c r="BK10" s="97"/>
      <c r="BL10" s="97"/>
      <c r="BM10" s="97"/>
      <c r="BN10" s="97"/>
    </row>
    <row r="11" spans="1:66" ht="12.75">
      <c r="A11" s="79" t="s">
        <v>544</v>
      </c>
      <c r="B11" s="79" t="s">
        <v>289</v>
      </c>
      <c r="C11" s="79" t="s">
        <v>165</v>
      </c>
      <c r="D11" s="99">
        <v>6139</v>
      </c>
      <c r="E11" s="99">
        <v>976</v>
      </c>
      <c r="F11" s="99" t="s">
        <v>377</v>
      </c>
      <c r="G11" s="99">
        <v>15</v>
      </c>
      <c r="H11" s="99">
        <v>21</v>
      </c>
      <c r="I11" s="99">
        <v>99</v>
      </c>
      <c r="J11" s="99">
        <v>473</v>
      </c>
      <c r="K11" s="99">
        <v>6</v>
      </c>
      <c r="L11" s="99">
        <v>1219</v>
      </c>
      <c r="M11" s="99">
        <v>359</v>
      </c>
      <c r="N11" s="99">
        <v>178</v>
      </c>
      <c r="O11" s="99">
        <v>20</v>
      </c>
      <c r="P11" s="159">
        <v>20</v>
      </c>
      <c r="Q11" s="99">
        <v>10</v>
      </c>
      <c r="R11" s="99">
        <v>22</v>
      </c>
      <c r="S11" s="99" t="s">
        <v>608</v>
      </c>
      <c r="T11" s="99">
        <v>6</v>
      </c>
      <c r="U11" s="99" t="s">
        <v>608</v>
      </c>
      <c r="V11" s="99" t="s">
        <v>608</v>
      </c>
      <c r="W11" s="99">
        <v>21</v>
      </c>
      <c r="X11" s="99">
        <v>22</v>
      </c>
      <c r="Y11" s="99">
        <v>70</v>
      </c>
      <c r="Z11" s="99">
        <v>30</v>
      </c>
      <c r="AA11" s="99" t="s">
        <v>608</v>
      </c>
      <c r="AB11" s="99" t="s">
        <v>608</v>
      </c>
      <c r="AC11" s="99" t="s">
        <v>608</v>
      </c>
      <c r="AD11" s="98" t="s">
        <v>354</v>
      </c>
      <c r="AE11" s="100">
        <v>0.15898354780908944</v>
      </c>
      <c r="AF11" s="100">
        <v>0.17</v>
      </c>
      <c r="AG11" s="98">
        <v>244.33946896888745</v>
      </c>
      <c r="AH11" s="98">
        <v>342.0752565564424</v>
      </c>
      <c r="AI11" s="100">
        <v>0.016</v>
      </c>
      <c r="AJ11" s="100">
        <v>0.67765</v>
      </c>
      <c r="AK11" s="100">
        <v>0.545455</v>
      </c>
      <c r="AL11" s="100">
        <v>0.800394</v>
      </c>
      <c r="AM11" s="100">
        <v>0.575321</v>
      </c>
      <c r="AN11" s="100">
        <v>0.585526</v>
      </c>
      <c r="AO11" s="98">
        <v>325.78595862518324</v>
      </c>
      <c r="AP11" s="158">
        <v>0.1793227577</v>
      </c>
      <c r="AQ11" s="100">
        <v>0.5</v>
      </c>
      <c r="AR11" s="100">
        <v>0.45454545454545453</v>
      </c>
      <c r="AS11" s="98" t="s">
        <v>608</v>
      </c>
      <c r="AT11" s="98">
        <v>97.73578758755498</v>
      </c>
      <c r="AU11" s="98" t="s">
        <v>608</v>
      </c>
      <c r="AV11" s="98" t="s">
        <v>608</v>
      </c>
      <c r="AW11" s="98">
        <v>342.0752565564424</v>
      </c>
      <c r="AX11" s="98">
        <v>358.3645544877016</v>
      </c>
      <c r="AY11" s="98">
        <v>1140.2508551881415</v>
      </c>
      <c r="AZ11" s="98">
        <v>488.6789379377749</v>
      </c>
      <c r="BA11" s="100" t="s">
        <v>608</v>
      </c>
      <c r="BB11" s="100" t="s">
        <v>608</v>
      </c>
      <c r="BC11" s="100" t="s">
        <v>608</v>
      </c>
      <c r="BD11" s="158">
        <v>0.1095349979</v>
      </c>
      <c r="BE11" s="158">
        <v>0.2769494629</v>
      </c>
      <c r="BF11" s="162">
        <v>698</v>
      </c>
      <c r="BG11" s="162">
        <v>11</v>
      </c>
      <c r="BH11" s="162">
        <v>1523</v>
      </c>
      <c r="BI11" s="162">
        <v>624</v>
      </c>
      <c r="BJ11" s="162">
        <v>304</v>
      </c>
      <c r="BK11" s="97"/>
      <c r="BL11" s="97"/>
      <c r="BM11" s="97"/>
      <c r="BN11" s="97"/>
    </row>
    <row r="12" spans="1:66" ht="12.75">
      <c r="A12" s="79" t="s">
        <v>540</v>
      </c>
      <c r="B12" s="79" t="s">
        <v>283</v>
      </c>
      <c r="C12" s="79" t="s">
        <v>165</v>
      </c>
      <c r="D12" s="99">
        <v>3682</v>
      </c>
      <c r="E12" s="99">
        <v>642</v>
      </c>
      <c r="F12" s="99" t="s">
        <v>378</v>
      </c>
      <c r="G12" s="99">
        <v>19</v>
      </c>
      <c r="H12" s="99">
        <v>10</v>
      </c>
      <c r="I12" s="99">
        <v>77</v>
      </c>
      <c r="J12" s="99">
        <v>363</v>
      </c>
      <c r="K12" s="99">
        <v>10</v>
      </c>
      <c r="L12" s="99">
        <v>775</v>
      </c>
      <c r="M12" s="99">
        <v>284</v>
      </c>
      <c r="N12" s="99">
        <v>143</v>
      </c>
      <c r="O12" s="99">
        <v>64</v>
      </c>
      <c r="P12" s="159">
        <v>64</v>
      </c>
      <c r="Q12" s="99">
        <v>12</v>
      </c>
      <c r="R12" s="99">
        <v>18</v>
      </c>
      <c r="S12" s="99">
        <v>15</v>
      </c>
      <c r="T12" s="99">
        <v>11</v>
      </c>
      <c r="U12" s="99" t="s">
        <v>608</v>
      </c>
      <c r="V12" s="99">
        <v>8</v>
      </c>
      <c r="W12" s="99">
        <v>24</v>
      </c>
      <c r="X12" s="99">
        <v>17</v>
      </c>
      <c r="Y12" s="99">
        <v>39</v>
      </c>
      <c r="Z12" s="99">
        <v>24</v>
      </c>
      <c r="AA12" s="99" t="s">
        <v>608</v>
      </c>
      <c r="AB12" s="99" t="s">
        <v>608</v>
      </c>
      <c r="AC12" s="99" t="s">
        <v>608</v>
      </c>
      <c r="AD12" s="98" t="s">
        <v>354</v>
      </c>
      <c r="AE12" s="100">
        <v>0.17436175991309072</v>
      </c>
      <c r="AF12" s="100">
        <v>0.08</v>
      </c>
      <c r="AG12" s="98">
        <v>516.0239000543183</v>
      </c>
      <c r="AH12" s="98">
        <v>271.59152634437805</v>
      </c>
      <c r="AI12" s="100">
        <v>0.021</v>
      </c>
      <c r="AJ12" s="100">
        <v>0.762605</v>
      </c>
      <c r="AK12" s="100">
        <v>0.588235</v>
      </c>
      <c r="AL12" s="100">
        <v>0.83423</v>
      </c>
      <c r="AM12" s="100">
        <v>0.613391</v>
      </c>
      <c r="AN12" s="100">
        <v>0.65</v>
      </c>
      <c r="AO12" s="98">
        <v>1738.1857686040196</v>
      </c>
      <c r="AP12" s="158">
        <v>0.9003408050999999</v>
      </c>
      <c r="AQ12" s="100">
        <v>0.1875</v>
      </c>
      <c r="AR12" s="100">
        <v>0.6666666666666666</v>
      </c>
      <c r="AS12" s="98">
        <v>407.3872895165671</v>
      </c>
      <c r="AT12" s="98">
        <v>298.75067897881587</v>
      </c>
      <c r="AU12" s="98" t="s">
        <v>608</v>
      </c>
      <c r="AV12" s="98">
        <v>217.27322107550245</v>
      </c>
      <c r="AW12" s="98">
        <v>651.8196632265074</v>
      </c>
      <c r="AX12" s="98">
        <v>461.7055947854427</v>
      </c>
      <c r="AY12" s="98">
        <v>1059.2069527430745</v>
      </c>
      <c r="AZ12" s="98">
        <v>651.8196632265074</v>
      </c>
      <c r="BA12" s="100" t="s">
        <v>608</v>
      </c>
      <c r="BB12" s="100" t="s">
        <v>608</v>
      </c>
      <c r="BC12" s="100" t="s">
        <v>608</v>
      </c>
      <c r="BD12" s="158">
        <v>0.6933721160999999</v>
      </c>
      <c r="BE12" s="158">
        <v>1.149715118</v>
      </c>
      <c r="BF12" s="162">
        <v>476</v>
      </c>
      <c r="BG12" s="162">
        <v>17</v>
      </c>
      <c r="BH12" s="162">
        <v>929</v>
      </c>
      <c r="BI12" s="162">
        <v>463</v>
      </c>
      <c r="BJ12" s="162">
        <v>220</v>
      </c>
      <c r="BK12" s="97"/>
      <c r="BL12" s="97"/>
      <c r="BM12" s="97"/>
      <c r="BN12" s="97"/>
    </row>
    <row r="13" spans="1:66" ht="12.75">
      <c r="A13" s="79" t="s">
        <v>551</v>
      </c>
      <c r="B13" s="79" t="s">
        <v>296</v>
      </c>
      <c r="C13" s="79" t="s">
        <v>165</v>
      </c>
      <c r="D13" s="99">
        <v>17362</v>
      </c>
      <c r="E13" s="99">
        <v>3370</v>
      </c>
      <c r="F13" s="99" t="s">
        <v>376</v>
      </c>
      <c r="G13" s="99">
        <v>71</v>
      </c>
      <c r="H13" s="99">
        <v>39</v>
      </c>
      <c r="I13" s="99">
        <v>153</v>
      </c>
      <c r="J13" s="99">
        <v>2023</v>
      </c>
      <c r="K13" s="99">
        <v>424</v>
      </c>
      <c r="L13" s="99">
        <v>3297</v>
      </c>
      <c r="M13" s="99">
        <v>1496</v>
      </c>
      <c r="N13" s="99">
        <v>730</v>
      </c>
      <c r="O13" s="99">
        <v>333</v>
      </c>
      <c r="P13" s="159">
        <v>333</v>
      </c>
      <c r="Q13" s="99">
        <v>41</v>
      </c>
      <c r="R13" s="99">
        <v>92</v>
      </c>
      <c r="S13" s="99">
        <v>66</v>
      </c>
      <c r="T13" s="99">
        <v>53</v>
      </c>
      <c r="U13" s="99">
        <v>8</v>
      </c>
      <c r="V13" s="99">
        <v>50</v>
      </c>
      <c r="W13" s="99">
        <v>130</v>
      </c>
      <c r="X13" s="99">
        <v>69</v>
      </c>
      <c r="Y13" s="99">
        <v>183</v>
      </c>
      <c r="Z13" s="99">
        <v>121</v>
      </c>
      <c r="AA13" s="99" t="s">
        <v>608</v>
      </c>
      <c r="AB13" s="99" t="s">
        <v>608</v>
      </c>
      <c r="AC13" s="99" t="s">
        <v>608</v>
      </c>
      <c r="AD13" s="98" t="s">
        <v>354</v>
      </c>
      <c r="AE13" s="100">
        <v>0.19410206197442692</v>
      </c>
      <c r="AF13" s="100">
        <v>0.09</v>
      </c>
      <c r="AG13" s="98">
        <v>408.9390623200092</v>
      </c>
      <c r="AH13" s="98">
        <v>224.62849902085014</v>
      </c>
      <c r="AI13" s="100">
        <v>0.009000000000000001</v>
      </c>
      <c r="AJ13" s="100">
        <v>0.822692</v>
      </c>
      <c r="AK13" s="100">
        <v>0.723549</v>
      </c>
      <c r="AL13" s="100">
        <v>0.77177</v>
      </c>
      <c r="AM13" s="100">
        <v>0.610612</v>
      </c>
      <c r="AN13" s="100">
        <v>0.630397</v>
      </c>
      <c r="AO13" s="98">
        <v>1917.9817993318743</v>
      </c>
      <c r="AP13" s="158">
        <v>0.9458689117</v>
      </c>
      <c r="AQ13" s="100">
        <v>0.12312312312312312</v>
      </c>
      <c r="AR13" s="100">
        <v>0.44565217391304346</v>
      </c>
      <c r="AS13" s="98">
        <v>380.1405368045156</v>
      </c>
      <c r="AT13" s="98">
        <v>305.26437046423223</v>
      </c>
      <c r="AU13" s="98">
        <v>46.07764082478977</v>
      </c>
      <c r="AV13" s="98">
        <v>287.98525515493606</v>
      </c>
      <c r="AW13" s="98">
        <v>748.7616634028337</v>
      </c>
      <c r="AX13" s="98">
        <v>397.41965211381176</v>
      </c>
      <c r="AY13" s="98">
        <v>1054.026033867066</v>
      </c>
      <c r="AZ13" s="98">
        <v>696.9243174749453</v>
      </c>
      <c r="BA13" s="100" t="s">
        <v>608</v>
      </c>
      <c r="BB13" s="100" t="s">
        <v>608</v>
      </c>
      <c r="BC13" s="100" t="s">
        <v>608</v>
      </c>
      <c r="BD13" s="158">
        <v>0.8469940185999999</v>
      </c>
      <c r="BE13" s="158">
        <v>1.053116226</v>
      </c>
      <c r="BF13" s="162">
        <v>2459</v>
      </c>
      <c r="BG13" s="162">
        <v>586</v>
      </c>
      <c r="BH13" s="162">
        <v>4272</v>
      </c>
      <c r="BI13" s="162">
        <v>2450</v>
      </c>
      <c r="BJ13" s="162">
        <v>1158</v>
      </c>
      <c r="BK13" s="97"/>
      <c r="BL13" s="97"/>
      <c r="BM13" s="97"/>
      <c r="BN13" s="97"/>
    </row>
    <row r="14" spans="1:66" ht="12.75">
      <c r="A14" s="79" t="s">
        <v>562</v>
      </c>
      <c r="B14" s="79" t="s">
        <v>307</v>
      </c>
      <c r="C14" s="79" t="s">
        <v>165</v>
      </c>
      <c r="D14" s="99">
        <v>7494</v>
      </c>
      <c r="E14" s="99">
        <v>1481</v>
      </c>
      <c r="F14" s="99" t="s">
        <v>378</v>
      </c>
      <c r="G14" s="99">
        <v>35</v>
      </c>
      <c r="H14" s="99">
        <v>23</v>
      </c>
      <c r="I14" s="99">
        <v>164</v>
      </c>
      <c r="J14" s="99">
        <v>771</v>
      </c>
      <c r="K14" s="99" t="s">
        <v>608</v>
      </c>
      <c r="L14" s="99">
        <v>1619</v>
      </c>
      <c r="M14" s="99">
        <v>626</v>
      </c>
      <c r="N14" s="99">
        <v>314</v>
      </c>
      <c r="O14" s="99">
        <v>108</v>
      </c>
      <c r="P14" s="159">
        <v>108</v>
      </c>
      <c r="Q14" s="99">
        <v>22</v>
      </c>
      <c r="R14" s="99">
        <v>38</v>
      </c>
      <c r="S14" s="99">
        <v>17</v>
      </c>
      <c r="T14" s="99">
        <v>21</v>
      </c>
      <c r="U14" s="99">
        <v>7</v>
      </c>
      <c r="V14" s="99">
        <v>19</v>
      </c>
      <c r="W14" s="99">
        <v>32</v>
      </c>
      <c r="X14" s="99">
        <v>49</v>
      </c>
      <c r="Y14" s="99">
        <v>61</v>
      </c>
      <c r="Z14" s="99">
        <v>57</v>
      </c>
      <c r="AA14" s="99" t="s">
        <v>608</v>
      </c>
      <c r="AB14" s="99" t="s">
        <v>608</v>
      </c>
      <c r="AC14" s="99" t="s">
        <v>608</v>
      </c>
      <c r="AD14" s="98" t="s">
        <v>354</v>
      </c>
      <c r="AE14" s="100">
        <v>0.19762476647985056</v>
      </c>
      <c r="AF14" s="100">
        <v>0.08</v>
      </c>
      <c r="AG14" s="98">
        <v>467.0402989057913</v>
      </c>
      <c r="AH14" s="98">
        <v>306.9121964238057</v>
      </c>
      <c r="AI14" s="100">
        <v>0.022000000000000002</v>
      </c>
      <c r="AJ14" s="100">
        <v>0.735687</v>
      </c>
      <c r="AK14" s="100" t="s">
        <v>608</v>
      </c>
      <c r="AL14" s="100">
        <v>0.849869</v>
      </c>
      <c r="AM14" s="100">
        <v>0.627255</v>
      </c>
      <c r="AN14" s="100">
        <v>0.629259</v>
      </c>
      <c r="AO14" s="98">
        <v>1441.1529223378702</v>
      </c>
      <c r="AP14" s="158">
        <v>0.7023042297000001</v>
      </c>
      <c r="AQ14" s="100">
        <v>0.2037037037037037</v>
      </c>
      <c r="AR14" s="100">
        <v>0.5789473684210527</v>
      </c>
      <c r="AS14" s="98">
        <v>226.8481451828129</v>
      </c>
      <c r="AT14" s="98">
        <v>280.22417934347476</v>
      </c>
      <c r="AU14" s="98">
        <v>93.40805978115826</v>
      </c>
      <c r="AV14" s="98">
        <v>253.53616226314384</v>
      </c>
      <c r="AW14" s="98">
        <v>427.0082732852949</v>
      </c>
      <c r="AX14" s="98">
        <v>653.8564184681078</v>
      </c>
      <c r="AY14" s="98">
        <v>813.9845209500934</v>
      </c>
      <c r="AZ14" s="98">
        <v>760.6084867894316</v>
      </c>
      <c r="BA14" s="100" t="s">
        <v>608</v>
      </c>
      <c r="BB14" s="100" t="s">
        <v>608</v>
      </c>
      <c r="BC14" s="100" t="s">
        <v>608</v>
      </c>
      <c r="BD14" s="158">
        <v>0.5761137772</v>
      </c>
      <c r="BE14" s="158">
        <v>0.8479199219</v>
      </c>
      <c r="BF14" s="162">
        <v>1048</v>
      </c>
      <c r="BG14" s="162" t="s">
        <v>608</v>
      </c>
      <c r="BH14" s="162">
        <v>1905</v>
      </c>
      <c r="BI14" s="162">
        <v>998</v>
      </c>
      <c r="BJ14" s="162">
        <v>499</v>
      </c>
      <c r="BK14" s="97"/>
      <c r="BL14" s="97"/>
      <c r="BM14" s="97"/>
      <c r="BN14" s="97"/>
    </row>
    <row r="15" spans="1:66" ht="12.75">
      <c r="A15" s="79" t="s">
        <v>565</v>
      </c>
      <c r="B15" s="79" t="s">
        <v>310</v>
      </c>
      <c r="C15" s="79" t="s">
        <v>165</v>
      </c>
      <c r="D15" s="99">
        <v>6848</v>
      </c>
      <c r="E15" s="99">
        <v>1134</v>
      </c>
      <c r="F15" s="99" t="s">
        <v>377</v>
      </c>
      <c r="G15" s="99">
        <v>42</v>
      </c>
      <c r="H15" s="99">
        <v>15</v>
      </c>
      <c r="I15" s="99">
        <v>130</v>
      </c>
      <c r="J15" s="99">
        <v>516</v>
      </c>
      <c r="K15" s="99" t="s">
        <v>608</v>
      </c>
      <c r="L15" s="99">
        <v>1443</v>
      </c>
      <c r="M15" s="99">
        <v>429</v>
      </c>
      <c r="N15" s="99">
        <v>220</v>
      </c>
      <c r="O15" s="99">
        <v>116</v>
      </c>
      <c r="P15" s="159">
        <v>116</v>
      </c>
      <c r="Q15" s="99">
        <v>16</v>
      </c>
      <c r="R15" s="99">
        <v>36</v>
      </c>
      <c r="S15" s="99">
        <v>10</v>
      </c>
      <c r="T15" s="99">
        <v>23</v>
      </c>
      <c r="U15" s="99">
        <v>6</v>
      </c>
      <c r="V15" s="99">
        <v>18</v>
      </c>
      <c r="W15" s="99">
        <v>41</v>
      </c>
      <c r="X15" s="99">
        <v>36</v>
      </c>
      <c r="Y15" s="99">
        <v>99</v>
      </c>
      <c r="Z15" s="99">
        <v>52</v>
      </c>
      <c r="AA15" s="99" t="s">
        <v>608</v>
      </c>
      <c r="AB15" s="99" t="s">
        <v>608</v>
      </c>
      <c r="AC15" s="99" t="s">
        <v>608</v>
      </c>
      <c r="AD15" s="98" t="s">
        <v>354</v>
      </c>
      <c r="AE15" s="100">
        <v>0.16559579439252337</v>
      </c>
      <c r="AF15" s="100">
        <v>0.16</v>
      </c>
      <c r="AG15" s="98">
        <v>613.3177570093458</v>
      </c>
      <c r="AH15" s="98">
        <v>219.04205607476635</v>
      </c>
      <c r="AI15" s="100">
        <v>0.019</v>
      </c>
      <c r="AJ15" s="100">
        <v>0.668394</v>
      </c>
      <c r="AK15" s="100" t="s">
        <v>608</v>
      </c>
      <c r="AL15" s="100">
        <v>0.839442</v>
      </c>
      <c r="AM15" s="100">
        <v>0.603376</v>
      </c>
      <c r="AN15" s="100">
        <v>0.619718</v>
      </c>
      <c r="AO15" s="98">
        <v>1693.9252336448599</v>
      </c>
      <c r="AP15" s="158">
        <v>0.9131182097999999</v>
      </c>
      <c r="AQ15" s="100">
        <v>0.13793103448275862</v>
      </c>
      <c r="AR15" s="100">
        <v>0.4444444444444444</v>
      </c>
      <c r="AS15" s="98">
        <v>146.02803738317758</v>
      </c>
      <c r="AT15" s="98">
        <v>335.8644859813084</v>
      </c>
      <c r="AU15" s="98">
        <v>87.61682242990655</v>
      </c>
      <c r="AV15" s="98">
        <v>262.85046728971963</v>
      </c>
      <c r="AW15" s="98">
        <v>598.7149532710281</v>
      </c>
      <c r="AX15" s="98">
        <v>525.7009345794393</v>
      </c>
      <c r="AY15" s="98">
        <v>1445.677570093458</v>
      </c>
      <c r="AZ15" s="98">
        <v>759.3457943925233</v>
      </c>
      <c r="BA15" s="100" t="s">
        <v>608</v>
      </c>
      <c r="BB15" s="100" t="s">
        <v>608</v>
      </c>
      <c r="BC15" s="100" t="s">
        <v>608</v>
      </c>
      <c r="BD15" s="158">
        <v>0.7545272063999999</v>
      </c>
      <c r="BE15" s="158">
        <v>1.095198288</v>
      </c>
      <c r="BF15" s="162">
        <v>772</v>
      </c>
      <c r="BG15" s="162" t="s">
        <v>608</v>
      </c>
      <c r="BH15" s="162">
        <v>1719</v>
      </c>
      <c r="BI15" s="162">
        <v>711</v>
      </c>
      <c r="BJ15" s="162">
        <v>355</v>
      </c>
      <c r="BK15" s="97"/>
      <c r="BL15" s="97"/>
      <c r="BM15" s="97"/>
      <c r="BN15" s="97"/>
    </row>
    <row r="16" spans="1:66" ht="12.75">
      <c r="A16" s="79" t="s">
        <v>616</v>
      </c>
      <c r="B16" s="79" t="s">
        <v>330</v>
      </c>
      <c r="C16" s="79" t="s">
        <v>165</v>
      </c>
      <c r="D16" s="99">
        <v>4684</v>
      </c>
      <c r="E16" s="99">
        <v>331</v>
      </c>
      <c r="F16" s="99" t="s">
        <v>375</v>
      </c>
      <c r="G16" s="99">
        <v>6</v>
      </c>
      <c r="H16" s="99" t="s">
        <v>608</v>
      </c>
      <c r="I16" s="99">
        <v>18</v>
      </c>
      <c r="J16" s="99">
        <v>158</v>
      </c>
      <c r="K16" s="99">
        <v>170</v>
      </c>
      <c r="L16" s="99">
        <v>656</v>
      </c>
      <c r="M16" s="99">
        <v>53</v>
      </c>
      <c r="N16" s="99">
        <v>28</v>
      </c>
      <c r="O16" s="99" t="s">
        <v>608</v>
      </c>
      <c r="P16" s="159" t="s">
        <v>608</v>
      </c>
      <c r="Q16" s="99" t="s">
        <v>608</v>
      </c>
      <c r="R16" s="99">
        <v>8</v>
      </c>
      <c r="S16" s="99" t="s">
        <v>608</v>
      </c>
      <c r="T16" s="99" t="s">
        <v>608</v>
      </c>
      <c r="U16" s="99" t="s">
        <v>608</v>
      </c>
      <c r="V16" s="99" t="s">
        <v>608</v>
      </c>
      <c r="W16" s="99">
        <v>15</v>
      </c>
      <c r="X16" s="99">
        <v>14</v>
      </c>
      <c r="Y16" s="99">
        <v>57</v>
      </c>
      <c r="Z16" s="99">
        <v>12</v>
      </c>
      <c r="AA16" s="99" t="s">
        <v>608</v>
      </c>
      <c r="AB16" s="99" t="s">
        <v>608</v>
      </c>
      <c r="AC16" s="99" t="s">
        <v>608</v>
      </c>
      <c r="AD16" s="98" t="s">
        <v>354</v>
      </c>
      <c r="AE16" s="100">
        <v>0.07066609735269001</v>
      </c>
      <c r="AF16" s="100">
        <v>0.29</v>
      </c>
      <c r="AG16" s="98">
        <v>128.09564474807857</v>
      </c>
      <c r="AH16" s="98" t="s">
        <v>608</v>
      </c>
      <c r="AI16" s="100">
        <v>0.004</v>
      </c>
      <c r="AJ16" s="100">
        <v>0.512987</v>
      </c>
      <c r="AK16" s="100">
        <v>0.559211</v>
      </c>
      <c r="AL16" s="100">
        <v>0.659296</v>
      </c>
      <c r="AM16" s="100">
        <v>0.266332</v>
      </c>
      <c r="AN16" s="100">
        <v>0.297872</v>
      </c>
      <c r="AO16" s="98" t="s">
        <v>608</v>
      </c>
      <c r="AP16" s="158" t="s">
        <v>608</v>
      </c>
      <c r="AQ16" s="100" t="s">
        <v>608</v>
      </c>
      <c r="AR16" s="100" t="s">
        <v>608</v>
      </c>
      <c r="AS16" s="98" t="s">
        <v>608</v>
      </c>
      <c r="AT16" s="98" t="s">
        <v>608</v>
      </c>
      <c r="AU16" s="98" t="s">
        <v>608</v>
      </c>
      <c r="AV16" s="98" t="s">
        <v>608</v>
      </c>
      <c r="AW16" s="98">
        <v>320.23911187019644</v>
      </c>
      <c r="AX16" s="98">
        <v>298.8898377455167</v>
      </c>
      <c r="AY16" s="98">
        <v>1216.9086251067463</v>
      </c>
      <c r="AZ16" s="98">
        <v>256.19128949615714</v>
      </c>
      <c r="BA16" s="100" t="s">
        <v>608</v>
      </c>
      <c r="BB16" s="100" t="s">
        <v>608</v>
      </c>
      <c r="BC16" s="100" t="s">
        <v>608</v>
      </c>
      <c r="BD16" s="158" t="s">
        <v>608</v>
      </c>
      <c r="BE16" s="158" t="s">
        <v>608</v>
      </c>
      <c r="BF16" s="162">
        <v>308</v>
      </c>
      <c r="BG16" s="162">
        <v>304</v>
      </c>
      <c r="BH16" s="162">
        <v>995</v>
      </c>
      <c r="BI16" s="162">
        <v>199</v>
      </c>
      <c r="BJ16" s="162">
        <v>94</v>
      </c>
      <c r="BK16" s="97"/>
      <c r="BL16" s="97"/>
      <c r="BM16" s="97"/>
      <c r="BN16" s="97"/>
    </row>
    <row r="17" spans="1:66" ht="12.75">
      <c r="A17" s="79" t="s">
        <v>612</v>
      </c>
      <c r="B17" s="79" t="s">
        <v>288</v>
      </c>
      <c r="C17" s="79" t="s">
        <v>165</v>
      </c>
      <c r="D17" s="99">
        <v>5394</v>
      </c>
      <c r="E17" s="99">
        <v>905</v>
      </c>
      <c r="F17" s="99" t="s">
        <v>374</v>
      </c>
      <c r="G17" s="99">
        <v>26</v>
      </c>
      <c r="H17" s="99">
        <v>12</v>
      </c>
      <c r="I17" s="99">
        <v>98</v>
      </c>
      <c r="J17" s="99">
        <v>451</v>
      </c>
      <c r="K17" s="99">
        <v>441</v>
      </c>
      <c r="L17" s="99">
        <v>886</v>
      </c>
      <c r="M17" s="99">
        <v>252</v>
      </c>
      <c r="N17" s="99">
        <v>161</v>
      </c>
      <c r="O17" s="99">
        <v>99</v>
      </c>
      <c r="P17" s="159">
        <v>99</v>
      </c>
      <c r="Q17" s="99">
        <v>14</v>
      </c>
      <c r="R17" s="99">
        <v>34</v>
      </c>
      <c r="S17" s="99">
        <v>16</v>
      </c>
      <c r="T17" s="99">
        <v>19</v>
      </c>
      <c r="U17" s="99" t="s">
        <v>608</v>
      </c>
      <c r="V17" s="99">
        <v>10</v>
      </c>
      <c r="W17" s="99">
        <v>34</v>
      </c>
      <c r="X17" s="99">
        <v>14</v>
      </c>
      <c r="Y17" s="99">
        <v>69</v>
      </c>
      <c r="Z17" s="99">
        <v>25</v>
      </c>
      <c r="AA17" s="99" t="s">
        <v>608</v>
      </c>
      <c r="AB17" s="99" t="s">
        <v>608</v>
      </c>
      <c r="AC17" s="99" t="s">
        <v>608</v>
      </c>
      <c r="AD17" s="98" t="s">
        <v>354</v>
      </c>
      <c r="AE17" s="100">
        <v>0.167779013718947</v>
      </c>
      <c r="AF17" s="100">
        <v>0.22</v>
      </c>
      <c r="AG17" s="98">
        <v>482.017055988135</v>
      </c>
      <c r="AH17" s="98">
        <v>222.4694104560623</v>
      </c>
      <c r="AI17" s="100">
        <v>0.018000000000000002</v>
      </c>
      <c r="AJ17" s="100">
        <v>0.710236</v>
      </c>
      <c r="AK17" s="100">
        <v>0.712439</v>
      </c>
      <c r="AL17" s="100">
        <v>0.726825</v>
      </c>
      <c r="AM17" s="100">
        <v>0.401274</v>
      </c>
      <c r="AN17" s="100">
        <v>0.492355</v>
      </c>
      <c r="AO17" s="98">
        <v>1835.3726362625139</v>
      </c>
      <c r="AP17" s="158">
        <v>1.004363632</v>
      </c>
      <c r="AQ17" s="100">
        <v>0.1414141414141414</v>
      </c>
      <c r="AR17" s="100">
        <v>0.4117647058823529</v>
      </c>
      <c r="AS17" s="98">
        <v>296.62588060808304</v>
      </c>
      <c r="AT17" s="98">
        <v>352.24323322209864</v>
      </c>
      <c r="AU17" s="98" t="s">
        <v>608</v>
      </c>
      <c r="AV17" s="98">
        <v>185.39117538005192</v>
      </c>
      <c r="AW17" s="98">
        <v>630.3299962921765</v>
      </c>
      <c r="AX17" s="98">
        <v>259.5476455320727</v>
      </c>
      <c r="AY17" s="98">
        <v>1279.1991101223582</v>
      </c>
      <c r="AZ17" s="98">
        <v>463.4779384501298</v>
      </c>
      <c r="BA17" s="100" t="s">
        <v>608</v>
      </c>
      <c r="BB17" s="100" t="s">
        <v>608</v>
      </c>
      <c r="BC17" s="100" t="s">
        <v>608</v>
      </c>
      <c r="BD17" s="158">
        <v>0.816297226</v>
      </c>
      <c r="BE17" s="158">
        <v>1.222776718</v>
      </c>
      <c r="BF17" s="162">
        <v>635</v>
      </c>
      <c r="BG17" s="162">
        <v>619</v>
      </c>
      <c r="BH17" s="162">
        <v>1219</v>
      </c>
      <c r="BI17" s="162">
        <v>628</v>
      </c>
      <c r="BJ17" s="162">
        <v>327</v>
      </c>
      <c r="BK17" s="97"/>
      <c r="BL17" s="97"/>
      <c r="BM17" s="97"/>
      <c r="BN17" s="97"/>
    </row>
    <row r="18" spans="1:66" ht="12.75">
      <c r="A18" s="79" t="s">
        <v>575</v>
      </c>
      <c r="B18" s="79" t="s">
        <v>321</v>
      </c>
      <c r="C18" s="79" t="s">
        <v>165</v>
      </c>
      <c r="D18" s="99">
        <v>2323</v>
      </c>
      <c r="E18" s="99">
        <v>404</v>
      </c>
      <c r="F18" s="99" t="s">
        <v>374</v>
      </c>
      <c r="G18" s="99">
        <v>6</v>
      </c>
      <c r="H18" s="99">
        <v>10</v>
      </c>
      <c r="I18" s="99">
        <v>18</v>
      </c>
      <c r="J18" s="99">
        <v>136</v>
      </c>
      <c r="K18" s="99" t="s">
        <v>608</v>
      </c>
      <c r="L18" s="99">
        <v>387</v>
      </c>
      <c r="M18" s="99">
        <v>99</v>
      </c>
      <c r="N18" s="99">
        <v>57</v>
      </c>
      <c r="O18" s="99">
        <v>31</v>
      </c>
      <c r="P18" s="159">
        <v>31</v>
      </c>
      <c r="Q18" s="99" t="s">
        <v>608</v>
      </c>
      <c r="R18" s="99">
        <v>7</v>
      </c>
      <c r="S18" s="99">
        <v>6</v>
      </c>
      <c r="T18" s="99" t="s">
        <v>608</v>
      </c>
      <c r="U18" s="99" t="s">
        <v>608</v>
      </c>
      <c r="V18" s="99" t="s">
        <v>608</v>
      </c>
      <c r="W18" s="99">
        <v>13</v>
      </c>
      <c r="X18" s="99">
        <v>8</v>
      </c>
      <c r="Y18" s="99">
        <v>37</v>
      </c>
      <c r="Z18" s="99">
        <v>27</v>
      </c>
      <c r="AA18" s="99" t="s">
        <v>608</v>
      </c>
      <c r="AB18" s="99" t="s">
        <v>608</v>
      </c>
      <c r="AC18" s="99" t="s">
        <v>608</v>
      </c>
      <c r="AD18" s="98" t="s">
        <v>354</v>
      </c>
      <c r="AE18" s="100">
        <v>0.17391304347826086</v>
      </c>
      <c r="AF18" s="100">
        <v>0.23</v>
      </c>
      <c r="AG18" s="98">
        <v>258.2866982350409</v>
      </c>
      <c r="AH18" s="98">
        <v>430.4778303917348</v>
      </c>
      <c r="AI18" s="100">
        <v>0.008</v>
      </c>
      <c r="AJ18" s="100">
        <v>0.60177</v>
      </c>
      <c r="AK18" s="100" t="s">
        <v>608</v>
      </c>
      <c r="AL18" s="100">
        <v>0.739962</v>
      </c>
      <c r="AM18" s="100">
        <v>0.40081</v>
      </c>
      <c r="AN18" s="100">
        <v>0.410072</v>
      </c>
      <c r="AO18" s="98">
        <v>1334.481274214378</v>
      </c>
      <c r="AP18" s="158">
        <v>0.7134355927</v>
      </c>
      <c r="AQ18" s="100" t="s">
        <v>608</v>
      </c>
      <c r="AR18" s="100" t="s">
        <v>608</v>
      </c>
      <c r="AS18" s="98">
        <v>258.2866982350409</v>
      </c>
      <c r="AT18" s="98" t="s">
        <v>608</v>
      </c>
      <c r="AU18" s="98" t="s">
        <v>608</v>
      </c>
      <c r="AV18" s="98" t="s">
        <v>608</v>
      </c>
      <c r="AW18" s="98">
        <v>559.6211795092553</v>
      </c>
      <c r="AX18" s="98">
        <v>344.38226431338785</v>
      </c>
      <c r="AY18" s="98">
        <v>1592.767972449419</v>
      </c>
      <c r="AZ18" s="98">
        <v>1162.290142057684</v>
      </c>
      <c r="BA18" s="100" t="s">
        <v>608</v>
      </c>
      <c r="BB18" s="100" t="s">
        <v>608</v>
      </c>
      <c r="BC18" s="100" t="s">
        <v>608</v>
      </c>
      <c r="BD18" s="158">
        <v>0.4847448349</v>
      </c>
      <c r="BE18" s="158">
        <v>1.012664795</v>
      </c>
      <c r="BF18" s="162">
        <v>226</v>
      </c>
      <c r="BG18" s="162" t="s">
        <v>608</v>
      </c>
      <c r="BH18" s="162">
        <v>523</v>
      </c>
      <c r="BI18" s="162">
        <v>247</v>
      </c>
      <c r="BJ18" s="162">
        <v>139</v>
      </c>
      <c r="BK18" s="97"/>
      <c r="BL18" s="97"/>
      <c r="BM18" s="97"/>
      <c r="BN18" s="97"/>
    </row>
    <row r="19" spans="1:66" ht="12.75">
      <c r="A19" s="79" t="s">
        <v>587</v>
      </c>
      <c r="B19" s="79" t="s">
        <v>337</v>
      </c>
      <c r="C19" s="79" t="s">
        <v>165</v>
      </c>
      <c r="D19" s="99">
        <v>1894</v>
      </c>
      <c r="E19" s="99">
        <v>226</v>
      </c>
      <c r="F19" s="99" t="s">
        <v>375</v>
      </c>
      <c r="G19" s="99" t="s">
        <v>608</v>
      </c>
      <c r="H19" s="99" t="s">
        <v>608</v>
      </c>
      <c r="I19" s="99">
        <v>12</v>
      </c>
      <c r="J19" s="99">
        <v>101</v>
      </c>
      <c r="K19" s="99" t="s">
        <v>608</v>
      </c>
      <c r="L19" s="99">
        <v>318</v>
      </c>
      <c r="M19" s="99">
        <v>54</v>
      </c>
      <c r="N19" s="99">
        <v>26</v>
      </c>
      <c r="O19" s="99" t="s">
        <v>608</v>
      </c>
      <c r="P19" s="159" t="s">
        <v>608</v>
      </c>
      <c r="Q19" s="99" t="s">
        <v>608</v>
      </c>
      <c r="R19" s="99" t="s">
        <v>608</v>
      </c>
      <c r="S19" s="99" t="s">
        <v>608</v>
      </c>
      <c r="T19" s="99" t="s">
        <v>608</v>
      </c>
      <c r="U19" s="99" t="s">
        <v>608</v>
      </c>
      <c r="V19" s="99" t="s">
        <v>608</v>
      </c>
      <c r="W19" s="99">
        <v>6</v>
      </c>
      <c r="X19" s="99">
        <v>6</v>
      </c>
      <c r="Y19" s="99">
        <v>19</v>
      </c>
      <c r="Z19" s="99">
        <v>8</v>
      </c>
      <c r="AA19" s="99" t="s">
        <v>608</v>
      </c>
      <c r="AB19" s="99" t="s">
        <v>608</v>
      </c>
      <c r="AC19" s="99" t="s">
        <v>608</v>
      </c>
      <c r="AD19" s="98" t="s">
        <v>354</v>
      </c>
      <c r="AE19" s="100">
        <v>0.11932418162618796</v>
      </c>
      <c r="AF19" s="100">
        <v>0.24</v>
      </c>
      <c r="AG19" s="98" t="s">
        <v>608</v>
      </c>
      <c r="AH19" s="98" t="s">
        <v>608</v>
      </c>
      <c r="AI19" s="100">
        <v>0.006</v>
      </c>
      <c r="AJ19" s="100">
        <v>0.597633</v>
      </c>
      <c r="AK19" s="100" t="s">
        <v>608</v>
      </c>
      <c r="AL19" s="100">
        <v>0.729358</v>
      </c>
      <c r="AM19" s="100">
        <v>0.380282</v>
      </c>
      <c r="AN19" s="100">
        <v>0.412698</v>
      </c>
      <c r="AO19" s="98" t="s">
        <v>608</v>
      </c>
      <c r="AP19" s="158" t="s">
        <v>608</v>
      </c>
      <c r="AQ19" s="100" t="s">
        <v>608</v>
      </c>
      <c r="AR19" s="100" t="s">
        <v>608</v>
      </c>
      <c r="AS19" s="98" t="s">
        <v>608</v>
      </c>
      <c r="AT19" s="98" t="s">
        <v>608</v>
      </c>
      <c r="AU19" s="98" t="s">
        <v>608</v>
      </c>
      <c r="AV19" s="98" t="s">
        <v>608</v>
      </c>
      <c r="AW19" s="98">
        <v>316.78986272439283</v>
      </c>
      <c r="AX19" s="98">
        <v>316.78986272439283</v>
      </c>
      <c r="AY19" s="98">
        <v>1003.167898627244</v>
      </c>
      <c r="AZ19" s="98">
        <v>422.3864836325238</v>
      </c>
      <c r="BA19" s="100" t="s">
        <v>608</v>
      </c>
      <c r="BB19" s="100" t="s">
        <v>608</v>
      </c>
      <c r="BC19" s="100" t="s">
        <v>608</v>
      </c>
      <c r="BD19" s="158" t="s">
        <v>608</v>
      </c>
      <c r="BE19" s="158" t="s">
        <v>608</v>
      </c>
      <c r="BF19" s="162">
        <v>169</v>
      </c>
      <c r="BG19" s="162" t="s">
        <v>608</v>
      </c>
      <c r="BH19" s="162">
        <v>436</v>
      </c>
      <c r="BI19" s="162">
        <v>142</v>
      </c>
      <c r="BJ19" s="162">
        <v>63</v>
      </c>
      <c r="BK19" s="97"/>
      <c r="BL19" s="97"/>
      <c r="BM19" s="97"/>
      <c r="BN19" s="97"/>
    </row>
    <row r="20" spans="1:66" ht="12.75">
      <c r="A20" s="79" t="s">
        <v>566</v>
      </c>
      <c r="B20" s="79" t="s">
        <v>311</v>
      </c>
      <c r="C20" s="79" t="s">
        <v>165</v>
      </c>
      <c r="D20" s="99">
        <v>6361</v>
      </c>
      <c r="E20" s="99">
        <v>1071</v>
      </c>
      <c r="F20" s="99" t="s">
        <v>374</v>
      </c>
      <c r="G20" s="99">
        <v>34</v>
      </c>
      <c r="H20" s="99">
        <v>17</v>
      </c>
      <c r="I20" s="99">
        <v>65</v>
      </c>
      <c r="J20" s="99">
        <v>504</v>
      </c>
      <c r="K20" s="99" t="s">
        <v>608</v>
      </c>
      <c r="L20" s="99">
        <v>1142</v>
      </c>
      <c r="M20" s="99">
        <v>384</v>
      </c>
      <c r="N20" s="99">
        <v>175</v>
      </c>
      <c r="O20" s="99">
        <v>65</v>
      </c>
      <c r="P20" s="159">
        <v>65</v>
      </c>
      <c r="Q20" s="99">
        <v>15</v>
      </c>
      <c r="R20" s="99">
        <v>28</v>
      </c>
      <c r="S20" s="99" t="s">
        <v>608</v>
      </c>
      <c r="T20" s="99" t="s">
        <v>608</v>
      </c>
      <c r="U20" s="99">
        <v>6</v>
      </c>
      <c r="V20" s="99">
        <v>16</v>
      </c>
      <c r="W20" s="99">
        <v>29</v>
      </c>
      <c r="X20" s="99">
        <v>45</v>
      </c>
      <c r="Y20" s="99">
        <v>105</v>
      </c>
      <c r="Z20" s="99">
        <v>50</v>
      </c>
      <c r="AA20" s="99" t="s">
        <v>608</v>
      </c>
      <c r="AB20" s="99" t="s">
        <v>608</v>
      </c>
      <c r="AC20" s="99" t="s">
        <v>608</v>
      </c>
      <c r="AD20" s="98" t="s">
        <v>354</v>
      </c>
      <c r="AE20" s="100">
        <v>0.16836975318346173</v>
      </c>
      <c r="AF20" s="100">
        <v>0.22</v>
      </c>
      <c r="AG20" s="98">
        <v>534.5071529633706</v>
      </c>
      <c r="AH20" s="98">
        <v>267.2535764816853</v>
      </c>
      <c r="AI20" s="100">
        <v>0.01</v>
      </c>
      <c r="AJ20" s="100">
        <v>0.665786</v>
      </c>
      <c r="AK20" s="100" t="s">
        <v>608</v>
      </c>
      <c r="AL20" s="100">
        <v>0.735825</v>
      </c>
      <c r="AM20" s="100">
        <v>0.515436</v>
      </c>
      <c r="AN20" s="100">
        <v>0.504323</v>
      </c>
      <c r="AO20" s="98">
        <v>1021.8519100770319</v>
      </c>
      <c r="AP20" s="158">
        <v>0.5519124985</v>
      </c>
      <c r="AQ20" s="100">
        <v>0.23076923076923078</v>
      </c>
      <c r="AR20" s="100">
        <v>0.5357142857142857</v>
      </c>
      <c r="AS20" s="98" t="s">
        <v>608</v>
      </c>
      <c r="AT20" s="98" t="s">
        <v>608</v>
      </c>
      <c r="AU20" s="98">
        <v>94.32479169941833</v>
      </c>
      <c r="AV20" s="98">
        <v>251.53277786511555</v>
      </c>
      <c r="AW20" s="98">
        <v>455.9031598805219</v>
      </c>
      <c r="AX20" s="98">
        <v>707.4359377456375</v>
      </c>
      <c r="AY20" s="98">
        <v>1650.6838547398208</v>
      </c>
      <c r="AZ20" s="98">
        <v>786.039930828486</v>
      </c>
      <c r="BA20" s="100" t="s">
        <v>608</v>
      </c>
      <c r="BB20" s="100" t="s">
        <v>608</v>
      </c>
      <c r="BC20" s="100" t="s">
        <v>608</v>
      </c>
      <c r="BD20" s="158">
        <v>0.42595439910000005</v>
      </c>
      <c r="BE20" s="158">
        <v>0.7034577942</v>
      </c>
      <c r="BF20" s="162">
        <v>757</v>
      </c>
      <c r="BG20" s="162" t="s">
        <v>608</v>
      </c>
      <c r="BH20" s="162">
        <v>1552</v>
      </c>
      <c r="BI20" s="162">
        <v>745</v>
      </c>
      <c r="BJ20" s="162">
        <v>347</v>
      </c>
      <c r="BK20" s="97"/>
      <c r="BL20" s="97"/>
      <c r="BM20" s="97"/>
      <c r="BN20" s="97"/>
    </row>
    <row r="21" spans="1:66" ht="12.75">
      <c r="A21" s="79" t="s">
        <v>615</v>
      </c>
      <c r="B21" s="79" t="s">
        <v>328</v>
      </c>
      <c r="C21" s="79" t="s">
        <v>165</v>
      </c>
      <c r="D21" s="99">
        <v>3418</v>
      </c>
      <c r="E21" s="99">
        <v>379</v>
      </c>
      <c r="F21" s="99" t="s">
        <v>375</v>
      </c>
      <c r="G21" s="99" t="s">
        <v>608</v>
      </c>
      <c r="H21" s="99" t="s">
        <v>608</v>
      </c>
      <c r="I21" s="99">
        <v>19</v>
      </c>
      <c r="J21" s="99">
        <v>178</v>
      </c>
      <c r="K21" s="99">
        <v>183</v>
      </c>
      <c r="L21" s="99">
        <v>677</v>
      </c>
      <c r="M21" s="99">
        <v>104</v>
      </c>
      <c r="N21" s="99">
        <v>47</v>
      </c>
      <c r="O21" s="99">
        <v>13</v>
      </c>
      <c r="P21" s="159">
        <v>13</v>
      </c>
      <c r="Q21" s="99">
        <v>7</v>
      </c>
      <c r="R21" s="99">
        <v>13</v>
      </c>
      <c r="S21" s="99" t="s">
        <v>608</v>
      </c>
      <c r="T21" s="99" t="s">
        <v>608</v>
      </c>
      <c r="U21" s="99" t="s">
        <v>608</v>
      </c>
      <c r="V21" s="99" t="s">
        <v>608</v>
      </c>
      <c r="W21" s="99">
        <v>8</v>
      </c>
      <c r="X21" s="99">
        <v>10</v>
      </c>
      <c r="Y21" s="99">
        <v>24</v>
      </c>
      <c r="Z21" s="99">
        <v>6</v>
      </c>
      <c r="AA21" s="99" t="s">
        <v>608</v>
      </c>
      <c r="AB21" s="99" t="s">
        <v>608</v>
      </c>
      <c r="AC21" s="99" t="s">
        <v>608</v>
      </c>
      <c r="AD21" s="98" t="s">
        <v>354</v>
      </c>
      <c r="AE21" s="100">
        <v>0.11088355763604447</v>
      </c>
      <c r="AF21" s="100">
        <v>0.26</v>
      </c>
      <c r="AG21" s="98" t="s">
        <v>608</v>
      </c>
      <c r="AH21" s="98" t="s">
        <v>608</v>
      </c>
      <c r="AI21" s="100">
        <v>0.006</v>
      </c>
      <c r="AJ21" s="100">
        <v>0.577922</v>
      </c>
      <c r="AK21" s="100">
        <v>0.60596</v>
      </c>
      <c r="AL21" s="100">
        <v>0.831695</v>
      </c>
      <c r="AM21" s="100">
        <v>0.448276</v>
      </c>
      <c r="AN21" s="100">
        <v>0.460784</v>
      </c>
      <c r="AO21" s="98">
        <v>380.33937975424226</v>
      </c>
      <c r="AP21" s="158">
        <v>0.2571411133</v>
      </c>
      <c r="AQ21" s="100">
        <v>0.5384615384615384</v>
      </c>
      <c r="AR21" s="100">
        <v>0.5384615384615384</v>
      </c>
      <c r="AS21" s="98" t="s">
        <v>608</v>
      </c>
      <c r="AT21" s="98" t="s">
        <v>608</v>
      </c>
      <c r="AU21" s="98" t="s">
        <v>608</v>
      </c>
      <c r="AV21" s="98" t="s">
        <v>608</v>
      </c>
      <c r="AW21" s="98">
        <v>234.05500292568755</v>
      </c>
      <c r="AX21" s="98">
        <v>292.5687536571094</v>
      </c>
      <c r="AY21" s="98">
        <v>702.1650087770626</v>
      </c>
      <c r="AZ21" s="98">
        <v>175.54125219426564</v>
      </c>
      <c r="BA21" s="100" t="s">
        <v>608</v>
      </c>
      <c r="BB21" s="100" t="s">
        <v>608</v>
      </c>
      <c r="BC21" s="100" t="s">
        <v>608</v>
      </c>
      <c r="BD21" s="158">
        <v>0.1369168186</v>
      </c>
      <c r="BE21" s="158">
        <v>0.43971916200000005</v>
      </c>
      <c r="BF21" s="162">
        <v>308</v>
      </c>
      <c r="BG21" s="162">
        <v>302</v>
      </c>
      <c r="BH21" s="162">
        <v>814</v>
      </c>
      <c r="BI21" s="162">
        <v>232</v>
      </c>
      <c r="BJ21" s="162">
        <v>102</v>
      </c>
      <c r="BK21" s="97"/>
      <c r="BL21" s="97"/>
      <c r="BM21" s="97"/>
      <c r="BN21" s="97"/>
    </row>
    <row r="22" spans="1:66" ht="12.75">
      <c r="A22" s="79" t="s">
        <v>618</v>
      </c>
      <c r="B22" s="79" t="s">
        <v>341</v>
      </c>
      <c r="C22" s="79" t="s">
        <v>165</v>
      </c>
      <c r="D22" s="99">
        <v>4608</v>
      </c>
      <c r="E22" s="99">
        <v>831</v>
      </c>
      <c r="F22" s="99" t="s">
        <v>376</v>
      </c>
      <c r="G22" s="99">
        <v>11</v>
      </c>
      <c r="H22" s="99">
        <v>18</v>
      </c>
      <c r="I22" s="99">
        <v>93</v>
      </c>
      <c r="J22" s="99">
        <v>446</v>
      </c>
      <c r="K22" s="99" t="s">
        <v>608</v>
      </c>
      <c r="L22" s="99">
        <v>964</v>
      </c>
      <c r="M22" s="99">
        <v>340</v>
      </c>
      <c r="N22" s="99">
        <v>173</v>
      </c>
      <c r="O22" s="99">
        <v>39</v>
      </c>
      <c r="P22" s="159">
        <v>39</v>
      </c>
      <c r="Q22" s="99">
        <v>17</v>
      </c>
      <c r="R22" s="99">
        <v>31</v>
      </c>
      <c r="S22" s="99" t="s">
        <v>608</v>
      </c>
      <c r="T22" s="99" t="s">
        <v>608</v>
      </c>
      <c r="U22" s="99" t="s">
        <v>608</v>
      </c>
      <c r="V22" s="99" t="s">
        <v>608</v>
      </c>
      <c r="W22" s="99">
        <v>23</v>
      </c>
      <c r="X22" s="99">
        <v>34</v>
      </c>
      <c r="Y22" s="99">
        <v>64</v>
      </c>
      <c r="Z22" s="99">
        <v>31</v>
      </c>
      <c r="AA22" s="99" t="s">
        <v>608</v>
      </c>
      <c r="AB22" s="99" t="s">
        <v>608</v>
      </c>
      <c r="AC22" s="99" t="s">
        <v>608</v>
      </c>
      <c r="AD22" s="98" t="s">
        <v>354</v>
      </c>
      <c r="AE22" s="100">
        <v>0.18033854166666666</v>
      </c>
      <c r="AF22" s="100">
        <v>0.1</v>
      </c>
      <c r="AG22" s="98">
        <v>238.71527777777777</v>
      </c>
      <c r="AH22" s="98">
        <v>390.625</v>
      </c>
      <c r="AI22" s="100">
        <v>0.02</v>
      </c>
      <c r="AJ22" s="100">
        <v>0.738411</v>
      </c>
      <c r="AK22" s="100" t="s">
        <v>608</v>
      </c>
      <c r="AL22" s="100">
        <v>0.829604</v>
      </c>
      <c r="AM22" s="100">
        <v>0.592334</v>
      </c>
      <c r="AN22" s="100">
        <v>0.638376</v>
      </c>
      <c r="AO22" s="98">
        <v>846.3541666666666</v>
      </c>
      <c r="AP22" s="158">
        <v>0.4267659378</v>
      </c>
      <c r="AQ22" s="100">
        <v>0.4358974358974359</v>
      </c>
      <c r="AR22" s="100">
        <v>0.5483870967741935</v>
      </c>
      <c r="AS22" s="98" t="s">
        <v>608</v>
      </c>
      <c r="AT22" s="98" t="s">
        <v>608</v>
      </c>
      <c r="AU22" s="98" t="s">
        <v>608</v>
      </c>
      <c r="AV22" s="98" t="s">
        <v>608</v>
      </c>
      <c r="AW22" s="98">
        <v>499.13194444444446</v>
      </c>
      <c r="AX22" s="98">
        <v>737.8472222222222</v>
      </c>
      <c r="AY22" s="98">
        <v>1388.888888888889</v>
      </c>
      <c r="AZ22" s="98">
        <v>672.7430555555555</v>
      </c>
      <c r="BA22" s="100" t="s">
        <v>608</v>
      </c>
      <c r="BB22" s="100" t="s">
        <v>608</v>
      </c>
      <c r="BC22" s="100" t="s">
        <v>608</v>
      </c>
      <c r="BD22" s="158">
        <v>0.3034723091</v>
      </c>
      <c r="BE22" s="158">
        <v>0.5834030914</v>
      </c>
      <c r="BF22" s="162">
        <v>604</v>
      </c>
      <c r="BG22" s="162" t="s">
        <v>608</v>
      </c>
      <c r="BH22" s="162">
        <v>1162</v>
      </c>
      <c r="BI22" s="162">
        <v>574</v>
      </c>
      <c r="BJ22" s="162">
        <v>271</v>
      </c>
      <c r="BK22" s="97"/>
      <c r="BL22" s="97"/>
      <c r="BM22" s="97"/>
      <c r="BN22" s="97"/>
    </row>
    <row r="23" spans="1:66" ht="12.75">
      <c r="A23" s="79" t="s">
        <v>611</v>
      </c>
      <c r="B23" s="79" t="s">
        <v>286</v>
      </c>
      <c r="C23" s="79" t="s">
        <v>165</v>
      </c>
      <c r="D23" s="99">
        <v>13179</v>
      </c>
      <c r="E23" s="99">
        <v>2043</v>
      </c>
      <c r="F23" s="99" t="s">
        <v>378</v>
      </c>
      <c r="G23" s="99">
        <v>68</v>
      </c>
      <c r="H23" s="99">
        <v>20</v>
      </c>
      <c r="I23" s="99">
        <v>242</v>
      </c>
      <c r="J23" s="99">
        <v>1438</v>
      </c>
      <c r="K23" s="99">
        <v>14</v>
      </c>
      <c r="L23" s="99">
        <v>2854</v>
      </c>
      <c r="M23" s="99">
        <v>1108</v>
      </c>
      <c r="N23" s="99">
        <v>538</v>
      </c>
      <c r="O23" s="99">
        <v>218</v>
      </c>
      <c r="P23" s="159">
        <v>218</v>
      </c>
      <c r="Q23" s="99">
        <v>31</v>
      </c>
      <c r="R23" s="99">
        <v>65</v>
      </c>
      <c r="S23" s="99">
        <v>32</v>
      </c>
      <c r="T23" s="99">
        <v>41</v>
      </c>
      <c r="U23" s="99">
        <v>11</v>
      </c>
      <c r="V23" s="99">
        <v>52</v>
      </c>
      <c r="W23" s="99">
        <v>93</v>
      </c>
      <c r="X23" s="99">
        <v>51</v>
      </c>
      <c r="Y23" s="99">
        <v>147</v>
      </c>
      <c r="Z23" s="99">
        <v>58</v>
      </c>
      <c r="AA23" s="99" t="s">
        <v>608</v>
      </c>
      <c r="AB23" s="99" t="s">
        <v>608</v>
      </c>
      <c r="AC23" s="99" t="s">
        <v>608</v>
      </c>
      <c r="AD23" s="98" t="s">
        <v>354</v>
      </c>
      <c r="AE23" s="100">
        <v>0.15501934896426134</v>
      </c>
      <c r="AF23" s="100">
        <v>0.07</v>
      </c>
      <c r="AG23" s="98">
        <v>515.9723803019956</v>
      </c>
      <c r="AH23" s="98">
        <v>151.7565824417634</v>
      </c>
      <c r="AI23" s="100">
        <v>0.018000000000000002</v>
      </c>
      <c r="AJ23" s="100">
        <v>0.760847</v>
      </c>
      <c r="AK23" s="100">
        <v>0.538462</v>
      </c>
      <c r="AL23" s="100">
        <v>0.814963</v>
      </c>
      <c r="AM23" s="100">
        <v>0.648332</v>
      </c>
      <c r="AN23" s="100">
        <v>0.651332</v>
      </c>
      <c r="AO23" s="98">
        <v>1654.1467486152212</v>
      </c>
      <c r="AP23" s="158">
        <v>0.8571109009</v>
      </c>
      <c r="AQ23" s="100">
        <v>0.14220183486238533</v>
      </c>
      <c r="AR23" s="100">
        <v>0.47692307692307695</v>
      </c>
      <c r="AS23" s="98">
        <v>242.81053190682147</v>
      </c>
      <c r="AT23" s="98">
        <v>311.100994005615</v>
      </c>
      <c r="AU23" s="98">
        <v>83.46612034296987</v>
      </c>
      <c r="AV23" s="98">
        <v>394.5671143485849</v>
      </c>
      <c r="AW23" s="98">
        <v>705.6681083541998</v>
      </c>
      <c r="AX23" s="98">
        <v>386.9792852264967</v>
      </c>
      <c r="AY23" s="98">
        <v>1115.410880946961</v>
      </c>
      <c r="AZ23" s="98">
        <v>440.0940890811139</v>
      </c>
      <c r="BA23" s="101" t="s">
        <v>608</v>
      </c>
      <c r="BB23" s="101" t="s">
        <v>608</v>
      </c>
      <c r="BC23" s="101" t="s">
        <v>608</v>
      </c>
      <c r="BD23" s="158">
        <v>0.7471017456</v>
      </c>
      <c r="BE23" s="158">
        <v>0.9787579345999999</v>
      </c>
      <c r="BF23" s="162">
        <v>1890</v>
      </c>
      <c r="BG23" s="162">
        <v>26</v>
      </c>
      <c r="BH23" s="162">
        <v>3502</v>
      </c>
      <c r="BI23" s="162">
        <v>1709</v>
      </c>
      <c r="BJ23" s="162">
        <v>826</v>
      </c>
      <c r="BK23" s="97"/>
      <c r="BL23" s="97"/>
      <c r="BM23" s="97"/>
      <c r="BN23" s="97"/>
    </row>
    <row r="24" spans="1:66" ht="12.75">
      <c r="A24" s="79" t="s">
        <v>617</v>
      </c>
      <c r="B24" s="79" t="s">
        <v>336</v>
      </c>
      <c r="C24" s="79" t="s">
        <v>165</v>
      </c>
      <c r="D24" s="99">
        <v>2197</v>
      </c>
      <c r="E24" s="99">
        <v>354</v>
      </c>
      <c r="F24" s="99" t="s">
        <v>374</v>
      </c>
      <c r="G24" s="99" t="s">
        <v>608</v>
      </c>
      <c r="H24" s="99" t="s">
        <v>608</v>
      </c>
      <c r="I24" s="99">
        <v>7</v>
      </c>
      <c r="J24" s="99">
        <v>131</v>
      </c>
      <c r="K24" s="99" t="s">
        <v>608</v>
      </c>
      <c r="L24" s="99">
        <v>372</v>
      </c>
      <c r="M24" s="99">
        <v>90</v>
      </c>
      <c r="N24" s="99">
        <v>42</v>
      </c>
      <c r="O24" s="99" t="s">
        <v>608</v>
      </c>
      <c r="P24" s="159" t="s">
        <v>608</v>
      </c>
      <c r="Q24" s="99" t="s">
        <v>608</v>
      </c>
      <c r="R24" s="99">
        <v>8</v>
      </c>
      <c r="S24" s="99" t="s">
        <v>608</v>
      </c>
      <c r="T24" s="99" t="s">
        <v>608</v>
      </c>
      <c r="U24" s="99" t="s">
        <v>608</v>
      </c>
      <c r="V24" s="99" t="s">
        <v>608</v>
      </c>
      <c r="W24" s="99" t="s">
        <v>608</v>
      </c>
      <c r="X24" s="99">
        <v>7</v>
      </c>
      <c r="Y24" s="99">
        <v>22</v>
      </c>
      <c r="Z24" s="99">
        <v>9</v>
      </c>
      <c r="AA24" s="99" t="s">
        <v>608</v>
      </c>
      <c r="AB24" s="99" t="s">
        <v>608</v>
      </c>
      <c r="AC24" s="99" t="s">
        <v>608</v>
      </c>
      <c r="AD24" s="98" t="s">
        <v>354</v>
      </c>
      <c r="AE24" s="100">
        <v>0.16112881201638599</v>
      </c>
      <c r="AF24" s="100">
        <v>0.22</v>
      </c>
      <c r="AG24" s="98" t="s">
        <v>608</v>
      </c>
      <c r="AH24" s="98" t="s">
        <v>608</v>
      </c>
      <c r="AI24" s="100">
        <v>0.003</v>
      </c>
      <c r="AJ24" s="100">
        <v>0.5671</v>
      </c>
      <c r="AK24" s="100" t="s">
        <v>608</v>
      </c>
      <c r="AL24" s="100">
        <v>0.753036</v>
      </c>
      <c r="AM24" s="100">
        <v>0.46875</v>
      </c>
      <c r="AN24" s="100">
        <v>0.506024</v>
      </c>
      <c r="AO24" s="98" t="s">
        <v>608</v>
      </c>
      <c r="AP24" s="158" t="s">
        <v>608</v>
      </c>
      <c r="AQ24" s="100" t="s">
        <v>608</v>
      </c>
      <c r="AR24" s="100" t="s">
        <v>608</v>
      </c>
      <c r="AS24" s="98" t="s">
        <v>608</v>
      </c>
      <c r="AT24" s="98" t="s">
        <v>608</v>
      </c>
      <c r="AU24" s="98" t="s">
        <v>608</v>
      </c>
      <c r="AV24" s="98" t="s">
        <v>608</v>
      </c>
      <c r="AW24" s="98" t="s">
        <v>608</v>
      </c>
      <c r="AX24" s="98">
        <v>318.6162949476559</v>
      </c>
      <c r="AY24" s="98">
        <v>1001.3654984069185</v>
      </c>
      <c r="AZ24" s="98">
        <v>409.64952207555757</v>
      </c>
      <c r="BA24" s="100" t="s">
        <v>608</v>
      </c>
      <c r="BB24" s="100" t="s">
        <v>608</v>
      </c>
      <c r="BC24" s="100" t="s">
        <v>608</v>
      </c>
      <c r="BD24" s="158" t="s">
        <v>608</v>
      </c>
      <c r="BE24" s="158" t="s">
        <v>608</v>
      </c>
      <c r="BF24" s="162">
        <v>231</v>
      </c>
      <c r="BG24" s="162" t="s">
        <v>608</v>
      </c>
      <c r="BH24" s="162">
        <v>494</v>
      </c>
      <c r="BI24" s="162">
        <v>192</v>
      </c>
      <c r="BJ24" s="162">
        <v>83</v>
      </c>
      <c r="BK24" s="97"/>
      <c r="BL24" s="97"/>
      <c r="BM24" s="97"/>
      <c r="BN24" s="97"/>
    </row>
    <row r="25" spans="1:66" ht="12.75">
      <c r="A25" s="79" t="s">
        <v>589</v>
      </c>
      <c r="B25" s="79" t="s">
        <v>339</v>
      </c>
      <c r="C25" s="79" t="s">
        <v>165</v>
      </c>
      <c r="D25" s="99">
        <v>2551</v>
      </c>
      <c r="E25" s="99">
        <v>204</v>
      </c>
      <c r="F25" s="99" t="s">
        <v>375</v>
      </c>
      <c r="G25" s="99" t="s">
        <v>608</v>
      </c>
      <c r="H25" s="99" t="s">
        <v>608</v>
      </c>
      <c r="I25" s="99">
        <v>7</v>
      </c>
      <c r="J25" s="99">
        <v>97</v>
      </c>
      <c r="K25" s="99">
        <v>95</v>
      </c>
      <c r="L25" s="99">
        <v>413</v>
      </c>
      <c r="M25" s="99">
        <v>44</v>
      </c>
      <c r="N25" s="99">
        <v>26</v>
      </c>
      <c r="O25" s="99">
        <v>9</v>
      </c>
      <c r="P25" s="159">
        <v>9</v>
      </c>
      <c r="Q25" s="99" t="s">
        <v>608</v>
      </c>
      <c r="R25" s="99" t="s">
        <v>608</v>
      </c>
      <c r="S25" s="99" t="s">
        <v>608</v>
      </c>
      <c r="T25" s="99" t="s">
        <v>608</v>
      </c>
      <c r="U25" s="99" t="s">
        <v>608</v>
      </c>
      <c r="V25" s="99" t="s">
        <v>608</v>
      </c>
      <c r="W25" s="99" t="s">
        <v>608</v>
      </c>
      <c r="X25" s="99" t="s">
        <v>608</v>
      </c>
      <c r="Y25" s="99">
        <v>21</v>
      </c>
      <c r="Z25" s="99">
        <v>8</v>
      </c>
      <c r="AA25" s="99" t="s">
        <v>608</v>
      </c>
      <c r="AB25" s="99" t="s">
        <v>608</v>
      </c>
      <c r="AC25" s="99" t="s">
        <v>608</v>
      </c>
      <c r="AD25" s="98" t="s">
        <v>354</v>
      </c>
      <c r="AE25" s="100">
        <v>0.079968639749118</v>
      </c>
      <c r="AF25" s="100">
        <v>0.24</v>
      </c>
      <c r="AG25" s="98" t="s">
        <v>608</v>
      </c>
      <c r="AH25" s="98" t="s">
        <v>608</v>
      </c>
      <c r="AI25" s="100">
        <v>0.003</v>
      </c>
      <c r="AJ25" s="100">
        <v>0.551136</v>
      </c>
      <c r="AK25" s="100">
        <v>0.558824</v>
      </c>
      <c r="AL25" s="100">
        <v>0.761993</v>
      </c>
      <c r="AM25" s="100">
        <v>0.341085</v>
      </c>
      <c r="AN25" s="100">
        <v>0.351351</v>
      </c>
      <c r="AO25" s="98">
        <v>352.80282242257937</v>
      </c>
      <c r="AP25" s="158">
        <v>0.2841489601</v>
      </c>
      <c r="AQ25" s="100" t="s">
        <v>608</v>
      </c>
      <c r="AR25" s="100" t="s">
        <v>608</v>
      </c>
      <c r="AS25" s="98" t="s">
        <v>608</v>
      </c>
      <c r="AT25" s="98" t="s">
        <v>608</v>
      </c>
      <c r="AU25" s="98" t="s">
        <v>608</v>
      </c>
      <c r="AV25" s="98" t="s">
        <v>608</v>
      </c>
      <c r="AW25" s="98" t="s">
        <v>608</v>
      </c>
      <c r="AX25" s="98" t="s">
        <v>608</v>
      </c>
      <c r="AY25" s="98">
        <v>823.2065856526852</v>
      </c>
      <c r="AZ25" s="98">
        <v>313.60250882007057</v>
      </c>
      <c r="BA25" s="100" t="s">
        <v>608</v>
      </c>
      <c r="BB25" s="100" t="s">
        <v>608</v>
      </c>
      <c r="BC25" s="100" t="s">
        <v>608</v>
      </c>
      <c r="BD25" s="158">
        <v>0.1299310017</v>
      </c>
      <c r="BE25" s="158">
        <v>0.5394032287999999</v>
      </c>
      <c r="BF25" s="162">
        <v>176</v>
      </c>
      <c r="BG25" s="162">
        <v>170</v>
      </c>
      <c r="BH25" s="162">
        <v>542</v>
      </c>
      <c r="BI25" s="162">
        <v>129</v>
      </c>
      <c r="BJ25" s="162">
        <v>74</v>
      </c>
      <c r="BK25" s="97"/>
      <c r="BL25" s="97"/>
      <c r="BM25" s="97"/>
      <c r="BN25" s="97"/>
    </row>
    <row r="26" spans="1:66" ht="12.75">
      <c r="A26" s="79" t="s">
        <v>588</v>
      </c>
      <c r="B26" s="79" t="s">
        <v>338</v>
      </c>
      <c r="C26" s="79" t="s">
        <v>165</v>
      </c>
      <c r="D26" s="99">
        <v>2562</v>
      </c>
      <c r="E26" s="99">
        <v>448</v>
      </c>
      <c r="F26" s="99" t="s">
        <v>375</v>
      </c>
      <c r="G26" s="99">
        <v>7</v>
      </c>
      <c r="H26" s="99">
        <v>9</v>
      </c>
      <c r="I26" s="99">
        <v>22</v>
      </c>
      <c r="J26" s="99">
        <v>150</v>
      </c>
      <c r="K26" s="99">
        <v>143</v>
      </c>
      <c r="L26" s="99">
        <v>368</v>
      </c>
      <c r="M26" s="99">
        <v>89</v>
      </c>
      <c r="N26" s="99">
        <v>50</v>
      </c>
      <c r="O26" s="99">
        <v>54</v>
      </c>
      <c r="P26" s="159">
        <v>54</v>
      </c>
      <c r="Q26" s="99">
        <v>8</v>
      </c>
      <c r="R26" s="99">
        <v>16</v>
      </c>
      <c r="S26" s="99">
        <v>13</v>
      </c>
      <c r="T26" s="99">
        <v>8</v>
      </c>
      <c r="U26" s="99" t="s">
        <v>608</v>
      </c>
      <c r="V26" s="99" t="s">
        <v>608</v>
      </c>
      <c r="W26" s="99">
        <v>9</v>
      </c>
      <c r="X26" s="99">
        <v>8</v>
      </c>
      <c r="Y26" s="99">
        <v>26</v>
      </c>
      <c r="Z26" s="99">
        <v>16</v>
      </c>
      <c r="AA26" s="99" t="s">
        <v>608</v>
      </c>
      <c r="AB26" s="99" t="s">
        <v>608</v>
      </c>
      <c r="AC26" s="99" t="s">
        <v>608</v>
      </c>
      <c r="AD26" s="98" t="s">
        <v>354</v>
      </c>
      <c r="AE26" s="100">
        <v>0.17486338797814208</v>
      </c>
      <c r="AF26" s="100">
        <v>0.24</v>
      </c>
      <c r="AG26" s="98">
        <v>273.224043715847</v>
      </c>
      <c r="AH26" s="98">
        <v>351.288056206089</v>
      </c>
      <c r="AI26" s="100">
        <v>0.009000000000000001</v>
      </c>
      <c r="AJ26" s="100">
        <v>0.632911</v>
      </c>
      <c r="AK26" s="100">
        <v>0.632743</v>
      </c>
      <c r="AL26" s="100">
        <v>0.711799</v>
      </c>
      <c r="AM26" s="100">
        <v>0.375527</v>
      </c>
      <c r="AN26" s="100">
        <v>0.431034</v>
      </c>
      <c r="AO26" s="98">
        <v>2107.728337236534</v>
      </c>
      <c r="AP26" s="158">
        <v>1.169065781</v>
      </c>
      <c r="AQ26" s="100">
        <v>0.14814814814814814</v>
      </c>
      <c r="AR26" s="100">
        <v>0.5</v>
      </c>
      <c r="AS26" s="98">
        <v>507.41608118657297</v>
      </c>
      <c r="AT26" s="98">
        <v>312.25604996096797</v>
      </c>
      <c r="AU26" s="98" t="s">
        <v>608</v>
      </c>
      <c r="AV26" s="98" t="s">
        <v>608</v>
      </c>
      <c r="AW26" s="98">
        <v>351.288056206089</v>
      </c>
      <c r="AX26" s="98">
        <v>312.25604996096797</v>
      </c>
      <c r="AY26" s="98">
        <v>1014.8321623731459</v>
      </c>
      <c r="AZ26" s="98">
        <v>624.5120999219359</v>
      </c>
      <c r="BA26" s="100" t="s">
        <v>608</v>
      </c>
      <c r="BB26" s="100" t="s">
        <v>608</v>
      </c>
      <c r="BC26" s="100" t="s">
        <v>608</v>
      </c>
      <c r="BD26" s="158">
        <v>0.8782381439</v>
      </c>
      <c r="BE26" s="158">
        <v>1.525377197</v>
      </c>
      <c r="BF26" s="162">
        <v>237</v>
      </c>
      <c r="BG26" s="162">
        <v>226</v>
      </c>
      <c r="BH26" s="162">
        <v>517</v>
      </c>
      <c r="BI26" s="162">
        <v>237</v>
      </c>
      <c r="BJ26" s="162">
        <v>116</v>
      </c>
      <c r="BK26" s="97"/>
      <c r="BL26" s="97"/>
      <c r="BM26" s="97"/>
      <c r="BN26" s="97"/>
    </row>
    <row r="27" spans="1:66" ht="12.75">
      <c r="A27" s="79" t="s">
        <v>613</v>
      </c>
      <c r="B27" s="79" t="s">
        <v>313</v>
      </c>
      <c r="C27" s="79" t="s">
        <v>165</v>
      </c>
      <c r="D27" s="99">
        <v>4376</v>
      </c>
      <c r="E27" s="99">
        <v>793</v>
      </c>
      <c r="F27" s="99" t="s">
        <v>374</v>
      </c>
      <c r="G27" s="99">
        <v>16</v>
      </c>
      <c r="H27" s="99">
        <v>10</v>
      </c>
      <c r="I27" s="99">
        <v>38</v>
      </c>
      <c r="J27" s="99">
        <v>342</v>
      </c>
      <c r="K27" s="99" t="s">
        <v>608</v>
      </c>
      <c r="L27" s="99">
        <v>771</v>
      </c>
      <c r="M27" s="99">
        <v>240</v>
      </c>
      <c r="N27" s="99">
        <v>116</v>
      </c>
      <c r="O27" s="99">
        <v>56</v>
      </c>
      <c r="P27" s="159">
        <v>56</v>
      </c>
      <c r="Q27" s="99">
        <v>10</v>
      </c>
      <c r="R27" s="99">
        <v>23</v>
      </c>
      <c r="S27" s="99">
        <v>10</v>
      </c>
      <c r="T27" s="99">
        <v>8</v>
      </c>
      <c r="U27" s="99" t="s">
        <v>608</v>
      </c>
      <c r="V27" s="99">
        <v>6</v>
      </c>
      <c r="W27" s="99">
        <v>20</v>
      </c>
      <c r="X27" s="99">
        <v>26</v>
      </c>
      <c r="Y27" s="99">
        <v>66</v>
      </c>
      <c r="Z27" s="99">
        <v>21</v>
      </c>
      <c r="AA27" s="99" t="s">
        <v>608</v>
      </c>
      <c r="AB27" s="99" t="s">
        <v>608</v>
      </c>
      <c r="AC27" s="99" t="s">
        <v>608</v>
      </c>
      <c r="AD27" s="98" t="s">
        <v>354</v>
      </c>
      <c r="AE27" s="100">
        <v>0.18121572212065815</v>
      </c>
      <c r="AF27" s="100">
        <v>0.21</v>
      </c>
      <c r="AG27" s="98">
        <v>365.6307129798903</v>
      </c>
      <c r="AH27" s="98">
        <v>228.51919561243145</v>
      </c>
      <c r="AI27" s="100">
        <v>0.009000000000000001</v>
      </c>
      <c r="AJ27" s="100">
        <v>0.684</v>
      </c>
      <c r="AK27" s="100" t="s">
        <v>608</v>
      </c>
      <c r="AL27" s="100">
        <v>0.756624</v>
      </c>
      <c r="AM27" s="100">
        <v>0.527473</v>
      </c>
      <c r="AN27" s="100">
        <v>0.54717</v>
      </c>
      <c r="AO27" s="98">
        <v>1279.707495429616</v>
      </c>
      <c r="AP27" s="158">
        <v>0.6714736175999999</v>
      </c>
      <c r="AQ27" s="100">
        <v>0.17857142857142858</v>
      </c>
      <c r="AR27" s="100">
        <v>0.43478260869565216</v>
      </c>
      <c r="AS27" s="98">
        <v>228.51919561243145</v>
      </c>
      <c r="AT27" s="98">
        <v>182.81535648994515</v>
      </c>
      <c r="AU27" s="98" t="s">
        <v>608</v>
      </c>
      <c r="AV27" s="98">
        <v>137.11151736745887</v>
      </c>
      <c r="AW27" s="98">
        <v>457.0383912248629</v>
      </c>
      <c r="AX27" s="98">
        <v>594.1499085923217</v>
      </c>
      <c r="AY27" s="98">
        <v>1508.2266910420476</v>
      </c>
      <c r="AZ27" s="98">
        <v>479.89031078610606</v>
      </c>
      <c r="BA27" s="100" t="s">
        <v>608</v>
      </c>
      <c r="BB27" s="100" t="s">
        <v>608</v>
      </c>
      <c r="BC27" s="100" t="s">
        <v>608</v>
      </c>
      <c r="BD27" s="158">
        <v>0.5072239304</v>
      </c>
      <c r="BE27" s="158">
        <v>0.8719643402</v>
      </c>
      <c r="BF27" s="162">
        <v>500</v>
      </c>
      <c r="BG27" s="162" t="s">
        <v>608</v>
      </c>
      <c r="BH27" s="162">
        <v>1019</v>
      </c>
      <c r="BI27" s="162">
        <v>455</v>
      </c>
      <c r="BJ27" s="162">
        <v>212</v>
      </c>
      <c r="BK27" s="97"/>
      <c r="BL27" s="97"/>
      <c r="BM27" s="97"/>
      <c r="BN27" s="97"/>
    </row>
    <row r="28" spans="1:66" ht="12.75">
      <c r="A28" s="79" t="s">
        <v>614</v>
      </c>
      <c r="B28" s="79" t="s">
        <v>323</v>
      </c>
      <c r="C28" s="79" t="s">
        <v>165</v>
      </c>
      <c r="D28" s="99">
        <v>2905</v>
      </c>
      <c r="E28" s="99">
        <v>960</v>
      </c>
      <c r="F28" s="99" t="s">
        <v>377</v>
      </c>
      <c r="G28" s="99">
        <v>20</v>
      </c>
      <c r="H28" s="99">
        <v>22</v>
      </c>
      <c r="I28" s="99">
        <v>84</v>
      </c>
      <c r="J28" s="99">
        <v>309</v>
      </c>
      <c r="K28" s="99">
        <v>6</v>
      </c>
      <c r="L28" s="99">
        <v>506</v>
      </c>
      <c r="M28" s="99">
        <v>268</v>
      </c>
      <c r="N28" s="99">
        <v>138</v>
      </c>
      <c r="O28" s="99">
        <v>63</v>
      </c>
      <c r="P28" s="159">
        <v>63</v>
      </c>
      <c r="Q28" s="99">
        <v>10</v>
      </c>
      <c r="R28" s="99">
        <v>18</v>
      </c>
      <c r="S28" s="99">
        <v>23</v>
      </c>
      <c r="T28" s="99">
        <v>9</v>
      </c>
      <c r="U28" s="99" t="s">
        <v>608</v>
      </c>
      <c r="V28" s="99">
        <v>10</v>
      </c>
      <c r="W28" s="99">
        <v>17</v>
      </c>
      <c r="X28" s="99">
        <v>19</v>
      </c>
      <c r="Y28" s="99">
        <v>48</v>
      </c>
      <c r="Z28" s="99">
        <v>34</v>
      </c>
      <c r="AA28" s="99" t="s">
        <v>608</v>
      </c>
      <c r="AB28" s="99" t="s">
        <v>608</v>
      </c>
      <c r="AC28" s="99" t="s">
        <v>608</v>
      </c>
      <c r="AD28" s="98" t="s">
        <v>354</v>
      </c>
      <c r="AE28" s="100">
        <v>0.3304647160068847</v>
      </c>
      <c r="AF28" s="100">
        <v>0.16</v>
      </c>
      <c r="AG28" s="98">
        <v>688.4681583476764</v>
      </c>
      <c r="AH28" s="98">
        <v>757.3149741824441</v>
      </c>
      <c r="AI28" s="100">
        <v>0.028999999999999998</v>
      </c>
      <c r="AJ28" s="100">
        <v>0.708716</v>
      </c>
      <c r="AK28" s="100">
        <v>0.857143</v>
      </c>
      <c r="AL28" s="100">
        <v>0.795597</v>
      </c>
      <c r="AM28" s="100">
        <v>0.583878</v>
      </c>
      <c r="AN28" s="100">
        <v>0.584746</v>
      </c>
      <c r="AO28" s="98">
        <v>2168.6746987951806</v>
      </c>
      <c r="AP28" s="158">
        <v>0.8150746918</v>
      </c>
      <c r="AQ28" s="100">
        <v>0.15873015873015872</v>
      </c>
      <c r="AR28" s="100">
        <v>0.5555555555555556</v>
      </c>
      <c r="AS28" s="98">
        <v>791.7383820998278</v>
      </c>
      <c r="AT28" s="98">
        <v>309.8106712564544</v>
      </c>
      <c r="AU28" s="98" t="s">
        <v>608</v>
      </c>
      <c r="AV28" s="98">
        <v>344.2340791738382</v>
      </c>
      <c r="AW28" s="98">
        <v>585.197934595525</v>
      </c>
      <c r="AX28" s="98">
        <v>654.0447504302927</v>
      </c>
      <c r="AY28" s="98">
        <v>1652.3235800344235</v>
      </c>
      <c r="AZ28" s="98">
        <v>1170.39586919105</v>
      </c>
      <c r="BA28" s="101" t="s">
        <v>608</v>
      </c>
      <c r="BB28" s="101" t="s">
        <v>608</v>
      </c>
      <c r="BC28" s="101" t="s">
        <v>608</v>
      </c>
      <c r="BD28" s="158">
        <v>0.626325798</v>
      </c>
      <c r="BE28" s="158">
        <v>1.042834625</v>
      </c>
      <c r="BF28" s="162">
        <v>436</v>
      </c>
      <c r="BG28" s="162">
        <v>7</v>
      </c>
      <c r="BH28" s="162">
        <v>636</v>
      </c>
      <c r="BI28" s="162">
        <v>459</v>
      </c>
      <c r="BJ28" s="162">
        <v>236</v>
      </c>
      <c r="BK28" s="97"/>
      <c r="BL28" s="97"/>
      <c r="BM28" s="97"/>
      <c r="BN28" s="97"/>
    </row>
    <row r="29" spans="1:66" ht="12.75">
      <c r="A29" s="79" t="s">
        <v>552</v>
      </c>
      <c r="B29" s="79" t="s">
        <v>297</v>
      </c>
      <c r="C29" s="79" t="s">
        <v>165</v>
      </c>
      <c r="D29" s="99">
        <v>6302</v>
      </c>
      <c r="E29" s="99">
        <v>956</v>
      </c>
      <c r="F29" s="99" t="s">
        <v>374</v>
      </c>
      <c r="G29" s="99">
        <v>40</v>
      </c>
      <c r="H29" s="99">
        <v>16</v>
      </c>
      <c r="I29" s="99">
        <v>126</v>
      </c>
      <c r="J29" s="99">
        <v>548</v>
      </c>
      <c r="K29" s="99">
        <v>8</v>
      </c>
      <c r="L29" s="99">
        <v>1244</v>
      </c>
      <c r="M29" s="99">
        <v>274</v>
      </c>
      <c r="N29" s="99">
        <v>169</v>
      </c>
      <c r="O29" s="99">
        <v>109</v>
      </c>
      <c r="P29" s="159">
        <v>109</v>
      </c>
      <c r="Q29" s="99">
        <v>11</v>
      </c>
      <c r="R29" s="99">
        <v>27</v>
      </c>
      <c r="S29" s="99">
        <v>20</v>
      </c>
      <c r="T29" s="99">
        <v>21</v>
      </c>
      <c r="U29" s="99">
        <v>9</v>
      </c>
      <c r="V29" s="99">
        <v>6</v>
      </c>
      <c r="W29" s="99">
        <v>44</v>
      </c>
      <c r="X29" s="99">
        <v>26</v>
      </c>
      <c r="Y29" s="99">
        <v>69</v>
      </c>
      <c r="Z29" s="99">
        <v>37</v>
      </c>
      <c r="AA29" s="99" t="s">
        <v>608</v>
      </c>
      <c r="AB29" s="99" t="s">
        <v>608</v>
      </c>
      <c r="AC29" s="99" t="s">
        <v>608</v>
      </c>
      <c r="AD29" s="98" t="s">
        <v>354</v>
      </c>
      <c r="AE29" s="100">
        <v>0.15169787369089177</v>
      </c>
      <c r="AF29" s="100">
        <v>0.22</v>
      </c>
      <c r="AG29" s="98">
        <v>634.7191367819739</v>
      </c>
      <c r="AH29" s="98">
        <v>253.88765471278958</v>
      </c>
      <c r="AI29" s="100">
        <v>0.02</v>
      </c>
      <c r="AJ29" s="100">
        <v>0.710765</v>
      </c>
      <c r="AK29" s="100">
        <v>0.727273</v>
      </c>
      <c r="AL29" s="100">
        <v>0.78884</v>
      </c>
      <c r="AM29" s="100">
        <v>0.415152</v>
      </c>
      <c r="AN29" s="100">
        <v>0.484241</v>
      </c>
      <c r="AO29" s="98">
        <v>1729.609647730879</v>
      </c>
      <c r="AP29" s="158">
        <v>0.9405913544000001</v>
      </c>
      <c r="AQ29" s="100">
        <v>0.10091743119266056</v>
      </c>
      <c r="AR29" s="100">
        <v>0.4074074074074074</v>
      </c>
      <c r="AS29" s="98">
        <v>317.35956839098696</v>
      </c>
      <c r="AT29" s="98">
        <v>333.22754681053635</v>
      </c>
      <c r="AU29" s="98">
        <v>142.81180577594415</v>
      </c>
      <c r="AV29" s="98">
        <v>95.2078705172961</v>
      </c>
      <c r="AW29" s="98">
        <v>698.1910504601714</v>
      </c>
      <c r="AX29" s="98">
        <v>412.56743890828307</v>
      </c>
      <c r="AY29" s="98">
        <v>1094.890510948905</v>
      </c>
      <c r="AZ29" s="98">
        <v>587.1152015233259</v>
      </c>
      <c r="BA29" s="100" t="s">
        <v>608</v>
      </c>
      <c r="BB29" s="100" t="s">
        <v>608</v>
      </c>
      <c r="BC29" s="100" t="s">
        <v>608</v>
      </c>
      <c r="BD29" s="158">
        <v>0.7723233795</v>
      </c>
      <c r="BE29" s="158">
        <v>1.134633102</v>
      </c>
      <c r="BF29" s="162">
        <v>771</v>
      </c>
      <c r="BG29" s="162">
        <v>11</v>
      </c>
      <c r="BH29" s="162">
        <v>1577</v>
      </c>
      <c r="BI29" s="162">
        <v>660</v>
      </c>
      <c r="BJ29" s="162">
        <v>349</v>
      </c>
      <c r="BK29" s="97"/>
      <c r="BL29" s="97"/>
      <c r="BM29" s="97"/>
      <c r="BN29" s="97"/>
    </row>
    <row r="30" spans="1:66" ht="12.75">
      <c r="A30" s="79" t="s">
        <v>572</v>
      </c>
      <c r="B30" s="79" t="s">
        <v>318</v>
      </c>
      <c r="C30" s="79" t="s">
        <v>165</v>
      </c>
      <c r="D30" s="99">
        <v>7843</v>
      </c>
      <c r="E30" s="99">
        <v>1119</v>
      </c>
      <c r="F30" s="99" t="s">
        <v>376</v>
      </c>
      <c r="G30" s="99">
        <v>30</v>
      </c>
      <c r="H30" s="99">
        <v>14</v>
      </c>
      <c r="I30" s="99">
        <v>104</v>
      </c>
      <c r="J30" s="99">
        <v>749</v>
      </c>
      <c r="K30" s="99" t="s">
        <v>608</v>
      </c>
      <c r="L30" s="99">
        <v>1670</v>
      </c>
      <c r="M30" s="99">
        <v>513</v>
      </c>
      <c r="N30" s="99">
        <v>248</v>
      </c>
      <c r="O30" s="99">
        <v>88</v>
      </c>
      <c r="P30" s="159">
        <v>88</v>
      </c>
      <c r="Q30" s="99">
        <v>13</v>
      </c>
      <c r="R30" s="99">
        <v>30</v>
      </c>
      <c r="S30" s="99">
        <v>11</v>
      </c>
      <c r="T30" s="99">
        <v>17</v>
      </c>
      <c r="U30" s="99">
        <v>7</v>
      </c>
      <c r="V30" s="99">
        <v>23</v>
      </c>
      <c r="W30" s="99">
        <v>39</v>
      </c>
      <c r="X30" s="99">
        <v>41</v>
      </c>
      <c r="Y30" s="99">
        <v>95</v>
      </c>
      <c r="Z30" s="99">
        <v>49</v>
      </c>
      <c r="AA30" s="99" t="s">
        <v>608</v>
      </c>
      <c r="AB30" s="99" t="s">
        <v>608</v>
      </c>
      <c r="AC30" s="99" t="s">
        <v>608</v>
      </c>
      <c r="AD30" s="98" t="s">
        <v>354</v>
      </c>
      <c r="AE30" s="100">
        <v>0.14267499681244422</v>
      </c>
      <c r="AF30" s="100">
        <v>0.12</v>
      </c>
      <c r="AG30" s="98">
        <v>382.5066938671427</v>
      </c>
      <c r="AH30" s="98">
        <v>178.5031238046666</v>
      </c>
      <c r="AI30" s="100">
        <v>0.013000000000000001</v>
      </c>
      <c r="AJ30" s="100">
        <v>0.758097</v>
      </c>
      <c r="AK30" s="100" t="s">
        <v>608</v>
      </c>
      <c r="AL30" s="100">
        <v>0.815828</v>
      </c>
      <c r="AM30" s="100">
        <v>0.617329</v>
      </c>
      <c r="AN30" s="100">
        <v>0.642487</v>
      </c>
      <c r="AO30" s="98">
        <v>1122.0196353436186</v>
      </c>
      <c r="AP30" s="158">
        <v>0.6185554123</v>
      </c>
      <c r="AQ30" s="100">
        <v>0.14772727272727273</v>
      </c>
      <c r="AR30" s="100">
        <v>0.43333333333333335</v>
      </c>
      <c r="AS30" s="98">
        <v>140.25245441795232</v>
      </c>
      <c r="AT30" s="98">
        <v>216.75379319138085</v>
      </c>
      <c r="AU30" s="98">
        <v>89.2515619023333</v>
      </c>
      <c r="AV30" s="98">
        <v>293.2551319648094</v>
      </c>
      <c r="AW30" s="98">
        <v>497.2587020272855</v>
      </c>
      <c r="AX30" s="98">
        <v>522.759148285095</v>
      </c>
      <c r="AY30" s="98">
        <v>1211.2711972459517</v>
      </c>
      <c r="AZ30" s="98">
        <v>624.7609333163331</v>
      </c>
      <c r="BA30" s="100" t="s">
        <v>608</v>
      </c>
      <c r="BB30" s="100" t="s">
        <v>608</v>
      </c>
      <c r="BC30" s="100" t="s">
        <v>608</v>
      </c>
      <c r="BD30" s="158">
        <v>0.49609954829999997</v>
      </c>
      <c r="BE30" s="158">
        <v>0.7620775604000001</v>
      </c>
      <c r="BF30" s="162">
        <v>988</v>
      </c>
      <c r="BG30" s="162" t="s">
        <v>608</v>
      </c>
      <c r="BH30" s="162">
        <v>2047</v>
      </c>
      <c r="BI30" s="162">
        <v>831</v>
      </c>
      <c r="BJ30" s="162">
        <v>386</v>
      </c>
      <c r="BK30" s="97"/>
      <c r="BL30" s="97"/>
      <c r="BM30" s="97"/>
      <c r="BN30" s="97"/>
    </row>
    <row r="31" spans="1:66" ht="12.75">
      <c r="A31" s="79" t="s">
        <v>584</v>
      </c>
      <c r="B31" s="79" t="s">
        <v>333</v>
      </c>
      <c r="C31" s="79" t="s">
        <v>165</v>
      </c>
      <c r="D31" s="99">
        <v>1966</v>
      </c>
      <c r="E31" s="99">
        <v>324</v>
      </c>
      <c r="F31" s="99" t="s">
        <v>377</v>
      </c>
      <c r="G31" s="99">
        <v>17</v>
      </c>
      <c r="H31" s="99">
        <v>6</v>
      </c>
      <c r="I31" s="99">
        <v>44</v>
      </c>
      <c r="J31" s="99">
        <v>148</v>
      </c>
      <c r="K31" s="99" t="s">
        <v>608</v>
      </c>
      <c r="L31" s="99">
        <v>364</v>
      </c>
      <c r="M31" s="99">
        <v>118</v>
      </c>
      <c r="N31" s="99">
        <v>58</v>
      </c>
      <c r="O31" s="99">
        <v>46</v>
      </c>
      <c r="P31" s="159">
        <v>46</v>
      </c>
      <c r="Q31" s="99" t="s">
        <v>608</v>
      </c>
      <c r="R31" s="99">
        <v>10</v>
      </c>
      <c r="S31" s="99">
        <v>13</v>
      </c>
      <c r="T31" s="99">
        <v>14</v>
      </c>
      <c r="U31" s="99" t="s">
        <v>608</v>
      </c>
      <c r="V31" s="99" t="s">
        <v>608</v>
      </c>
      <c r="W31" s="99">
        <v>17</v>
      </c>
      <c r="X31" s="99">
        <v>7</v>
      </c>
      <c r="Y31" s="99">
        <v>24</v>
      </c>
      <c r="Z31" s="99">
        <v>13</v>
      </c>
      <c r="AA31" s="99" t="s">
        <v>608</v>
      </c>
      <c r="AB31" s="99" t="s">
        <v>608</v>
      </c>
      <c r="AC31" s="99" t="s">
        <v>608</v>
      </c>
      <c r="AD31" s="98" t="s">
        <v>354</v>
      </c>
      <c r="AE31" s="100">
        <v>0.16480162767039674</v>
      </c>
      <c r="AF31" s="100">
        <v>0.15</v>
      </c>
      <c r="AG31" s="98">
        <v>864.6998982706002</v>
      </c>
      <c r="AH31" s="98">
        <v>305.1881993896236</v>
      </c>
      <c r="AI31" s="100">
        <v>0.022000000000000002</v>
      </c>
      <c r="AJ31" s="100">
        <v>0.632479</v>
      </c>
      <c r="AK31" s="100" t="s">
        <v>608</v>
      </c>
      <c r="AL31" s="100">
        <v>0.726547</v>
      </c>
      <c r="AM31" s="100">
        <v>0.440299</v>
      </c>
      <c r="AN31" s="100">
        <v>0.453125</v>
      </c>
      <c r="AO31" s="98">
        <v>2339.7761953204476</v>
      </c>
      <c r="AP31" s="158">
        <v>1.244797897</v>
      </c>
      <c r="AQ31" s="100" t="s">
        <v>608</v>
      </c>
      <c r="AR31" s="100" t="s">
        <v>608</v>
      </c>
      <c r="AS31" s="98">
        <v>661.2410986775178</v>
      </c>
      <c r="AT31" s="98">
        <v>712.1057985757884</v>
      </c>
      <c r="AU31" s="98" t="s">
        <v>608</v>
      </c>
      <c r="AV31" s="98" t="s">
        <v>608</v>
      </c>
      <c r="AW31" s="98">
        <v>864.6998982706002</v>
      </c>
      <c r="AX31" s="98">
        <v>356.0528992878942</v>
      </c>
      <c r="AY31" s="98">
        <v>1220.7527975584944</v>
      </c>
      <c r="AZ31" s="98">
        <v>661.2410986775178</v>
      </c>
      <c r="BA31" s="100" t="s">
        <v>608</v>
      </c>
      <c r="BB31" s="100" t="s">
        <v>608</v>
      </c>
      <c r="BC31" s="100" t="s">
        <v>608</v>
      </c>
      <c r="BD31" s="158">
        <v>0.9113484955</v>
      </c>
      <c r="BE31" s="158">
        <v>1.6603858950000001</v>
      </c>
      <c r="BF31" s="162">
        <v>234</v>
      </c>
      <c r="BG31" s="162" t="s">
        <v>608</v>
      </c>
      <c r="BH31" s="162">
        <v>501</v>
      </c>
      <c r="BI31" s="162">
        <v>268</v>
      </c>
      <c r="BJ31" s="162">
        <v>128</v>
      </c>
      <c r="BK31" s="97"/>
      <c r="BL31" s="97"/>
      <c r="BM31" s="97"/>
      <c r="BN31" s="97"/>
    </row>
    <row r="32" spans="1:66" ht="12.75">
      <c r="A32" s="79" t="s">
        <v>550</v>
      </c>
      <c r="B32" s="79" t="s">
        <v>295</v>
      </c>
      <c r="C32" s="79" t="s">
        <v>165</v>
      </c>
      <c r="D32" s="99">
        <v>8659</v>
      </c>
      <c r="E32" s="99">
        <v>1203</v>
      </c>
      <c r="F32" s="99" t="s">
        <v>374</v>
      </c>
      <c r="G32" s="99">
        <v>43</v>
      </c>
      <c r="H32" s="99">
        <v>27</v>
      </c>
      <c r="I32" s="99">
        <v>117</v>
      </c>
      <c r="J32" s="99">
        <v>638</v>
      </c>
      <c r="K32" s="99">
        <v>613</v>
      </c>
      <c r="L32" s="99">
        <v>1526</v>
      </c>
      <c r="M32" s="99">
        <v>344</v>
      </c>
      <c r="N32" s="99">
        <v>234</v>
      </c>
      <c r="O32" s="99">
        <v>106</v>
      </c>
      <c r="P32" s="159">
        <v>106</v>
      </c>
      <c r="Q32" s="99">
        <v>9</v>
      </c>
      <c r="R32" s="99">
        <v>26</v>
      </c>
      <c r="S32" s="99">
        <v>19</v>
      </c>
      <c r="T32" s="99">
        <v>17</v>
      </c>
      <c r="U32" s="99">
        <v>7</v>
      </c>
      <c r="V32" s="99">
        <v>12</v>
      </c>
      <c r="W32" s="99">
        <v>49</v>
      </c>
      <c r="X32" s="99">
        <v>31</v>
      </c>
      <c r="Y32" s="99">
        <v>77</v>
      </c>
      <c r="Z32" s="99">
        <v>45</v>
      </c>
      <c r="AA32" s="99" t="s">
        <v>608</v>
      </c>
      <c r="AB32" s="99" t="s">
        <v>608</v>
      </c>
      <c r="AC32" s="99" t="s">
        <v>608</v>
      </c>
      <c r="AD32" s="98" t="s">
        <v>354</v>
      </c>
      <c r="AE32" s="100">
        <v>0.1389305924471648</v>
      </c>
      <c r="AF32" s="100">
        <v>0.21</v>
      </c>
      <c r="AG32" s="98">
        <v>496.5931400854602</v>
      </c>
      <c r="AH32" s="98">
        <v>311.8142972629634</v>
      </c>
      <c r="AI32" s="100">
        <v>0.013999999999999999</v>
      </c>
      <c r="AJ32" s="100">
        <v>0.725</v>
      </c>
      <c r="AK32" s="100">
        <v>0.735012</v>
      </c>
      <c r="AL32" s="100">
        <v>0.761097</v>
      </c>
      <c r="AM32" s="100">
        <v>0.406139</v>
      </c>
      <c r="AN32" s="100">
        <v>0.488518</v>
      </c>
      <c r="AO32" s="98">
        <v>1224.1598336990414</v>
      </c>
      <c r="AP32" s="158">
        <v>0.7385758209</v>
      </c>
      <c r="AQ32" s="100">
        <v>0.08490566037735849</v>
      </c>
      <c r="AR32" s="100">
        <v>0.34615384615384615</v>
      </c>
      <c r="AS32" s="98">
        <v>219.42487585171497</v>
      </c>
      <c r="AT32" s="98">
        <v>196.32752049890289</v>
      </c>
      <c r="AU32" s="98">
        <v>80.84074373484236</v>
      </c>
      <c r="AV32" s="98">
        <v>138.5841321168726</v>
      </c>
      <c r="AW32" s="98">
        <v>565.8852061438965</v>
      </c>
      <c r="AX32" s="98">
        <v>358.0090079685876</v>
      </c>
      <c r="AY32" s="98">
        <v>889.248181083266</v>
      </c>
      <c r="AZ32" s="98">
        <v>519.6904954382724</v>
      </c>
      <c r="BA32" s="100" t="s">
        <v>608</v>
      </c>
      <c r="BB32" s="100" t="s">
        <v>608</v>
      </c>
      <c r="BC32" s="100" t="s">
        <v>608</v>
      </c>
      <c r="BD32" s="158">
        <v>0.6046854019</v>
      </c>
      <c r="BE32" s="158">
        <v>0.8932862091</v>
      </c>
      <c r="BF32" s="162">
        <v>880</v>
      </c>
      <c r="BG32" s="162">
        <v>834</v>
      </c>
      <c r="BH32" s="162">
        <v>2005</v>
      </c>
      <c r="BI32" s="162">
        <v>847</v>
      </c>
      <c r="BJ32" s="162">
        <v>479</v>
      </c>
      <c r="BK32" s="97"/>
      <c r="BL32" s="97"/>
      <c r="BM32" s="97"/>
      <c r="BN32" s="97"/>
    </row>
    <row r="33" spans="1:66" ht="12.75">
      <c r="A33" s="79" t="s">
        <v>541</v>
      </c>
      <c r="B33" s="79" t="s">
        <v>284</v>
      </c>
      <c r="C33" s="79" t="s">
        <v>165</v>
      </c>
      <c r="D33" s="99">
        <v>4449</v>
      </c>
      <c r="E33" s="99">
        <v>712</v>
      </c>
      <c r="F33" s="99" t="s">
        <v>374</v>
      </c>
      <c r="G33" s="99">
        <v>22</v>
      </c>
      <c r="H33" s="99">
        <v>11</v>
      </c>
      <c r="I33" s="99">
        <v>53</v>
      </c>
      <c r="J33" s="99">
        <v>405</v>
      </c>
      <c r="K33" s="99" t="s">
        <v>608</v>
      </c>
      <c r="L33" s="99">
        <v>881</v>
      </c>
      <c r="M33" s="99">
        <v>202</v>
      </c>
      <c r="N33" s="99">
        <v>133</v>
      </c>
      <c r="O33" s="99">
        <v>80</v>
      </c>
      <c r="P33" s="159">
        <v>80</v>
      </c>
      <c r="Q33" s="99">
        <v>7</v>
      </c>
      <c r="R33" s="99">
        <v>13</v>
      </c>
      <c r="S33" s="99">
        <v>15</v>
      </c>
      <c r="T33" s="99">
        <v>9</v>
      </c>
      <c r="U33" s="99">
        <v>6</v>
      </c>
      <c r="V33" s="99" t="s">
        <v>608</v>
      </c>
      <c r="W33" s="99">
        <v>34</v>
      </c>
      <c r="X33" s="99">
        <v>18</v>
      </c>
      <c r="Y33" s="99">
        <v>42</v>
      </c>
      <c r="Z33" s="99">
        <v>16</v>
      </c>
      <c r="AA33" s="99" t="s">
        <v>608</v>
      </c>
      <c r="AB33" s="99" t="s">
        <v>608</v>
      </c>
      <c r="AC33" s="99" t="s">
        <v>608</v>
      </c>
      <c r="AD33" s="98" t="s">
        <v>354</v>
      </c>
      <c r="AE33" s="100">
        <v>0.16003596313778376</v>
      </c>
      <c r="AF33" s="100">
        <v>0.21</v>
      </c>
      <c r="AG33" s="98">
        <v>494.49314452685996</v>
      </c>
      <c r="AH33" s="98">
        <v>247.24657226342998</v>
      </c>
      <c r="AI33" s="100">
        <v>0.012</v>
      </c>
      <c r="AJ33" s="100">
        <v>0.783366</v>
      </c>
      <c r="AK33" s="100" t="s">
        <v>608</v>
      </c>
      <c r="AL33" s="100">
        <v>0.826454</v>
      </c>
      <c r="AM33" s="100">
        <v>0.475294</v>
      </c>
      <c r="AN33" s="100">
        <v>0.588496</v>
      </c>
      <c r="AO33" s="98">
        <v>1798.1568891885818</v>
      </c>
      <c r="AP33" s="158">
        <v>0.9771753692999999</v>
      </c>
      <c r="AQ33" s="100">
        <v>0.0875</v>
      </c>
      <c r="AR33" s="100">
        <v>0.5384615384615384</v>
      </c>
      <c r="AS33" s="98">
        <v>337.1544167228591</v>
      </c>
      <c r="AT33" s="98">
        <v>202.29265003371543</v>
      </c>
      <c r="AU33" s="98">
        <v>134.86176668914362</v>
      </c>
      <c r="AV33" s="98" t="s">
        <v>608</v>
      </c>
      <c r="AW33" s="98">
        <v>764.2166779051472</v>
      </c>
      <c r="AX33" s="98">
        <v>404.58530006743086</v>
      </c>
      <c r="AY33" s="98">
        <v>944.0323668240054</v>
      </c>
      <c r="AZ33" s="98">
        <v>359.63137783771634</v>
      </c>
      <c r="BA33" s="100" t="s">
        <v>608</v>
      </c>
      <c r="BB33" s="100" t="s">
        <v>608</v>
      </c>
      <c r="BC33" s="100" t="s">
        <v>608</v>
      </c>
      <c r="BD33" s="158">
        <v>0.7748392487</v>
      </c>
      <c r="BE33" s="158">
        <v>1.216179276</v>
      </c>
      <c r="BF33" s="162">
        <v>517</v>
      </c>
      <c r="BG33" s="162" t="s">
        <v>608</v>
      </c>
      <c r="BH33" s="162">
        <v>1066</v>
      </c>
      <c r="BI33" s="162">
        <v>425</v>
      </c>
      <c r="BJ33" s="162">
        <v>226</v>
      </c>
      <c r="BK33" s="97"/>
      <c r="BL33" s="97"/>
      <c r="BM33" s="97"/>
      <c r="BN33" s="97"/>
    </row>
    <row r="34" spans="1:66" ht="12.75">
      <c r="A34" s="79" t="s">
        <v>554</v>
      </c>
      <c r="B34" s="79" t="s">
        <v>299</v>
      </c>
      <c r="C34" s="79" t="s">
        <v>165</v>
      </c>
      <c r="D34" s="99">
        <v>8084</v>
      </c>
      <c r="E34" s="99">
        <v>1653</v>
      </c>
      <c r="F34" s="99" t="s">
        <v>378</v>
      </c>
      <c r="G34" s="99">
        <v>43</v>
      </c>
      <c r="H34" s="99">
        <v>25</v>
      </c>
      <c r="I34" s="99">
        <v>184</v>
      </c>
      <c r="J34" s="99">
        <v>951</v>
      </c>
      <c r="K34" s="99">
        <v>6</v>
      </c>
      <c r="L34" s="99">
        <v>1670</v>
      </c>
      <c r="M34" s="99">
        <v>771</v>
      </c>
      <c r="N34" s="99">
        <v>382</v>
      </c>
      <c r="O34" s="99">
        <v>157</v>
      </c>
      <c r="P34" s="159">
        <v>157</v>
      </c>
      <c r="Q34" s="99">
        <v>16</v>
      </c>
      <c r="R34" s="99">
        <v>43</v>
      </c>
      <c r="S34" s="99">
        <v>23</v>
      </c>
      <c r="T34" s="99">
        <v>35</v>
      </c>
      <c r="U34" s="99">
        <v>6</v>
      </c>
      <c r="V34" s="99">
        <v>36</v>
      </c>
      <c r="W34" s="99">
        <v>45</v>
      </c>
      <c r="X34" s="99">
        <v>43</v>
      </c>
      <c r="Y34" s="99">
        <v>87</v>
      </c>
      <c r="Z34" s="99">
        <v>58</v>
      </c>
      <c r="AA34" s="99" t="s">
        <v>608</v>
      </c>
      <c r="AB34" s="99" t="s">
        <v>608</v>
      </c>
      <c r="AC34" s="99" t="s">
        <v>608</v>
      </c>
      <c r="AD34" s="98" t="s">
        <v>354</v>
      </c>
      <c r="AE34" s="100">
        <v>0.20447798119742702</v>
      </c>
      <c r="AF34" s="100">
        <v>0.08</v>
      </c>
      <c r="AG34" s="98">
        <v>531.9148936170212</v>
      </c>
      <c r="AH34" s="98">
        <v>309.25284512617515</v>
      </c>
      <c r="AI34" s="100">
        <v>0.023</v>
      </c>
      <c r="AJ34" s="100">
        <v>0.788557</v>
      </c>
      <c r="AK34" s="100">
        <v>0.6</v>
      </c>
      <c r="AL34" s="100">
        <v>0.835418</v>
      </c>
      <c r="AM34" s="100">
        <v>0.655055</v>
      </c>
      <c r="AN34" s="100">
        <v>0.646362</v>
      </c>
      <c r="AO34" s="98">
        <v>1942.10786739238</v>
      </c>
      <c r="AP34" s="158">
        <v>0.9064588165</v>
      </c>
      <c r="AQ34" s="100">
        <v>0.10191082802547771</v>
      </c>
      <c r="AR34" s="100">
        <v>0.37209302325581395</v>
      </c>
      <c r="AS34" s="98">
        <v>284.51261751608115</v>
      </c>
      <c r="AT34" s="98">
        <v>432.95398317664524</v>
      </c>
      <c r="AU34" s="98">
        <v>74.22068283028204</v>
      </c>
      <c r="AV34" s="98">
        <v>445.3240969816922</v>
      </c>
      <c r="AW34" s="98">
        <v>556.6551212271153</v>
      </c>
      <c r="AX34" s="98">
        <v>531.9148936170212</v>
      </c>
      <c r="AY34" s="98">
        <v>1076.1999010390896</v>
      </c>
      <c r="AZ34" s="98">
        <v>717.4666006927264</v>
      </c>
      <c r="BA34" s="100" t="s">
        <v>608</v>
      </c>
      <c r="BB34" s="100" t="s">
        <v>608</v>
      </c>
      <c r="BC34" s="100" t="s">
        <v>608</v>
      </c>
      <c r="BD34" s="158">
        <v>0.7702136993</v>
      </c>
      <c r="BE34" s="158">
        <v>1.059860687</v>
      </c>
      <c r="BF34" s="162">
        <v>1206</v>
      </c>
      <c r="BG34" s="162">
        <v>10</v>
      </c>
      <c r="BH34" s="162">
        <v>1999</v>
      </c>
      <c r="BI34" s="162">
        <v>1177</v>
      </c>
      <c r="BJ34" s="162">
        <v>591</v>
      </c>
      <c r="BK34" s="97"/>
      <c r="BL34" s="97"/>
      <c r="BM34" s="97"/>
      <c r="BN34" s="97"/>
    </row>
    <row r="35" spans="1:66" ht="12.75">
      <c r="A35" s="79" t="s">
        <v>558</v>
      </c>
      <c r="B35" s="79" t="s">
        <v>303</v>
      </c>
      <c r="C35" s="79" t="s">
        <v>165</v>
      </c>
      <c r="D35" s="99">
        <v>7735</v>
      </c>
      <c r="E35" s="99">
        <v>1233</v>
      </c>
      <c r="F35" s="99" t="s">
        <v>378</v>
      </c>
      <c r="G35" s="99">
        <v>43</v>
      </c>
      <c r="H35" s="99">
        <v>16</v>
      </c>
      <c r="I35" s="99">
        <v>162</v>
      </c>
      <c r="J35" s="99">
        <v>862</v>
      </c>
      <c r="K35" s="99">
        <v>7</v>
      </c>
      <c r="L35" s="99">
        <v>1768</v>
      </c>
      <c r="M35" s="99">
        <v>638</v>
      </c>
      <c r="N35" s="99">
        <v>309</v>
      </c>
      <c r="O35" s="99">
        <v>162</v>
      </c>
      <c r="P35" s="159">
        <v>162</v>
      </c>
      <c r="Q35" s="99">
        <v>21</v>
      </c>
      <c r="R35" s="99">
        <v>40</v>
      </c>
      <c r="S35" s="99">
        <v>26</v>
      </c>
      <c r="T35" s="99">
        <v>25</v>
      </c>
      <c r="U35" s="99" t="s">
        <v>608</v>
      </c>
      <c r="V35" s="99">
        <v>35</v>
      </c>
      <c r="W35" s="99">
        <v>54</v>
      </c>
      <c r="X35" s="99">
        <v>42</v>
      </c>
      <c r="Y35" s="99">
        <v>85</v>
      </c>
      <c r="Z35" s="99">
        <v>38</v>
      </c>
      <c r="AA35" s="99" t="s">
        <v>608</v>
      </c>
      <c r="AB35" s="99" t="s">
        <v>608</v>
      </c>
      <c r="AC35" s="99" t="s">
        <v>608</v>
      </c>
      <c r="AD35" s="98" t="s">
        <v>354</v>
      </c>
      <c r="AE35" s="100">
        <v>0.15940530058177116</v>
      </c>
      <c r="AF35" s="100">
        <v>0.06</v>
      </c>
      <c r="AG35" s="98">
        <v>555.9146735617323</v>
      </c>
      <c r="AH35" s="98">
        <v>206.85197155785391</v>
      </c>
      <c r="AI35" s="100">
        <v>0.021</v>
      </c>
      <c r="AJ35" s="100">
        <v>0.777277</v>
      </c>
      <c r="AK35" s="100">
        <v>0.636364</v>
      </c>
      <c r="AL35" s="100">
        <v>0.846743</v>
      </c>
      <c r="AM35" s="100">
        <v>0.630435</v>
      </c>
      <c r="AN35" s="100">
        <v>0.673203</v>
      </c>
      <c r="AO35" s="98">
        <v>2094.376212023271</v>
      </c>
      <c r="AP35" s="158">
        <v>1.080050354</v>
      </c>
      <c r="AQ35" s="100">
        <v>0.12962962962962962</v>
      </c>
      <c r="AR35" s="100">
        <v>0.525</v>
      </c>
      <c r="AS35" s="98">
        <v>336.1344537815126</v>
      </c>
      <c r="AT35" s="98">
        <v>323.2062055591467</v>
      </c>
      <c r="AU35" s="98" t="s">
        <v>608</v>
      </c>
      <c r="AV35" s="98">
        <v>452.4886877828054</v>
      </c>
      <c r="AW35" s="98">
        <v>698.125404007757</v>
      </c>
      <c r="AX35" s="98">
        <v>542.9864253393665</v>
      </c>
      <c r="AY35" s="98">
        <v>1098.901098901099</v>
      </c>
      <c r="AZ35" s="98">
        <v>491.27343244990305</v>
      </c>
      <c r="BA35" s="100" t="s">
        <v>608</v>
      </c>
      <c r="BB35" s="100" t="s">
        <v>608</v>
      </c>
      <c r="BC35" s="100" t="s">
        <v>608</v>
      </c>
      <c r="BD35" s="158">
        <v>0.9201359558</v>
      </c>
      <c r="BE35" s="158">
        <v>1.2597682190000001</v>
      </c>
      <c r="BF35" s="162">
        <v>1109</v>
      </c>
      <c r="BG35" s="162">
        <v>11</v>
      </c>
      <c r="BH35" s="162">
        <v>2088</v>
      </c>
      <c r="BI35" s="162">
        <v>1012</v>
      </c>
      <c r="BJ35" s="162">
        <v>459</v>
      </c>
      <c r="BK35" s="97"/>
      <c r="BL35" s="97"/>
      <c r="BM35" s="97"/>
      <c r="BN35" s="97"/>
    </row>
    <row r="36" spans="1:66" ht="12.75">
      <c r="A36" s="79" t="s">
        <v>591</v>
      </c>
      <c r="B36" s="79" t="s">
        <v>342</v>
      </c>
      <c r="C36" s="79" t="s">
        <v>165</v>
      </c>
      <c r="D36" s="99">
        <v>3535</v>
      </c>
      <c r="E36" s="99">
        <v>442</v>
      </c>
      <c r="F36" s="99" t="s">
        <v>377</v>
      </c>
      <c r="G36" s="99">
        <v>9</v>
      </c>
      <c r="H36" s="99">
        <v>7</v>
      </c>
      <c r="I36" s="99">
        <v>41</v>
      </c>
      <c r="J36" s="99">
        <v>285</v>
      </c>
      <c r="K36" s="99" t="s">
        <v>608</v>
      </c>
      <c r="L36" s="99">
        <v>716</v>
      </c>
      <c r="M36" s="99">
        <v>185</v>
      </c>
      <c r="N36" s="99">
        <v>119</v>
      </c>
      <c r="O36" s="99">
        <v>90</v>
      </c>
      <c r="P36" s="159">
        <v>90</v>
      </c>
      <c r="Q36" s="99">
        <v>6</v>
      </c>
      <c r="R36" s="99">
        <v>11</v>
      </c>
      <c r="S36" s="99">
        <v>16</v>
      </c>
      <c r="T36" s="99">
        <v>11</v>
      </c>
      <c r="U36" s="99" t="s">
        <v>608</v>
      </c>
      <c r="V36" s="99">
        <v>16</v>
      </c>
      <c r="W36" s="99">
        <v>29</v>
      </c>
      <c r="X36" s="99">
        <v>9</v>
      </c>
      <c r="Y36" s="99">
        <v>49</v>
      </c>
      <c r="Z36" s="99">
        <v>15</v>
      </c>
      <c r="AA36" s="99" t="s">
        <v>608</v>
      </c>
      <c r="AB36" s="99" t="s">
        <v>608</v>
      </c>
      <c r="AC36" s="99" t="s">
        <v>608</v>
      </c>
      <c r="AD36" s="98" t="s">
        <v>354</v>
      </c>
      <c r="AE36" s="100">
        <v>0.12503536067892504</v>
      </c>
      <c r="AF36" s="100">
        <v>0.16</v>
      </c>
      <c r="AG36" s="98">
        <v>254.5968882602546</v>
      </c>
      <c r="AH36" s="98">
        <v>198.01980198019803</v>
      </c>
      <c r="AI36" s="100">
        <v>0.012</v>
      </c>
      <c r="AJ36" s="100">
        <v>0.664336</v>
      </c>
      <c r="AK36" s="100" t="s">
        <v>608</v>
      </c>
      <c r="AL36" s="100">
        <v>0.755274</v>
      </c>
      <c r="AM36" s="100">
        <v>0.441527</v>
      </c>
      <c r="AN36" s="100">
        <v>0.528889</v>
      </c>
      <c r="AO36" s="98">
        <v>2545.968882602546</v>
      </c>
      <c r="AP36" s="158">
        <v>1.5018444819999999</v>
      </c>
      <c r="AQ36" s="100">
        <v>0.06666666666666667</v>
      </c>
      <c r="AR36" s="100">
        <v>0.5454545454545454</v>
      </c>
      <c r="AS36" s="98">
        <v>452.6166902404526</v>
      </c>
      <c r="AT36" s="98">
        <v>311.1739745403112</v>
      </c>
      <c r="AU36" s="98" t="s">
        <v>608</v>
      </c>
      <c r="AV36" s="98">
        <v>452.6166902404526</v>
      </c>
      <c r="AW36" s="98">
        <v>820.3677510608204</v>
      </c>
      <c r="AX36" s="98">
        <v>254.5968882602546</v>
      </c>
      <c r="AY36" s="98">
        <v>1386.1386138613861</v>
      </c>
      <c r="AZ36" s="98">
        <v>424.3281471004243</v>
      </c>
      <c r="BA36" s="100" t="s">
        <v>608</v>
      </c>
      <c r="BB36" s="100" t="s">
        <v>608</v>
      </c>
      <c r="BC36" s="100" t="s">
        <v>608</v>
      </c>
      <c r="BD36" s="158">
        <v>1.2076602939999999</v>
      </c>
      <c r="BE36" s="158">
        <v>1.846021729</v>
      </c>
      <c r="BF36" s="162">
        <v>429</v>
      </c>
      <c r="BG36" s="162" t="s">
        <v>608</v>
      </c>
      <c r="BH36" s="162">
        <v>948</v>
      </c>
      <c r="BI36" s="162">
        <v>419</v>
      </c>
      <c r="BJ36" s="162">
        <v>225</v>
      </c>
      <c r="BK36" s="97"/>
      <c r="BL36" s="97"/>
      <c r="BM36" s="97"/>
      <c r="BN36" s="97"/>
    </row>
    <row r="37" spans="1:66" ht="12.75">
      <c r="A37" s="79" t="s">
        <v>581</v>
      </c>
      <c r="B37" s="79" t="s">
        <v>329</v>
      </c>
      <c r="C37" s="79" t="s">
        <v>165</v>
      </c>
      <c r="D37" s="99">
        <v>3392</v>
      </c>
      <c r="E37" s="99">
        <v>536</v>
      </c>
      <c r="F37" s="99" t="s">
        <v>377</v>
      </c>
      <c r="G37" s="99">
        <v>16</v>
      </c>
      <c r="H37" s="99">
        <v>8</v>
      </c>
      <c r="I37" s="99">
        <v>40</v>
      </c>
      <c r="J37" s="99">
        <v>251</v>
      </c>
      <c r="K37" s="99" t="s">
        <v>608</v>
      </c>
      <c r="L37" s="99">
        <v>600</v>
      </c>
      <c r="M37" s="99">
        <v>161</v>
      </c>
      <c r="N37" s="99">
        <v>73</v>
      </c>
      <c r="O37" s="99">
        <v>47</v>
      </c>
      <c r="P37" s="159">
        <v>47</v>
      </c>
      <c r="Q37" s="99">
        <v>8</v>
      </c>
      <c r="R37" s="99">
        <v>18</v>
      </c>
      <c r="S37" s="99">
        <v>6</v>
      </c>
      <c r="T37" s="99">
        <v>12</v>
      </c>
      <c r="U37" s="99" t="s">
        <v>608</v>
      </c>
      <c r="V37" s="99" t="s">
        <v>608</v>
      </c>
      <c r="W37" s="99">
        <v>11</v>
      </c>
      <c r="X37" s="99">
        <v>15</v>
      </c>
      <c r="Y37" s="99">
        <v>31</v>
      </c>
      <c r="Z37" s="99">
        <v>23</v>
      </c>
      <c r="AA37" s="99" t="s">
        <v>608</v>
      </c>
      <c r="AB37" s="99" t="s">
        <v>608</v>
      </c>
      <c r="AC37" s="99" t="s">
        <v>608</v>
      </c>
      <c r="AD37" s="98" t="s">
        <v>354</v>
      </c>
      <c r="AE37" s="100">
        <v>0.1580188679245283</v>
      </c>
      <c r="AF37" s="100">
        <v>0.17</v>
      </c>
      <c r="AG37" s="98">
        <v>471.6981132075472</v>
      </c>
      <c r="AH37" s="98">
        <v>235.8490566037736</v>
      </c>
      <c r="AI37" s="100">
        <v>0.012</v>
      </c>
      <c r="AJ37" s="100">
        <v>0.68956</v>
      </c>
      <c r="AK37" s="100" t="s">
        <v>608</v>
      </c>
      <c r="AL37" s="100">
        <v>0.767263</v>
      </c>
      <c r="AM37" s="100">
        <v>0.432796</v>
      </c>
      <c r="AN37" s="100">
        <v>0.410112</v>
      </c>
      <c r="AO37" s="98">
        <v>1385.6132075471698</v>
      </c>
      <c r="AP37" s="158">
        <v>0.780539093</v>
      </c>
      <c r="AQ37" s="100">
        <v>0.1702127659574468</v>
      </c>
      <c r="AR37" s="100">
        <v>0.4444444444444444</v>
      </c>
      <c r="AS37" s="98">
        <v>176.88679245283018</v>
      </c>
      <c r="AT37" s="98">
        <v>353.77358490566036</v>
      </c>
      <c r="AU37" s="98" t="s">
        <v>608</v>
      </c>
      <c r="AV37" s="98" t="s">
        <v>608</v>
      </c>
      <c r="AW37" s="98">
        <v>324.29245283018867</v>
      </c>
      <c r="AX37" s="98">
        <v>442.2169811320755</v>
      </c>
      <c r="AY37" s="98">
        <v>913.9150943396227</v>
      </c>
      <c r="AZ37" s="98">
        <v>678.066037735849</v>
      </c>
      <c r="BA37" s="100" t="s">
        <v>608</v>
      </c>
      <c r="BB37" s="100" t="s">
        <v>608</v>
      </c>
      <c r="BC37" s="100" t="s">
        <v>608</v>
      </c>
      <c r="BD37" s="158">
        <v>0.5735107802999999</v>
      </c>
      <c r="BE37" s="158">
        <v>1.037951508</v>
      </c>
      <c r="BF37" s="162">
        <v>364</v>
      </c>
      <c r="BG37" s="162" t="s">
        <v>608</v>
      </c>
      <c r="BH37" s="162">
        <v>782</v>
      </c>
      <c r="BI37" s="162">
        <v>372</v>
      </c>
      <c r="BJ37" s="162">
        <v>178</v>
      </c>
      <c r="BK37" s="97"/>
      <c r="BL37" s="97"/>
      <c r="BM37" s="97"/>
      <c r="BN37" s="97"/>
    </row>
    <row r="38" spans="1:66" ht="12.75">
      <c r="A38" s="79" t="s">
        <v>619</v>
      </c>
      <c r="B38" s="79" t="s">
        <v>343</v>
      </c>
      <c r="C38" s="79" t="s">
        <v>165</v>
      </c>
      <c r="D38" s="99">
        <v>4544</v>
      </c>
      <c r="E38" s="99">
        <v>867</v>
      </c>
      <c r="F38" s="99" t="s">
        <v>374</v>
      </c>
      <c r="G38" s="99">
        <v>24</v>
      </c>
      <c r="H38" s="99">
        <v>12</v>
      </c>
      <c r="I38" s="99">
        <v>103</v>
      </c>
      <c r="J38" s="99">
        <v>396</v>
      </c>
      <c r="K38" s="99" t="s">
        <v>608</v>
      </c>
      <c r="L38" s="99">
        <v>912</v>
      </c>
      <c r="M38" s="99">
        <v>299</v>
      </c>
      <c r="N38" s="99">
        <v>149</v>
      </c>
      <c r="O38" s="99">
        <v>33</v>
      </c>
      <c r="P38" s="159">
        <v>33</v>
      </c>
      <c r="Q38" s="99">
        <v>14</v>
      </c>
      <c r="R38" s="99">
        <v>26</v>
      </c>
      <c r="S38" s="99" t="s">
        <v>608</v>
      </c>
      <c r="T38" s="99" t="s">
        <v>608</v>
      </c>
      <c r="U38" s="99">
        <v>7</v>
      </c>
      <c r="V38" s="99" t="s">
        <v>608</v>
      </c>
      <c r="W38" s="99">
        <v>20</v>
      </c>
      <c r="X38" s="99">
        <v>21</v>
      </c>
      <c r="Y38" s="99">
        <v>57</v>
      </c>
      <c r="Z38" s="99">
        <v>29</v>
      </c>
      <c r="AA38" s="99" t="s">
        <v>608</v>
      </c>
      <c r="AB38" s="99" t="s">
        <v>608</v>
      </c>
      <c r="AC38" s="99" t="s">
        <v>608</v>
      </c>
      <c r="AD38" s="98" t="s">
        <v>354</v>
      </c>
      <c r="AE38" s="100">
        <v>0.19080105633802816</v>
      </c>
      <c r="AF38" s="100">
        <v>0.21</v>
      </c>
      <c r="AG38" s="98">
        <v>528.169014084507</v>
      </c>
      <c r="AH38" s="98">
        <v>264.0845070422535</v>
      </c>
      <c r="AI38" s="100">
        <v>0.023</v>
      </c>
      <c r="AJ38" s="100">
        <v>0.688696</v>
      </c>
      <c r="AK38" s="100" t="s">
        <v>608</v>
      </c>
      <c r="AL38" s="100">
        <v>0.768324</v>
      </c>
      <c r="AM38" s="100">
        <v>0.570611</v>
      </c>
      <c r="AN38" s="100">
        <v>0.56654</v>
      </c>
      <c r="AO38" s="98">
        <v>726.2323943661971</v>
      </c>
      <c r="AP38" s="158">
        <v>0.3655657578</v>
      </c>
      <c r="AQ38" s="100">
        <v>0.42424242424242425</v>
      </c>
      <c r="AR38" s="100">
        <v>0.5384615384615384</v>
      </c>
      <c r="AS38" s="98" t="s">
        <v>608</v>
      </c>
      <c r="AT38" s="98" t="s">
        <v>608</v>
      </c>
      <c r="AU38" s="98">
        <v>154.04929577464787</v>
      </c>
      <c r="AV38" s="98" t="s">
        <v>608</v>
      </c>
      <c r="AW38" s="98">
        <v>440.14084507042253</v>
      </c>
      <c r="AX38" s="98">
        <v>462.1478873239437</v>
      </c>
      <c r="AY38" s="98">
        <v>1254.4014084507041</v>
      </c>
      <c r="AZ38" s="98">
        <v>638.2042253521126</v>
      </c>
      <c r="BA38" s="100" t="s">
        <v>608</v>
      </c>
      <c r="BB38" s="100" t="s">
        <v>608</v>
      </c>
      <c r="BC38" s="100" t="s">
        <v>608</v>
      </c>
      <c r="BD38" s="158">
        <v>0.25163864140000003</v>
      </c>
      <c r="BE38" s="158">
        <v>0.5133902359</v>
      </c>
      <c r="BF38" s="162">
        <v>575</v>
      </c>
      <c r="BG38" s="162" t="s">
        <v>608</v>
      </c>
      <c r="BH38" s="162">
        <v>1187</v>
      </c>
      <c r="BI38" s="162">
        <v>524</v>
      </c>
      <c r="BJ38" s="162">
        <v>263</v>
      </c>
      <c r="BK38" s="97"/>
      <c r="BL38" s="97"/>
      <c r="BM38" s="97"/>
      <c r="BN38" s="97"/>
    </row>
    <row r="39" spans="1:66" ht="12.75">
      <c r="A39" s="79" t="s">
        <v>573</v>
      </c>
      <c r="B39" s="79" t="s">
        <v>319</v>
      </c>
      <c r="C39" s="79" t="s">
        <v>165</v>
      </c>
      <c r="D39" s="99">
        <v>4536</v>
      </c>
      <c r="E39" s="99">
        <v>692</v>
      </c>
      <c r="F39" s="99" t="s">
        <v>376</v>
      </c>
      <c r="G39" s="99">
        <v>16</v>
      </c>
      <c r="H39" s="99">
        <v>7</v>
      </c>
      <c r="I39" s="99">
        <v>49</v>
      </c>
      <c r="J39" s="99">
        <v>431</v>
      </c>
      <c r="K39" s="99">
        <v>6</v>
      </c>
      <c r="L39" s="99">
        <v>931</v>
      </c>
      <c r="M39" s="99">
        <v>338</v>
      </c>
      <c r="N39" s="99">
        <v>169</v>
      </c>
      <c r="O39" s="99">
        <v>69</v>
      </c>
      <c r="P39" s="159">
        <v>69</v>
      </c>
      <c r="Q39" s="99">
        <v>14</v>
      </c>
      <c r="R39" s="99">
        <v>20</v>
      </c>
      <c r="S39" s="99">
        <v>10</v>
      </c>
      <c r="T39" s="99" t="s">
        <v>608</v>
      </c>
      <c r="U39" s="99" t="s">
        <v>608</v>
      </c>
      <c r="V39" s="99">
        <v>21</v>
      </c>
      <c r="W39" s="99">
        <v>23</v>
      </c>
      <c r="X39" s="99">
        <v>23</v>
      </c>
      <c r="Y39" s="99">
        <v>35</v>
      </c>
      <c r="Z39" s="99">
        <v>24</v>
      </c>
      <c r="AA39" s="99" t="s">
        <v>608</v>
      </c>
      <c r="AB39" s="99" t="s">
        <v>608</v>
      </c>
      <c r="AC39" s="99" t="s">
        <v>608</v>
      </c>
      <c r="AD39" s="98" t="s">
        <v>354</v>
      </c>
      <c r="AE39" s="100">
        <v>0.15255731922398588</v>
      </c>
      <c r="AF39" s="100">
        <v>0.1</v>
      </c>
      <c r="AG39" s="98">
        <v>352.7336860670194</v>
      </c>
      <c r="AH39" s="98">
        <v>154.320987654321</v>
      </c>
      <c r="AI39" s="100">
        <v>0.011000000000000001</v>
      </c>
      <c r="AJ39" s="100">
        <v>0.701954</v>
      </c>
      <c r="AK39" s="100">
        <v>0.75</v>
      </c>
      <c r="AL39" s="100">
        <v>0.773899</v>
      </c>
      <c r="AM39" s="100">
        <v>0.585789</v>
      </c>
      <c r="AN39" s="100">
        <v>0.586806</v>
      </c>
      <c r="AO39" s="98">
        <v>1521.164021164021</v>
      </c>
      <c r="AP39" s="158">
        <v>0.8010143279999999</v>
      </c>
      <c r="AQ39" s="100">
        <v>0.2028985507246377</v>
      </c>
      <c r="AR39" s="100">
        <v>0.7</v>
      </c>
      <c r="AS39" s="98">
        <v>220.4585537918871</v>
      </c>
      <c r="AT39" s="98" t="s">
        <v>608</v>
      </c>
      <c r="AU39" s="98" t="s">
        <v>608</v>
      </c>
      <c r="AV39" s="98">
        <v>462.962962962963</v>
      </c>
      <c r="AW39" s="98">
        <v>507.0546737213404</v>
      </c>
      <c r="AX39" s="98">
        <v>507.0546737213404</v>
      </c>
      <c r="AY39" s="98">
        <v>771.604938271605</v>
      </c>
      <c r="AZ39" s="98">
        <v>529.1005291005291</v>
      </c>
      <c r="BA39" s="100" t="s">
        <v>608</v>
      </c>
      <c r="BB39" s="100" t="s">
        <v>608</v>
      </c>
      <c r="BC39" s="100" t="s">
        <v>608</v>
      </c>
      <c r="BD39" s="158">
        <v>0.6232369614000001</v>
      </c>
      <c r="BE39" s="158">
        <v>1.013734894</v>
      </c>
      <c r="BF39" s="162">
        <v>614</v>
      </c>
      <c r="BG39" s="162">
        <v>8</v>
      </c>
      <c r="BH39" s="162">
        <v>1203</v>
      </c>
      <c r="BI39" s="162">
        <v>577</v>
      </c>
      <c r="BJ39" s="162">
        <v>288</v>
      </c>
      <c r="BK39" s="97"/>
      <c r="BL39" s="97"/>
      <c r="BM39" s="97"/>
      <c r="BN39" s="97"/>
    </row>
    <row r="40" spans="1:66" ht="12.75">
      <c r="A40" s="79" t="s">
        <v>586</v>
      </c>
      <c r="B40" s="79" t="s">
        <v>335</v>
      </c>
      <c r="C40" s="79" t="s">
        <v>165</v>
      </c>
      <c r="D40" s="99">
        <v>2270</v>
      </c>
      <c r="E40" s="99">
        <v>318</v>
      </c>
      <c r="F40" s="99" t="s">
        <v>374</v>
      </c>
      <c r="G40" s="99">
        <v>9</v>
      </c>
      <c r="H40" s="99" t="s">
        <v>608</v>
      </c>
      <c r="I40" s="99">
        <v>28</v>
      </c>
      <c r="J40" s="99">
        <v>126</v>
      </c>
      <c r="K40" s="99" t="s">
        <v>608</v>
      </c>
      <c r="L40" s="99">
        <v>372</v>
      </c>
      <c r="M40" s="99">
        <v>79</v>
      </c>
      <c r="N40" s="99">
        <v>35</v>
      </c>
      <c r="O40" s="99">
        <v>15</v>
      </c>
      <c r="P40" s="159">
        <v>15</v>
      </c>
      <c r="Q40" s="99" t="s">
        <v>608</v>
      </c>
      <c r="R40" s="99">
        <v>10</v>
      </c>
      <c r="S40" s="99" t="s">
        <v>608</v>
      </c>
      <c r="T40" s="99" t="s">
        <v>608</v>
      </c>
      <c r="U40" s="99" t="s">
        <v>608</v>
      </c>
      <c r="V40" s="99" t="s">
        <v>608</v>
      </c>
      <c r="W40" s="99">
        <v>8</v>
      </c>
      <c r="X40" s="99">
        <v>6</v>
      </c>
      <c r="Y40" s="99">
        <v>10</v>
      </c>
      <c r="Z40" s="99">
        <v>8</v>
      </c>
      <c r="AA40" s="99" t="s">
        <v>608</v>
      </c>
      <c r="AB40" s="99" t="s">
        <v>608</v>
      </c>
      <c r="AC40" s="99" t="s">
        <v>608</v>
      </c>
      <c r="AD40" s="98" t="s">
        <v>354</v>
      </c>
      <c r="AE40" s="100">
        <v>0.14008810572687225</v>
      </c>
      <c r="AF40" s="100">
        <v>0.18</v>
      </c>
      <c r="AG40" s="98">
        <v>396.4757709251101</v>
      </c>
      <c r="AH40" s="98" t="s">
        <v>608</v>
      </c>
      <c r="AI40" s="100">
        <v>0.012</v>
      </c>
      <c r="AJ40" s="100">
        <v>0.614634</v>
      </c>
      <c r="AK40" s="100" t="s">
        <v>608</v>
      </c>
      <c r="AL40" s="100">
        <v>0.719536</v>
      </c>
      <c r="AM40" s="100">
        <v>0.44382</v>
      </c>
      <c r="AN40" s="100">
        <v>0.460526</v>
      </c>
      <c r="AO40" s="98">
        <v>660.7929515418502</v>
      </c>
      <c r="AP40" s="158">
        <v>0.39355274199999996</v>
      </c>
      <c r="AQ40" s="100" t="s">
        <v>608</v>
      </c>
      <c r="AR40" s="100" t="s">
        <v>608</v>
      </c>
      <c r="AS40" s="98" t="s">
        <v>608</v>
      </c>
      <c r="AT40" s="98" t="s">
        <v>608</v>
      </c>
      <c r="AU40" s="98" t="s">
        <v>608</v>
      </c>
      <c r="AV40" s="98" t="s">
        <v>608</v>
      </c>
      <c r="AW40" s="98">
        <v>352.42290748898677</v>
      </c>
      <c r="AX40" s="98">
        <v>264.3171806167401</v>
      </c>
      <c r="AY40" s="98">
        <v>440.52863436123346</v>
      </c>
      <c r="AZ40" s="98">
        <v>352.42290748898677</v>
      </c>
      <c r="BA40" s="100" t="s">
        <v>608</v>
      </c>
      <c r="BB40" s="100" t="s">
        <v>608</v>
      </c>
      <c r="BC40" s="100" t="s">
        <v>608</v>
      </c>
      <c r="BD40" s="158">
        <v>0.2202684784</v>
      </c>
      <c r="BE40" s="158">
        <v>0.6491053771999999</v>
      </c>
      <c r="BF40" s="162">
        <v>205</v>
      </c>
      <c r="BG40" s="162" t="s">
        <v>608</v>
      </c>
      <c r="BH40" s="162">
        <v>517</v>
      </c>
      <c r="BI40" s="162">
        <v>178</v>
      </c>
      <c r="BJ40" s="162">
        <v>76</v>
      </c>
      <c r="BK40" s="97"/>
      <c r="BL40" s="97"/>
      <c r="BM40" s="97"/>
      <c r="BN40" s="97"/>
    </row>
    <row r="41" spans="1:66" ht="12.75">
      <c r="A41" s="79" t="s">
        <v>563</v>
      </c>
      <c r="B41" s="79" t="s">
        <v>308</v>
      </c>
      <c r="C41" s="79" t="s">
        <v>165</v>
      </c>
      <c r="D41" s="99">
        <v>6142</v>
      </c>
      <c r="E41" s="99">
        <v>1098</v>
      </c>
      <c r="F41" s="99" t="s">
        <v>376</v>
      </c>
      <c r="G41" s="99">
        <v>37</v>
      </c>
      <c r="H41" s="99">
        <v>17</v>
      </c>
      <c r="I41" s="99">
        <v>109</v>
      </c>
      <c r="J41" s="99">
        <v>705</v>
      </c>
      <c r="K41" s="99">
        <v>7</v>
      </c>
      <c r="L41" s="99">
        <v>1270</v>
      </c>
      <c r="M41" s="99">
        <v>539</v>
      </c>
      <c r="N41" s="99">
        <v>290</v>
      </c>
      <c r="O41" s="99">
        <v>84</v>
      </c>
      <c r="P41" s="159">
        <v>84</v>
      </c>
      <c r="Q41" s="99">
        <v>7</v>
      </c>
      <c r="R41" s="99">
        <v>13</v>
      </c>
      <c r="S41" s="99">
        <v>18</v>
      </c>
      <c r="T41" s="99">
        <v>15</v>
      </c>
      <c r="U41" s="99" t="s">
        <v>608</v>
      </c>
      <c r="V41" s="99" t="s">
        <v>608</v>
      </c>
      <c r="W41" s="99">
        <v>29</v>
      </c>
      <c r="X41" s="99">
        <v>23</v>
      </c>
      <c r="Y41" s="99">
        <v>77</v>
      </c>
      <c r="Z41" s="99">
        <v>37</v>
      </c>
      <c r="AA41" s="99" t="s">
        <v>608</v>
      </c>
      <c r="AB41" s="99" t="s">
        <v>608</v>
      </c>
      <c r="AC41" s="99" t="s">
        <v>608</v>
      </c>
      <c r="AD41" s="98" t="s">
        <v>354</v>
      </c>
      <c r="AE41" s="100">
        <v>0.1787691305763595</v>
      </c>
      <c r="AF41" s="100">
        <v>0.11</v>
      </c>
      <c r="AG41" s="98">
        <v>602.4096385542168</v>
      </c>
      <c r="AH41" s="98">
        <v>276.7828069032888</v>
      </c>
      <c r="AI41" s="100">
        <v>0.018000000000000002</v>
      </c>
      <c r="AJ41" s="100">
        <v>0.793026</v>
      </c>
      <c r="AK41" s="100">
        <v>0.583333</v>
      </c>
      <c r="AL41" s="100">
        <v>0.825748</v>
      </c>
      <c r="AM41" s="100">
        <v>0.660539</v>
      </c>
      <c r="AN41" s="100">
        <v>0.679157</v>
      </c>
      <c r="AO41" s="98">
        <v>1367.6326929338977</v>
      </c>
      <c r="AP41" s="158">
        <v>0.6863783264</v>
      </c>
      <c r="AQ41" s="100">
        <v>0.08333333333333333</v>
      </c>
      <c r="AR41" s="100">
        <v>0.5384615384615384</v>
      </c>
      <c r="AS41" s="98">
        <v>293.06414848583523</v>
      </c>
      <c r="AT41" s="98">
        <v>244.22012373819604</v>
      </c>
      <c r="AU41" s="98" t="s">
        <v>608</v>
      </c>
      <c r="AV41" s="98" t="s">
        <v>608</v>
      </c>
      <c r="AW41" s="98">
        <v>472.15890589384566</v>
      </c>
      <c r="AX41" s="98">
        <v>374.47085639856726</v>
      </c>
      <c r="AY41" s="98">
        <v>1253.6633018560728</v>
      </c>
      <c r="AZ41" s="98">
        <v>602.4096385542168</v>
      </c>
      <c r="BA41" s="100" t="s">
        <v>608</v>
      </c>
      <c r="BB41" s="100" t="s">
        <v>608</v>
      </c>
      <c r="BC41" s="100" t="s">
        <v>608</v>
      </c>
      <c r="BD41" s="158">
        <v>0.5474822617</v>
      </c>
      <c r="BE41" s="158">
        <v>0.8497830962999999</v>
      </c>
      <c r="BF41" s="162">
        <v>889</v>
      </c>
      <c r="BG41" s="162">
        <v>12</v>
      </c>
      <c r="BH41" s="162">
        <v>1538</v>
      </c>
      <c r="BI41" s="162">
        <v>816</v>
      </c>
      <c r="BJ41" s="162">
        <v>427</v>
      </c>
      <c r="BK41" s="97"/>
      <c r="BL41" s="97"/>
      <c r="BM41" s="97"/>
      <c r="BN41" s="97"/>
    </row>
    <row r="42" spans="1:66" ht="12.75">
      <c r="A42" s="79" t="s">
        <v>549</v>
      </c>
      <c r="B42" s="79" t="s">
        <v>294</v>
      </c>
      <c r="C42" s="79" t="s">
        <v>165</v>
      </c>
      <c r="D42" s="99">
        <v>8463</v>
      </c>
      <c r="E42" s="99">
        <v>1112</v>
      </c>
      <c r="F42" s="99" t="s">
        <v>375</v>
      </c>
      <c r="G42" s="99">
        <v>36</v>
      </c>
      <c r="H42" s="99">
        <v>18</v>
      </c>
      <c r="I42" s="99">
        <v>94</v>
      </c>
      <c r="J42" s="99">
        <v>567</v>
      </c>
      <c r="K42" s="99">
        <v>7</v>
      </c>
      <c r="L42" s="99">
        <v>1451</v>
      </c>
      <c r="M42" s="99">
        <v>396</v>
      </c>
      <c r="N42" s="99">
        <v>200</v>
      </c>
      <c r="O42" s="99">
        <v>53</v>
      </c>
      <c r="P42" s="159">
        <v>53</v>
      </c>
      <c r="Q42" s="99">
        <v>11</v>
      </c>
      <c r="R42" s="99">
        <v>27</v>
      </c>
      <c r="S42" s="99">
        <v>14</v>
      </c>
      <c r="T42" s="99">
        <v>6</v>
      </c>
      <c r="U42" s="99" t="s">
        <v>608</v>
      </c>
      <c r="V42" s="99" t="s">
        <v>608</v>
      </c>
      <c r="W42" s="99">
        <v>37</v>
      </c>
      <c r="X42" s="99">
        <v>32</v>
      </c>
      <c r="Y42" s="99">
        <v>101</v>
      </c>
      <c r="Z42" s="99">
        <v>44</v>
      </c>
      <c r="AA42" s="99" t="s">
        <v>608</v>
      </c>
      <c r="AB42" s="99" t="s">
        <v>608</v>
      </c>
      <c r="AC42" s="99" t="s">
        <v>608</v>
      </c>
      <c r="AD42" s="98" t="s">
        <v>354</v>
      </c>
      <c r="AE42" s="100">
        <v>0.13139548623419592</v>
      </c>
      <c r="AF42" s="100">
        <v>0.24</v>
      </c>
      <c r="AG42" s="98">
        <v>425.3810705423609</v>
      </c>
      <c r="AH42" s="98">
        <v>212.69053527118044</v>
      </c>
      <c r="AI42" s="100">
        <v>0.011000000000000001</v>
      </c>
      <c r="AJ42" s="100">
        <v>0.659302</v>
      </c>
      <c r="AK42" s="100">
        <v>0.35</v>
      </c>
      <c r="AL42" s="100">
        <v>0.703686</v>
      </c>
      <c r="AM42" s="100">
        <v>0.533693</v>
      </c>
      <c r="AN42" s="100">
        <v>0.539084</v>
      </c>
      <c r="AO42" s="98">
        <v>626.2554649651424</v>
      </c>
      <c r="AP42" s="158">
        <v>0.3908420563</v>
      </c>
      <c r="AQ42" s="100">
        <v>0.20754716981132076</v>
      </c>
      <c r="AR42" s="100">
        <v>0.4074074074074074</v>
      </c>
      <c r="AS42" s="98">
        <v>165.42597187758477</v>
      </c>
      <c r="AT42" s="98">
        <v>70.89684509039348</v>
      </c>
      <c r="AU42" s="98" t="s">
        <v>608</v>
      </c>
      <c r="AV42" s="98" t="s">
        <v>608</v>
      </c>
      <c r="AW42" s="98">
        <v>437.1972113907598</v>
      </c>
      <c r="AX42" s="98">
        <v>378.1165071487652</v>
      </c>
      <c r="AY42" s="98">
        <v>1193.4302256882902</v>
      </c>
      <c r="AZ42" s="98">
        <v>519.9101973295521</v>
      </c>
      <c r="BA42" s="100" t="s">
        <v>608</v>
      </c>
      <c r="BB42" s="100" t="s">
        <v>608</v>
      </c>
      <c r="BC42" s="100" t="s">
        <v>608</v>
      </c>
      <c r="BD42" s="158">
        <v>0.2927675247</v>
      </c>
      <c r="BE42" s="158">
        <v>0.5112310409999999</v>
      </c>
      <c r="BF42" s="162">
        <v>860</v>
      </c>
      <c r="BG42" s="162">
        <v>20</v>
      </c>
      <c r="BH42" s="162">
        <v>2062</v>
      </c>
      <c r="BI42" s="162">
        <v>742</v>
      </c>
      <c r="BJ42" s="162">
        <v>371</v>
      </c>
      <c r="BK42" s="97"/>
      <c r="BL42" s="97"/>
      <c r="BM42" s="97"/>
      <c r="BN42" s="97"/>
    </row>
    <row r="43" spans="1:66" ht="12.75">
      <c r="A43" s="79" t="s">
        <v>592</v>
      </c>
      <c r="B43" s="79" t="s">
        <v>344</v>
      </c>
      <c r="C43" s="79" t="s">
        <v>165</v>
      </c>
      <c r="D43" s="99">
        <v>2566</v>
      </c>
      <c r="E43" s="99">
        <v>538</v>
      </c>
      <c r="F43" s="99" t="s">
        <v>376</v>
      </c>
      <c r="G43" s="99">
        <v>16</v>
      </c>
      <c r="H43" s="99">
        <v>8</v>
      </c>
      <c r="I43" s="99">
        <v>58</v>
      </c>
      <c r="J43" s="99">
        <v>255</v>
      </c>
      <c r="K43" s="99" t="s">
        <v>608</v>
      </c>
      <c r="L43" s="99">
        <v>492</v>
      </c>
      <c r="M43" s="99">
        <v>183</v>
      </c>
      <c r="N43" s="99">
        <v>86</v>
      </c>
      <c r="O43" s="99">
        <v>43</v>
      </c>
      <c r="P43" s="159">
        <v>43</v>
      </c>
      <c r="Q43" s="99">
        <v>7</v>
      </c>
      <c r="R43" s="99">
        <v>14</v>
      </c>
      <c r="S43" s="99" t="s">
        <v>608</v>
      </c>
      <c r="T43" s="99">
        <v>12</v>
      </c>
      <c r="U43" s="99" t="s">
        <v>608</v>
      </c>
      <c r="V43" s="99">
        <v>6</v>
      </c>
      <c r="W43" s="99">
        <v>15</v>
      </c>
      <c r="X43" s="99">
        <v>12</v>
      </c>
      <c r="Y43" s="99">
        <v>49</v>
      </c>
      <c r="Z43" s="99">
        <v>23</v>
      </c>
      <c r="AA43" s="99" t="s">
        <v>608</v>
      </c>
      <c r="AB43" s="99" t="s">
        <v>608</v>
      </c>
      <c r="AC43" s="99" t="s">
        <v>608</v>
      </c>
      <c r="AD43" s="98" t="s">
        <v>354</v>
      </c>
      <c r="AE43" s="100">
        <v>0.20966484801247076</v>
      </c>
      <c r="AF43" s="100">
        <v>0.1</v>
      </c>
      <c r="AG43" s="98">
        <v>623.5385814497272</v>
      </c>
      <c r="AH43" s="98">
        <v>311.7692907248636</v>
      </c>
      <c r="AI43" s="100">
        <v>0.023</v>
      </c>
      <c r="AJ43" s="100">
        <v>0.770393</v>
      </c>
      <c r="AK43" s="100" t="s">
        <v>608</v>
      </c>
      <c r="AL43" s="100">
        <v>0.832487</v>
      </c>
      <c r="AM43" s="100">
        <v>0.579114</v>
      </c>
      <c r="AN43" s="100">
        <v>0.547771</v>
      </c>
      <c r="AO43" s="98">
        <v>1675.759937646142</v>
      </c>
      <c r="AP43" s="158">
        <v>0.7973468780999999</v>
      </c>
      <c r="AQ43" s="100">
        <v>0.16279069767441862</v>
      </c>
      <c r="AR43" s="100">
        <v>0.5</v>
      </c>
      <c r="AS43" s="98" t="s">
        <v>608</v>
      </c>
      <c r="AT43" s="98">
        <v>467.6539360872954</v>
      </c>
      <c r="AU43" s="98" t="s">
        <v>608</v>
      </c>
      <c r="AV43" s="98">
        <v>233.8269680436477</v>
      </c>
      <c r="AW43" s="98">
        <v>584.5674201091192</v>
      </c>
      <c r="AX43" s="98">
        <v>467.6539360872954</v>
      </c>
      <c r="AY43" s="98">
        <v>1909.5869056897895</v>
      </c>
      <c r="AZ43" s="98">
        <v>896.3367108339828</v>
      </c>
      <c r="BA43" s="100" t="s">
        <v>608</v>
      </c>
      <c r="BB43" s="100" t="s">
        <v>608</v>
      </c>
      <c r="BC43" s="100" t="s">
        <v>608</v>
      </c>
      <c r="BD43" s="158">
        <v>0.5770438766</v>
      </c>
      <c r="BE43" s="158">
        <v>1.074020996</v>
      </c>
      <c r="BF43" s="162">
        <v>331</v>
      </c>
      <c r="BG43" s="162" t="s">
        <v>608</v>
      </c>
      <c r="BH43" s="162">
        <v>591</v>
      </c>
      <c r="BI43" s="162">
        <v>316</v>
      </c>
      <c r="BJ43" s="162">
        <v>157</v>
      </c>
      <c r="BK43" s="97"/>
      <c r="BL43" s="97"/>
      <c r="BM43" s="97"/>
      <c r="BN43" s="97"/>
    </row>
    <row r="44" spans="1:66" ht="12.75">
      <c r="A44" s="79" t="s">
        <v>568</v>
      </c>
      <c r="B44" s="79" t="s">
        <v>314</v>
      </c>
      <c r="C44" s="79" t="s">
        <v>165</v>
      </c>
      <c r="D44" s="99">
        <v>13996</v>
      </c>
      <c r="E44" s="99">
        <v>929</v>
      </c>
      <c r="F44" s="99" t="s">
        <v>375</v>
      </c>
      <c r="G44" s="99">
        <v>38</v>
      </c>
      <c r="H44" s="99">
        <v>16</v>
      </c>
      <c r="I44" s="99">
        <v>111</v>
      </c>
      <c r="J44" s="99">
        <v>608</v>
      </c>
      <c r="K44" s="99">
        <v>567</v>
      </c>
      <c r="L44" s="99">
        <v>2547</v>
      </c>
      <c r="M44" s="99">
        <v>207</v>
      </c>
      <c r="N44" s="99">
        <v>126</v>
      </c>
      <c r="O44" s="99">
        <v>151</v>
      </c>
      <c r="P44" s="159">
        <v>151</v>
      </c>
      <c r="Q44" s="99">
        <v>16</v>
      </c>
      <c r="R44" s="99">
        <v>35</v>
      </c>
      <c r="S44" s="99">
        <v>32</v>
      </c>
      <c r="T44" s="99">
        <v>25</v>
      </c>
      <c r="U44" s="99" t="s">
        <v>608</v>
      </c>
      <c r="V44" s="99">
        <v>26</v>
      </c>
      <c r="W44" s="99">
        <v>54</v>
      </c>
      <c r="X44" s="99">
        <v>24</v>
      </c>
      <c r="Y44" s="99">
        <v>74</v>
      </c>
      <c r="Z44" s="99">
        <v>37</v>
      </c>
      <c r="AA44" s="99" t="s">
        <v>608</v>
      </c>
      <c r="AB44" s="99" t="s">
        <v>608</v>
      </c>
      <c r="AC44" s="99" t="s">
        <v>608</v>
      </c>
      <c r="AD44" s="98" t="s">
        <v>354</v>
      </c>
      <c r="AE44" s="100">
        <v>0.06637610745927408</v>
      </c>
      <c r="AF44" s="100">
        <v>0.24</v>
      </c>
      <c r="AG44" s="98">
        <v>271.5061446127465</v>
      </c>
      <c r="AH44" s="98">
        <v>114.31837667905116</v>
      </c>
      <c r="AI44" s="100">
        <v>0.008</v>
      </c>
      <c r="AJ44" s="100">
        <v>0.630052</v>
      </c>
      <c r="AK44" s="100">
        <v>0.618996</v>
      </c>
      <c r="AL44" s="100">
        <v>0.800692</v>
      </c>
      <c r="AM44" s="100">
        <v>0.30531</v>
      </c>
      <c r="AN44" s="100">
        <v>0.347107</v>
      </c>
      <c r="AO44" s="98">
        <v>1078.8796799085453</v>
      </c>
      <c r="AP44" s="158">
        <v>0.9256820679000001</v>
      </c>
      <c r="AQ44" s="100">
        <v>0.10596026490066225</v>
      </c>
      <c r="AR44" s="100">
        <v>0.45714285714285713</v>
      </c>
      <c r="AS44" s="98">
        <v>228.6367533581023</v>
      </c>
      <c r="AT44" s="98">
        <v>178.62246356101744</v>
      </c>
      <c r="AU44" s="98" t="s">
        <v>608</v>
      </c>
      <c r="AV44" s="98">
        <v>185.76736210345814</v>
      </c>
      <c r="AW44" s="98">
        <v>385.8245212917977</v>
      </c>
      <c r="AX44" s="98">
        <v>171.47756501857674</v>
      </c>
      <c r="AY44" s="98">
        <v>528.7224921406116</v>
      </c>
      <c r="AZ44" s="98">
        <v>264.3612460703058</v>
      </c>
      <c r="BA44" s="100" t="s">
        <v>608</v>
      </c>
      <c r="BB44" s="100" t="s">
        <v>608</v>
      </c>
      <c r="BC44" s="100" t="s">
        <v>608</v>
      </c>
      <c r="BD44" s="158">
        <v>0.7839253998</v>
      </c>
      <c r="BE44" s="158">
        <v>1.085664597</v>
      </c>
      <c r="BF44" s="162">
        <v>965</v>
      </c>
      <c r="BG44" s="162">
        <v>916</v>
      </c>
      <c r="BH44" s="162">
        <v>3181</v>
      </c>
      <c r="BI44" s="162">
        <v>678</v>
      </c>
      <c r="BJ44" s="162">
        <v>363</v>
      </c>
      <c r="BK44" s="97"/>
      <c r="BL44" s="97"/>
      <c r="BM44" s="97"/>
      <c r="BN44" s="97"/>
    </row>
    <row r="45" spans="1:66" ht="12.75">
      <c r="A45" s="79" t="s">
        <v>580</v>
      </c>
      <c r="B45" s="79" t="s">
        <v>327</v>
      </c>
      <c r="C45" s="79" t="s">
        <v>165</v>
      </c>
      <c r="D45" s="99">
        <v>7504</v>
      </c>
      <c r="E45" s="99">
        <v>1152</v>
      </c>
      <c r="F45" s="99" t="s">
        <v>378</v>
      </c>
      <c r="G45" s="99">
        <v>41</v>
      </c>
      <c r="H45" s="99">
        <v>17</v>
      </c>
      <c r="I45" s="99">
        <v>116</v>
      </c>
      <c r="J45" s="99">
        <v>881</v>
      </c>
      <c r="K45" s="99">
        <v>12</v>
      </c>
      <c r="L45" s="99">
        <v>1683</v>
      </c>
      <c r="M45" s="99">
        <v>679</v>
      </c>
      <c r="N45" s="99">
        <v>349</v>
      </c>
      <c r="O45" s="99">
        <v>169</v>
      </c>
      <c r="P45" s="159">
        <v>169</v>
      </c>
      <c r="Q45" s="99">
        <v>14</v>
      </c>
      <c r="R45" s="99">
        <v>27</v>
      </c>
      <c r="S45" s="99">
        <v>26</v>
      </c>
      <c r="T45" s="99">
        <v>24</v>
      </c>
      <c r="U45" s="99">
        <v>6</v>
      </c>
      <c r="V45" s="99">
        <v>39</v>
      </c>
      <c r="W45" s="99">
        <v>46</v>
      </c>
      <c r="X45" s="99">
        <v>42</v>
      </c>
      <c r="Y45" s="99">
        <v>83</v>
      </c>
      <c r="Z45" s="99">
        <v>44</v>
      </c>
      <c r="AA45" s="99" t="s">
        <v>608</v>
      </c>
      <c r="AB45" s="99" t="s">
        <v>608</v>
      </c>
      <c r="AC45" s="99" t="s">
        <v>608</v>
      </c>
      <c r="AD45" s="98" t="s">
        <v>354</v>
      </c>
      <c r="AE45" s="100">
        <v>0.1535181236673774</v>
      </c>
      <c r="AF45" s="100">
        <v>0.07</v>
      </c>
      <c r="AG45" s="98">
        <v>546.3752665245203</v>
      </c>
      <c r="AH45" s="98">
        <v>226.54584221748402</v>
      </c>
      <c r="AI45" s="100">
        <v>0.015</v>
      </c>
      <c r="AJ45" s="100">
        <v>0.783111</v>
      </c>
      <c r="AK45" s="100">
        <v>0.571429</v>
      </c>
      <c r="AL45" s="100">
        <v>0.819377</v>
      </c>
      <c r="AM45" s="100">
        <v>0.655405</v>
      </c>
      <c r="AN45" s="100">
        <v>0.698</v>
      </c>
      <c r="AO45" s="98">
        <v>2252.132196162047</v>
      </c>
      <c r="AP45" s="158">
        <v>1.164286346</v>
      </c>
      <c r="AQ45" s="100">
        <v>0.08284023668639054</v>
      </c>
      <c r="AR45" s="100">
        <v>0.5185185185185185</v>
      </c>
      <c r="AS45" s="98">
        <v>346.4818763326226</v>
      </c>
      <c r="AT45" s="98">
        <v>319.8294243070362</v>
      </c>
      <c r="AU45" s="98">
        <v>79.95735607675905</v>
      </c>
      <c r="AV45" s="98">
        <v>519.7228144989339</v>
      </c>
      <c r="AW45" s="98">
        <v>613.0063965884862</v>
      </c>
      <c r="AX45" s="98">
        <v>559.7014925373135</v>
      </c>
      <c r="AY45" s="98">
        <v>1106.0767590618336</v>
      </c>
      <c r="AZ45" s="98">
        <v>586.3539445628998</v>
      </c>
      <c r="BA45" s="100" t="s">
        <v>608</v>
      </c>
      <c r="BB45" s="100" t="s">
        <v>608</v>
      </c>
      <c r="BC45" s="100" t="s">
        <v>608</v>
      </c>
      <c r="BD45" s="158">
        <v>0.9953644561999999</v>
      </c>
      <c r="BE45" s="158">
        <v>1.353661194</v>
      </c>
      <c r="BF45" s="162">
        <v>1125</v>
      </c>
      <c r="BG45" s="162">
        <v>21</v>
      </c>
      <c r="BH45" s="162">
        <v>2054</v>
      </c>
      <c r="BI45" s="162">
        <v>1036</v>
      </c>
      <c r="BJ45" s="162">
        <v>500</v>
      </c>
      <c r="BK45" s="97"/>
      <c r="BL45" s="97"/>
      <c r="BM45" s="97"/>
      <c r="BN45" s="97"/>
    </row>
    <row r="46" spans="1:66" ht="12.75">
      <c r="A46" s="79" t="s">
        <v>569</v>
      </c>
      <c r="B46" s="79" t="s">
        <v>315</v>
      </c>
      <c r="C46" s="79" t="s">
        <v>165</v>
      </c>
      <c r="D46" s="99">
        <v>8473</v>
      </c>
      <c r="E46" s="99">
        <v>1058</v>
      </c>
      <c r="F46" s="99" t="s">
        <v>374</v>
      </c>
      <c r="G46" s="99">
        <v>36</v>
      </c>
      <c r="H46" s="99">
        <v>15</v>
      </c>
      <c r="I46" s="99">
        <v>109</v>
      </c>
      <c r="J46" s="99">
        <v>505</v>
      </c>
      <c r="K46" s="99">
        <v>7</v>
      </c>
      <c r="L46" s="99">
        <v>1566</v>
      </c>
      <c r="M46" s="99">
        <v>325</v>
      </c>
      <c r="N46" s="99">
        <v>162</v>
      </c>
      <c r="O46" s="99">
        <v>119</v>
      </c>
      <c r="P46" s="159">
        <v>119</v>
      </c>
      <c r="Q46" s="99">
        <v>9</v>
      </c>
      <c r="R46" s="99">
        <v>15</v>
      </c>
      <c r="S46" s="99">
        <v>27</v>
      </c>
      <c r="T46" s="99">
        <v>25</v>
      </c>
      <c r="U46" s="99">
        <v>8</v>
      </c>
      <c r="V46" s="99">
        <v>14</v>
      </c>
      <c r="W46" s="99">
        <v>47</v>
      </c>
      <c r="X46" s="99">
        <v>36</v>
      </c>
      <c r="Y46" s="99">
        <v>107</v>
      </c>
      <c r="Z46" s="99">
        <v>52</v>
      </c>
      <c r="AA46" s="99" t="s">
        <v>608</v>
      </c>
      <c r="AB46" s="99" t="s">
        <v>608</v>
      </c>
      <c r="AC46" s="99" t="s">
        <v>608</v>
      </c>
      <c r="AD46" s="98" t="s">
        <v>354</v>
      </c>
      <c r="AE46" s="100">
        <v>0.12486722530390652</v>
      </c>
      <c r="AF46" s="100">
        <v>0.19</v>
      </c>
      <c r="AG46" s="98">
        <v>424.87902749911484</v>
      </c>
      <c r="AH46" s="98">
        <v>177.03292812463118</v>
      </c>
      <c r="AI46" s="100">
        <v>0.013000000000000001</v>
      </c>
      <c r="AJ46" s="100">
        <v>0.627329</v>
      </c>
      <c r="AK46" s="100">
        <v>0.411765</v>
      </c>
      <c r="AL46" s="100">
        <v>0.754699</v>
      </c>
      <c r="AM46" s="100">
        <v>0.480769</v>
      </c>
      <c r="AN46" s="100">
        <v>0.504673</v>
      </c>
      <c r="AO46" s="98">
        <v>1404.4612297887406</v>
      </c>
      <c r="AP46" s="158">
        <v>0.8848218536</v>
      </c>
      <c r="AQ46" s="100">
        <v>0.07563025210084033</v>
      </c>
      <c r="AR46" s="100">
        <v>0.6</v>
      </c>
      <c r="AS46" s="98">
        <v>318.6592706243361</v>
      </c>
      <c r="AT46" s="98">
        <v>295.0548802077186</v>
      </c>
      <c r="AU46" s="98">
        <v>94.41756166646996</v>
      </c>
      <c r="AV46" s="98">
        <v>165.23073291632244</v>
      </c>
      <c r="AW46" s="98">
        <v>554.7031747905111</v>
      </c>
      <c r="AX46" s="98">
        <v>424.87902749911484</v>
      </c>
      <c r="AY46" s="98">
        <v>1262.8348872890358</v>
      </c>
      <c r="AZ46" s="98">
        <v>613.7141508320548</v>
      </c>
      <c r="BA46" s="100" t="s">
        <v>608</v>
      </c>
      <c r="BB46" s="100" t="s">
        <v>608</v>
      </c>
      <c r="BC46" s="100" t="s">
        <v>608</v>
      </c>
      <c r="BD46" s="158">
        <v>0.7330015564</v>
      </c>
      <c r="BE46" s="158">
        <v>1.058821335</v>
      </c>
      <c r="BF46" s="162">
        <v>805</v>
      </c>
      <c r="BG46" s="162">
        <v>17</v>
      </c>
      <c r="BH46" s="162">
        <v>2075</v>
      </c>
      <c r="BI46" s="162">
        <v>676</v>
      </c>
      <c r="BJ46" s="162">
        <v>321</v>
      </c>
      <c r="BK46" s="97"/>
      <c r="BL46" s="97"/>
      <c r="BM46" s="97"/>
      <c r="BN46" s="97"/>
    </row>
    <row r="47" spans="1:66" ht="12.75">
      <c r="A47" s="79" t="s">
        <v>539</v>
      </c>
      <c r="B47" s="79" t="s">
        <v>282</v>
      </c>
      <c r="C47" s="79" t="s">
        <v>165</v>
      </c>
      <c r="D47" s="99">
        <v>7315</v>
      </c>
      <c r="E47" s="99">
        <v>1158</v>
      </c>
      <c r="F47" s="99" t="s">
        <v>377</v>
      </c>
      <c r="G47" s="99">
        <v>25</v>
      </c>
      <c r="H47" s="99">
        <v>10</v>
      </c>
      <c r="I47" s="99">
        <v>97</v>
      </c>
      <c r="J47" s="99">
        <v>722</v>
      </c>
      <c r="K47" s="99">
        <v>14</v>
      </c>
      <c r="L47" s="99">
        <v>1610</v>
      </c>
      <c r="M47" s="99">
        <v>494</v>
      </c>
      <c r="N47" s="99">
        <v>253</v>
      </c>
      <c r="O47" s="99">
        <v>81</v>
      </c>
      <c r="P47" s="159">
        <v>81</v>
      </c>
      <c r="Q47" s="99">
        <v>12</v>
      </c>
      <c r="R47" s="99">
        <v>27</v>
      </c>
      <c r="S47" s="99">
        <v>19</v>
      </c>
      <c r="T47" s="99" t="s">
        <v>608</v>
      </c>
      <c r="U47" s="99" t="s">
        <v>608</v>
      </c>
      <c r="V47" s="99">
        <v>15</v>
      </c>
      <c r="W47" s="99">
        <v>41</v>
      </c>
      <c r="X47" s="99">
        <v>31</v>
      </c>
      <c r="Y47" s="99">
        <v>64</v>
      </c>
      <c r="Z47" s="99">
        <v>26</v>
      </c>
      <c r="AA47" s="99" t="s">
        <v>608</v>
      </c>
      <c r="AB47" s="99" t="s">
        <v>608</v>
      </c>
      <c r="AC47" s="99" t="s">
        <v>608</v>
      </c>
      <c r="AD47" s="98" t="s">
        <v>354</v>
      </c>
      <c r="AE47" s="100">
        <v>0.15830485304169514</v>
      </c>
      <c r="AF47" s="100">
        <v>0.12</v>
      </c>
      <c r="AG47" s="98">
        <v>341.7634996582365</v>
      </c>
      <c r="AH47" s="98">
        <v>136.7053998632946</v>
      </c>
      <c r="AI47" s="100">
        <v>0.013000000000000001</v>
      </c>
      <c r="AJ47" s="100">
        <v>0.789934</v>
      </c>
      <c r="AK47" s="100">
        <v>0.518519</v>
      </c>
      <c r="AL47" s="100">
        <v>0.863734</v>
      </c>
      <c r="AM47" s="100">
        <v>0.604651</v>
      </c>
      <c r="AN47" s="100">
        <v>0.642132</v>
      </c>
      <c r="AO47" s="98">
        <v>1107.3137388926862</v>
      </c>
      <c r="AP47" s="158">
        <v>0.5976502991</v>
      </c>
      <c r="AQ47" s="100">
        <v>0.14814814814814814</v>
      </c>
      <c r="AR47" s="100">
        <v>0.4444444444444444</v>
      </c>
      <c r="AS47" s="98">
        <v>259.7402597402597</v>
      </c>
      <c r="AT47" s="98" t="s">
        <v>608</v>
      </c>
      <c r="AU47" s="98" t="s">
        <v>608</v>
      </c>
      <c r="AV47" s="98">
        <v>205.0580997949419</v>
      </c>
      <c r="AW47" s="98">
        <v>560.4921394395078</v>
      </c>
      <c r="AX47" s="98">
        <v>423.7867395762133</v>
      </c>
      <c r="AY47" s="98">
        <v>874.9145591250855</v>
      </c>
      <c r="AZ47" s="98">
        <v>355.434039644566</v>
      </c>
      <c r="BA47" s="100" t="s">
        <v>608</v>
      </c>
      <c r="BB47" s="100" t="s">
        <v>608</v>
      </c>
      <c r="BC47" s="100" t="s">
        <v>608</v>
      </c>
      <c r="BD47" s="158">
        <v>0.47462059019999997</v>
      </c>
      <c r="BE47" s="158">
        <v>0.742824707</v>
      </c>
      <c r="BF47" s="162">
        <v>914</v>
      </c>
      <c r="BG47" s="162">
        <v>27</v>
      </c>
      <c r="BH47" s="162">
        <v>1864</v>
      </c>
      <c r="BI47" s="162">
        <v>817</v>
      </c>
      <c r="BJ47" s="162">
        <v>394</v>
      </c>
      <c r="BK47" s="97"/>
      <c r="BL47" s="97"/>
      <c r="BM47" s="97"/>
      <c r="BN47" s="97"/>
    </row>
    <row r="48" spans="1:66" ht="12.75">
      <c r="A48" s="79" t="s">
        <v>595</v>
      </c>
      <c r="B48" s="79" t="s">
        <v>347</v>
      </c>
      <c r="C48" s="79" t="s">
        <v>165</v>
      </c>
      <c r="D48" s="99">
        <v>2465</v>
      </c>
      <c r="E48" s="99">
        <v>93</v>
      </c>
      <c r="F48" s="99" t="s">
        <v>375</v>
      </c>
      <c r="G48" s="99" t="s">
        <v>608</v>
      </c>
      <c r="H48" s="99" t="s">
        <v>608</v>
      </c>
      <c r="I48" s="99">
        <v>8</v>
      </c>
      <c r="J48" s="99">
        <v>35</v>
      </c>
      <c r="K48" s="99">
        <v>35</v>
      </c>
      <c r="L48" s="99">
        <v>333</v>
      </c>
      <c r="M48" s="99">
        <v>16</v>
      </c>
      <c r="N48" s="99">
        <v>12</v>
      </c>
      <c r="O48" s="99" t="s">
        <v>608</v>
      </c>
      <c r="P48" s="159" t="s">
        <v>608</v>
      </c>
      <c r="Q48" s="99" t="s">
        <v>608</v>
      </c>
      <c r="R48" s="99" t="s">
        <v>608</v>
      </c>
      <c r="S48" s="99" t="s">
        <v>608</v>
      </c>
      <c r="T48" s="99" t="s">
        <v>608</v>
      </c>
      <c r="U48" s="99" t="s">
        <v>608</v>
      </c>
      <c r="V48" s="99" t="s">
        <v>608</v>
      </c>
      <c r="W48" s="99">
        <v>6</v>
      </c>
      <c r="X48" s="99">
        <v>8</v>
      </c>
      <c r="Y48" s="99">
        <v>18</v>
      </c>
      <c r="Z48" s="99" t="s">
        <v>608</v>
      </c>
      <c r="AA48" s="99" t="s">
        <v>608</v>
      </c>
      <c r="AB48" s="99" t="s">
        <v>608</v>
      </c>
      <c r="AC48" s="99" t="s">
        <v>608</v>
      </c>
      <c r="AD48" s="98" t="s">
        <v>354</v>
      </c>
      <c r="AE48" s="100">
        <v>0.03772819472616633</v>
      </c>
      <c r="AF48" s="100">
        <v>0.31</v>
      </c>
      <c r="AG48" s="98" t="s">
        <v>608</v>
      </c>
      <c r="AH48" s="98" t="s">
        <v>608</v>
      </c>
      <c r="AI48" s="100">
        <v>0.003</v>
      </c>
      <c r="AJ48" s="100">
        <v>0.380435</v>
      </c>
      <c r="AK48" s="100">
        <v>0.397727</v>
      </c>
      <c r="AL48" s="100">
        <v>0.667335</v>
      </c>
      <c r="AM48" s="100">
        <v>0.25</v>
      </c>
      <c r="AN48" s="100">
        <v>0.285714</v>
      </c>
      <c r="AO48" s="98" t="s">
        <v>608</v>
      </c>
      <c r="AP48" s="158" t="s">
        <v>608</v>
      </c>
      <c r="AQ48" s="100" t="s">
        <v>608</v>
      </c>
      <c r="AR48" s="100" t="s">
        <v>608</v>
      </c>
      <c r="AS48" s="98" t="s">
        <v>608</v>
      </c>
      <c r="AT48" s="98" t="s">
        <v>608</v>
      </c>
      <c r="AU48" s="98" t="s">
        <v>608</v>
      </c>
      <c r="AV48" s="98" t="s">
        <v>608</v>
      </c>
      <c r="AW48" s="98">
        <v>243.4077079107505</v>
      </c>
      <c r="AX48" s="98">
        <v>324.54361054766736</v>
      </c>
      <c r="AY48" s="98">
        <v>730.2231237322516</v>
      </c>
      <c r="AZ48" s="98" t="s">
        <v>608</v>
      </c>
      <c r="BA48" s="100" t="s">
        <v>608</v>
      </c>
      <c r="BB48" s="100" t="s">
        <v>608</v>
      </c>
      <c r="BC48" s="100" t="s">
        <v>608</v>
      </c>
      <c r="BD48" s="158" t="s">
        <v>608</v>
      </c>
      <c r="BE48" s="158" t="s">
        <v>608</v>
      </c>
      <c r="BF48" s="162">
        <v>92</v>
      </c>
      <c r="BG48" s="162">
        <v>88</v>
      </c>
      <c r="BH48" s="162">
        <v>499</v>
      </c>
      <c r="BI48" s="162">
        <v>64</v>
      </c>
      <c r="BJ48" s="162">
        <v>42</v>
      </c>
      <c r="BK48" s="97"/>
      <c r="BL48" s="97"/>
      <c r="BM48" s="97"/>
      <c r="BN48" s="97"/>
    </row>
    <row r="49" spans="1:66" ht="12.75">
      <c r="A49" s="79" t="s">
        <v>593</v>
      </c>
      <c r="B49" s="79" t="s">
        <v>345</v>
      </c>
      <c r="C49" s="79" t="s">
        <v>165</v>
      </c>
      <c r="D49" s="99">
        <v>3011</v>
      </c>
      <c r="E49" s="99">
        <v>118</v>
      </c>
      <c r="F49" s="99" t="s">
        <v>375</v>
      </c>
      <c r="G49" s="99" t="s">
        <v>608</v>
      </c>
      <c r="H49" s="99" t="s">
        <v>608</v>
      </c>
      <c r="I49" s="99">
        <v>10</v>
      </c>
      <c r="J49" s="99">
        <v>65</v>
      </c>
      <c r="K49" s="99" t="s">
        <v>608</v>
      </c>
      <c r="L49" s="99">
        <v>419</v>
      </c>
      <c r="M49" s="99" t="s">
        <v>608</v>
      </c>
      <c r="N49" s="99" t="s">
        <v>608</v>
      </c>
      <c r="O49" s="99">
        <v>25</v>
      </c>
      <c r="P49" s="159">
        <v>25</v>
      </c>
      <c r="Q49" s="99" t="s">
        <v>608</v>
      </c>
      <c r="R49" s="99" t="s">
        <v>608</v>
      </c>
      <c r="S49" s="99">
        <v>8</v>
      </c>
      <c r="T49" s="99">
        <v>7</v>
      </c>
      <c r="U49" s="99" t="s">
        <v>608</v>
      </c>
      <c r="V49" s="99" t="s">
        <v>608</v>
      </c>
      <c r="W49" s="99" t="s">
        <v>608</v>
      </c>
      <c r="X49" s="99" t="s">
        <v>608</v>
      </c>
      <c r="Y49" s="99">
        <v>9</v>
      </c>
      <c r="Z49" s="99" t="s">
        <v>608</v>
      </c>
      <c r="AA49" s="99" t="s">
        <v>608</v>
      </c>
      <c r="AB49" s="99" t="s">
        <v>608</v>
      </c>
      <c r="AC49" s="99" t="s">
        <v>608</v>
      </c>
      <c r="AD49" s="98" t="s">
        <v>354</v>
      </c>
      <c r="AE49" s="100">
        <v>0.03918963799402192</v>
      </c>
      <c r="AF49" s="100">
        <v>0.3</v>
      </c>
      <c r="AG49" s="98" t="s">
        <v>608</v>
      </c>
      <c r="AH49" s="98" t="s">
        <v>608</v>
      </c>
      <c r="AI49" s="100">
        <v>0.003</v>
      </c>
      <c r="AJ49" s="100">
        <v>0.436242</v>
      </c>
      <c r="AK49" s="100" t="s">
        <v>608</v>
      </c>
      <c r="AL49" s="100">
        <v>0.692562</v>
      </c>
      <c r="AM49" s="100" t="s">
        <v>608</v>
      </c>
      <c r="AN49" s="100" t="s">
        <v>608</v>
      </c>
      <c r="AO49" s="98">
        <v>830.2889405513118</v>
      </c>
      <c r="AP49" s="158">
        <v>0.9326428223000001</v>
      </c>
      <c r="AQ49" s="100" t="s">
        <v>608</v>
      </c>
      <c r="AR49" s="100" t="s">
        <v>608</v>
      </c>
      <c r="AS49" s="98">
        <v>265.6924609764198</v>
      </c>
      <c r="AT49" s="98">
        <v>232.4809033543673</v>
      </c>
      <c r="AU49" s="98" t="s">
        <v>608</v>
      </c>
      <c r="AV49" s="98" t="s">
        <v>608</v>
      </c>
      <c r="AW49" s="98" t="s">
        <v>608</v>
      </c>
      <c r="AX49" s="98" t="s">
        <v>608</v>
      </c>
      <c r="AY49" s="98">
        <v>298.90401859847225</v>
      </c>
      <c r="AZ49" s="98" t="s">
        <v>608</v>
      </c>
      <c r="BA49" s="100" t="s">
        <v>608</v>
      </c>
      <c r="BB49" s="100" t="s">
        <v>608</v>
      </c>
      <c r="BC49" s="100" t="s">
        <v>608</v>
      </c>
      <c r="BD49" s="158">
        <v>0.6035572433</v>
      </c>
      <c r="BE49" s="158">
        <v>1.376764832</v>
      </c>
      <c r="BF49" s="162">
        <v>149</v>
      </c>
      <c r="BG49" s="162" t="s">
        <v>608</v>
      </c>
      <c r="BH49" s="162">
        <v>605</v>
      </c>
      <c r="BI49" s="162" t="s">
        <v>608</v>
      </c>
      <c r="BJ49" s="162" t="s">
        <v>608</v>
      </c>
      <c r="BK49" s="97"/>
      <c r="BL49" s="97"/>
      <c r="BM49" s="97"/>
      <c r="BN49" s="97"/>
    </row>
    <row r="50" spans="1:66" ht="12.75">
      <c r="A50" s="79" t="s">
        <v>561</v>
      </c>
      <c r="B50" s="79" t="s">
        <v>306</v>
      </c>
      <c r="C50" s="79" t="s">
        <v>165</v>
      </c>
      <c r="D50" s="99">
        <v>7149</v>
      </c>
      <c r="E50" s="99">
        <v>1048</v>
      </c>
      <c r="F50" s="99" t="s">
        <v>377</v>
      </c>
      <c r="G50" s="99">
        <v>25</v>
      </c>
      <c r="H50" s="99">
        <v>12</v>
      </c>
      <c r="I50" s="99">
        <v>84</v>
      </c>
      <c r="J50" s="99">
        <v>584</v>
      </c>
      <c r="K50" s="99">
        <v>13</v>
      </c>
      <c r="L50" s="99">
        <v>1506</v>
      </c>
      <c r="M50" s="99">
        <v>467</v>
      </c>
      <c r="N50" s="99">
        <v>215</v>
      </c>
      <c r="O50" s="99">
        <v>194</v>
      </c>
      <c r="P50" s="159">
        <v>194</v>
      </c>
      <c r="Q50" s="99">
        <v>20</v>
      </c>
      <c r="R50" s="99">
        <v>32</v>
      </c>
      <c r="S50" s="99">
        <v>41</v>
      </c>
      <c r="T50" s="99">
        <v>26</v>
      </c>
      <c r="U50" s="99">
        <v>11</v>
      </c>
      <c r="V50" s="99">
        <v>43</v>
      </c>
      <c r="W50" s="99">
        <v>42</v>
      </c>
      <c r="X50" s="99">
        <v>19</v>
      </c>
      <c r="Y50" s="99">
        <v>83</v>
      </c>
      <c r="Z50" s="99">
        <v>36</v>
      </c>
      <c r="AA50" s="99" t="s">
        <v>608</v>
      </c>
      <c r="AB50" s="99" t="s">
        <v>608</v>
      </c>
      <c r="AC50" s="99" t="s">
        <v>608</v>
      </c>
      <c r="AD50" s="98" t="s">
        <v>354</v>
      </c>
      <c r="AE50" s="100">
        <v>0.14659392922087006</v>
      </c>
      <c r="AF50" s="100">
        <v>0.13</v>
      </c>
      <c r="AG50" s="98">
        <v>349.6992586375717</v>
      </c>
      <c r="AH50" s="98">
        <v>167.85564414603442</v>
      </c>
      <c r="AI50" s="100">
        <v>0.012</v>
      </c>
      <c r="AJ50" s="100">
        <v>0.746803</v>
      </c>
      <c r="AK50" s="100">
        <v>0.541667</v>
      </c>
      <c r="AL50" s="100">
        <v>0.841341</v>
      </c>
      <c r="AM50" s="100">
        <v>0.614474</v>
      </c>
      <c r="AN50" s="100">
        <v>0.607345</v>
      </c>
      <c r="AO50" s="98">
        <v>2713.6662470275564</v>
      </c>
      <c r="AP50" s="158">
        <v>1.5622012330000001</v>
      </c>
      <c r="AQ50" s="100">
        <v>0.10309278350515463</v>
      </c>
      <c r="AR50" s="100">
        <v>0.625</v>
      </c>
      <c r="AS50" s="98">
        <v>573.5067841656175</v>
      </c>
      <c r="AT50" s="98">
        <v>363.68722898307453</v>
      </c>
      <c r="AU50" s="98">
        <v>153.86767380053155</v>
      </c>
      <c r="AV50" s="98">
        <v>601.4827248566233</v>
      </c>
      <c r="AW50" s="98">
        <v>587.4947545111204</v>
      </c>
      <c r="AX50" s="98">
        <v>265.7714365645545</v>
      </c>
      <c r="AY50" s="98">
        <v>1161.001538676738</v>
      </c>
      <c r="AZ50" s="98">
        <v>503.5669324381032</v>
      </c>
      <c r="BA50" s="100" t="s">
        <v>608</v>
      </c>
      <c r="BB50" s="100" t="s">
        <v>608</v>
      </c>
      <c r="BC50" s="100" t="s">
        <v>608</v>
      </c>
      <c r="BD50" s="158">
        <v>1.35009613</v>
      </c>
      <c r="BE50" s="158">
        <v>1.798173523</v>
      </c>
      <c r="BF50" s="162">
        <v>782</v>
      </c>
      <c r="BG50" s="162">
        <v>24</v>
      </c>
      <c r="BH50" s="162">
        <v>1790</v>
      </c>
      <c r="BI50" s="162">
        <v>760</v>
      </c>
      <c r="BJ50" s="162">
        <v>354</v>
      </c>
      <c r="BK50" s="97"/>
      <c r="BL50" s="97"/>
      <c r="BM50" s="97"/>
      <c r="BN50" s="97"/>
    </row>
    <row r="51" spans="1:66" ht="12.75">
      <c r="A51" s="79" t="s">
        <v>542</v>
      </c>
      <c r="B51" s="79" t="s">
        <v>285</v>
      </c>
      <c r="C51" s="79" t="s">
        <v>165</v>
      </c>
      <c r="D51" s="99">
        <v>6214</v>
      </c>
      <c r="E51" s="99">
        <v>1225</v>
      </c>
      <c r="F51" s="99" t="s">
        <v>378</v>
      </c>
      <c r="G51" s="99">
        <v>32</v>
      </c>
      <c r="H51" s="99">
        <v>12</v>
      </c>
      <c r="I51" s="99">
        <v>168</v>
      </c>
      <c r="J51" s="99">
        <v>813</v>
      </c>
      <c r="K51" s="99">
        <v>15</v>
      </c>
      <c r="L51" s="99">
        <v>1366</v>
      </c>
      <c r="M51" s="99">
        <v>618</v>
      </c>
      <c r="N51" s="99">
        <v>308</v>
      </c>
      <c r="O51" s="99">
        <v>121</v>
      </c>
      <c r="P51" s="159">
        <v>121</v>
      </c>
      <c r="Q51" s="99">
        <v>11</v>
      </c>
      <c r="R51" s="99">
        <v>24</v>
      </c>
      <c r="S51" s="99">
        <v>36</v>
      </c>
      <c r="T51" s="99">
        <v>23</v>
      </c>
      <c r="U51" s="99" t="s">
        <v>608</v>
      </c>
      <c r="V51" s="99">
        <v>29</v>
      </c>
      <c r="W51" s="99">
        <v>34</v>
      </c>
      <c r="X51" s="99">
        <v>27</v>
      </c>
      <c r="Y51" s="99">
        <v>75</v>
      </c>
      <c r="Z51" s="99">
        <v>33</v>
      </c>
      <c r="AA51" s="99" t="s">
        <v>608</v>
      </c>
      <c r="AB51" s="99" t="s">
        <v>608</v>
      </c>
      <c r="AC51" s="99" t="s">
        <v>608</v>
      </c>
      <c r="AD51" s="98" t="s">
        <v>354</v>
      </c>
      <c r="AE51" s="100">
        <v>0.1971355004827808</v>
      </c>
      <c r="AF51" s="100">
        <v>0.05</v>
      </c>
      <c r="AG51" s="98">
        <v>514.9662053427744</v>
      </c>
      <c r="AH51" s="98">
        <v>193.1123270035404</v>
      </c>
      <c r="AI51" s="100">
        <v>0.027000000000000003</v>
      </c>
      <c r="AJ51" s="100">
        <v>0.829592</v>
      </c>
      <c r="AK51" s="100">
        <v>0.833333</v>
      </c>
      <c r="AL51" s="100">
        <v>0.871173</v>
      </c>
      <c r="AM51" s="100">
        <v>0.629969</v>
      </c>
      <c r="AN51" s="100">
        <v>0.629857</v>
      </c>
      <c r="AO51" s="98">
        <v>1947.2159639523657</v>
      </c>
      <c r="AP51" s="158">
        <v>0.9317958069</v>
      </c>
      <c r="AQ51" s="100">
        <v>0.09090909090909091</v>
      </c>
      <c r="AR51" s="100">
        <v>0.4583333333333333</v>
      </c>
      <c r="AS51" s="98">
        <v>579.3369810106212</v>
      </c>
      <c r="AT51" s="98">
        <v>370.1319600901191</v>
      </c>
      <c r="AU51" s="98" t="s">
        <v>608</v>
      </c>
      <c r="AV51" s="98">
        <v>466.6881235918893</v>
      </c>
      <c r="AW51" s="98">
        <v>547.1515931766978</v>
      </c>
      <c r="AX51" s="98">
        <v>434.50273575796587</v>
      </c>
      <c r="AY51" s="98">
        <v>1206.9520437721274</v>
      </c>
      <c r="AZ51" s="98">
        <v>531.0588992597361</v>
      </c>
      <c r="BA51" s="100" t="s">
        <v>608</v>
      </c>
      <c r="BB51" s="100" t="s">
        <v>608</v>
      </c>
      <c r="BC51" s="100" t="s">
        <v>608</v>
      </c>
      <c r="BD51" s="158">
        <v>0.7731794739</v>
      </c>
      <c r="BE51" s="158">
        <v>1.1133770749999998</v>
      </c>
      <c r="BF51" s="162">
        <v>980</v>
      </c>
      <c r="BG51" s="162">
        <v>18</v>
      </c>
      <c r="BH51" s="162">
        <v>1568</v>
      </c>
      <c r="BI51" s="162">
        <v>981</v>
      </c>
      <c r="BJ51" s="162">
        <v>489</v>
      </c>
      <c r="BK51" s="97"/>
      <c r="BL51" s="97"/>
      <c r="BM51" s="97"/>
      <c r="BN51" s="97"/>
    </row>
    <row r="52" spans="1:66" ht="12.75">
      <c r="A52" s="79" t="s">
        <v>577</v>
      </c>
      <c r="B52" s="79" t="s">
        <v>324</v>
      </c>
      <c r="C52" s="79" t="s">
        <v>165</v>
      </c>
      <c r="D52" s="99">
        <v>9105</v>
      </c>
      <c r="E52" s="99">
        <v>1593</v>
      </c>
      <c r="F52" s="99" t="s">
        <v>378</v>
      </c>
      <c r="G52" s="99">
        <v>50</v>
      </c>
      <c r="H52" s="99">
        <v>25</v>
      </c>
      <c r="I52" s="99">
        <v>162</v>
      </c>
      <c r="J52" s="99">
        <v>1035</v>
      </c>
      <c r="K52" s="99">
        <v>14</v>
      </c>
      <c r="L52" s="99">
        <v>2005</v>
      </c>
      <c r="M52" s="99">
        <v>839</v>
      </c>
      <c r="N52" s="99">
        <v>426</v>
      </c>
      <c r="O52" s="99">
        <v>88</v>
      </c>
      <c r="P52" s="159">
        <v>88</v>
      </c>
      <c r="Q52" s="99">
        <v>25</v>
      </c>
      <c r="R52" s="99">
        <v>49</v>
      </c>
      <c r="S52" s="99">
        <v>20</v>
      </c>
      <c r="T52" s="99">
        <v>8</v>
      </c>
      <c r="U52" s="99" t="s">
        <v>608</v>
      </c>
      <c r="V52" s="99">
        <v>19</v>
      </c>
      <c r="W52" s="99">
        <v>52</v>
      </c>
      <c r="X52" s="99">
        <v>27</v>
      </c>
      <c r="Y52" s="99">
        <v>91</v>
      </c>
      <c r="Z52" s="99">
        <v>58</v>
      </c>
      <c r="AA52" s="99" t="s">
        <v>608</v>
      </c>
      <c r="AB52" s="99" t="s">
        <v>608</v>
      </c>
      <c r="AC52" s="99" t="s">
        <v>608</v>
      </c>
      <c r="AD52" s="98" t="s">
        <v>354</v>
      </c>
      <c r="AE52" s="100">
        <v>0.17495881383855025</v>
      </c>
      <c r="AF52" s="100">
        <v>0.08</v>
      </c>
      <c r="AG52" s="98">
        <v>549.1488193300385</v>
      </c>
      <c r="AH52" s="98">
        <v>274.57440966501923</v>
      </c>
      <c r="AI52" s="100">
        <v>0.018000000000000002</v>
      </c>
      <c r="AJ52" s="100">
        <v>0.780543</v>
      </c>
      <c r="AK52" s="100">
        <v>0.518519</v>
      </c>
      <c r="AL52" s="100">
        <v>0.845278</v>
      </c>
      <c r="AM52" s="100">
        <v>0.649884</v>
      </c>
      <c r="AN52" s="100">
        <v>0.67619</v>
      </c>
      <c r="AO52" s="98">
        <v>966.5019220208677</v>
      </c>
      <c r="AP52" s="158">
        <v>0.48436153410000005</v>
      </c>
      <c r="AQ52" s="100">
        <v>0.2840909090909091</v>
      </c>
      <c r="AR52" s="100">
        <v>0.5102040816326531</v>
      </c>
      <c r="AS52" s="98">
        <v>219.65952773201536</v>
      </c>
      <c r="AT52" s="98">
        <v>87.86381109280615</v>
      </c>
      <c r="AU52" s="98" t="s">
        <v>608</v>
      </c>
      <c r="AV52" s="98">
        <v>208.6765513454146</v>
      </c>
      <c r="AW52" s="98">
        <v>571.1147721032399</v>
      </c>
      <c r="AX52" s="98">
        <v>296.54036243822077</v>
      </c>
      <c r="AY52" s="98">
        <v>999.4508511806699</v>
      </c>
      <c r="AZ52" s="98">
        <v>637.0126304228446</v>
      </c>
      <c r="BA52" s="100" t="s">
        <v>608</v>
      </c>
      <c r="BB52" s="100" t="s">
        <v>608</v>
      </c>
      <c r="BC52" s="100" t="s">
        <v>608</v>
      </c>
      <c r="BD52" s="158">
        <v>0.3884720993</v>
      </c>
      <c r="BE52" s="158">
        <v>0.5967469406</v>
      </c>
      <c r="BF52" s="162">
        <v>1326</v>
      </c>
      <c r="BG52" s="162">
        <v>27</v>
      </c>
      <c r="BH52" s="162">
        <v>2372</v>
      </c>
      <c r="BI52" s="162">
        <v>1291</v>
      </c>
      <c r="BJ52" s="162">
        <v>630</v>
      </c>
      <c r="BK52" s="97"/>
      <c r="BL52" s="97"/>
      <c r="BM52" s="97"/>
      <c r="BN52" s="97"/>
    </row>
    <row r="53" spans="1:66" ht="12.75">
      <c r="A53" s="79" t="s">
        <v>576</v>
      </c>
      <c r="B53" s="79" t="s">
        <v>322</v>
      </c>
      <c r="C53" s="79" t="s">
        <v>165</v>
      </c>
      <c r="D53" s="99">
        <v>3935</v>
      </c>
      <c r="E53" s="99">
        <v>484</v>
      </c>
      <c r="F53" s="99" t="s">
        <v>376</v>
      </c>
      <c r="G53" s="99">
        <v>18</v>
      </c>
      <c r="H53" s="99">
        <v>10</v>
      </c>
      <c r="I53" s="99">
        <v>42</v>
      </c>
      <c r="J53" s="99">
        <v>320</v>
      </c>
      <c r="K53" s="99">
        <v>9</v>
      </c>
      <c r="L53" s="99">
        <v>910</v>
      </c>
      <c r="M53" s="99">
        <v>223</v>
      </c>
      <c r="N53" s="99">
        <v>102</v>
      </c>
      <c r="O53" s="99">
        <v>59</v>
      </c>
      <c r="P53" s="159">
        <v>59</v>
      </c>
      <c r="Q53" s="99">
        <v>10</v>
      </c>
      <c r="R53" s="99">
        <v>16</v>
      </c>
      <c r="S53" s="99">
        <v>10</v>
      </c>
      <c r="T53" s="99">
        <v>9</v>
      </c>
      <c r="U53" s="99" t="s">
        <v>608</v>
      </c>
      <c r="V53" s="99">
        <v>9</v>
      </c>
      <c r="W53" s="99">
        <v>15</v>
      </c>
      <c r="X53" s="99">
        <v>14</v>
      </c>
      <c r="Y53" s="99">
        <v>49</v>
      </c>
      <c r="Z53" s="99">
        <v>19</v>
      </c>
      <c r="AA53" s="99" t="s">
        <v>608</v>
      </c>
      <c r="AB53" s="99" t="s">
        <v>608</v>
      </c>
      <c r="AC53" s="99" t="s">
        <v>608</v>
      </c>
      <c r="AD53" s="98" t="s">
        <v>354</v>
      </c>
      <c r="AE53" s="100">
        <v>0.12299872935196951</v>
      </c>
      <c r="AF53" s="100">
        <v>0.1</v>
      </c>
      <c r="AG53" s="98">
        <v>457.433290978399</v>
      </c>
      <c r="AH53" s="98">
        <v>254.12960609911056</v>
      </c>
      <c r="AI53" s="100">
        <v>0.011000000000000001</v>
      </c>
      <c r="AJ53" s="100">
        <v>0.733945</v>
      </c>
      <c r="AK53" s="100">
        <v>0.818182</v>
      </c>
      <c r="AL53" s="100">
        <v>0.835629</v>
      </c>
      <c r="AM53" s="100">
        <v>0.604336</v>
      </c>
      <c r="AN53" s="100">
        <v>0.60355</v>
      </c>
      <c r="AO53" s="98">
        <v>1499.3646759847522</v>
      </c>
      <c r="AP53" s="158">
        <v>0.8738098145</v>
      </c>
      <c r="AQ53" s="100">
        <v>0.1694915254237288</v>
      </c>
      <c r="AR53" s="100">
        <v>0.625</v>
      </c>
      <c r="AS53" s="98">
        <v>254.12960609911056</v>
      </c>
      <c r="AT53" s="98">
        <v>228.7166454891995</v>
      </c>
      <c r="AU53" s="98" t="s">
        <v>608</v>
      </c>
      <c r="AV53" s="98">
        <v>228.7166454891995</v>
      </c>
      <c r="AW53" s="98">
        <v>381.19440914866584</v>
      </c>
      <c r="AX53" s="98">
        <v>355.7814485387548</v>
      </c>
      <c r="AY53" s="98">
        <v>1245.2350698856417</v>
      </c>
      <c r="AZ53" s="98">
        <v>482.84625158831005</v>
      </c>
      <c r="BA53" s="100" t="s">
        <v>608</v>
      </c>
      <c r="BB53" s="100" t="s">
        <v>608</v>
      </c>
      <c r="BC53" s="100" t="s">
        <v>608</v>
      </c>
      <c r="BD53" s="158">
        <v>0.6651844788</v>
      </c>
      <c r="BE53" s="158">
        <v>1.127150955</v>
      </c>
      <c r="BF53" s="162">
        <v>436</v>
      </c>
      <c r="BG53" s="162">
        <v>11</v>
      </c>
      <c r="BH53" s="162">
        <v>1089</v>
      </c>
      <c r="BI53" s="162">
        <v>369</v>
      </c>
      <c r="BJ53" s="162">
        <v>169</v>
      </c>
      <c r="BK53" s="97"/>
      <c r="BL53" s="97"/>
      <c r="BM53" s="97"/>
      <c r="BN53" s="97"/>
    </row>
    <row r="54" spans="1:66" ht="12.75">
      <c r="A54" s="79" t="s">
        <v>579</v>
      </c>
      <c r="B54" s="79" t="s">
        <v>326</v>
      </c>
      <c r="C54" s="79" t="s">
        <v>165</v>
      </c>
      <c r="D54" s="99">
        <v>5184</v>
      </c>
      <c r="E54" s="99">
        <v>664</v>
      </c>
      <c r="F54" s="99" t="s">
        <v>375</v>
      </c>
      <c r="G54" s="99">
        <v>29</v>
      </c>
      <c r="H54" s="99">
        <v>6</v>
      </c>
      <c r="I54" s="99">
        <v>51</v>
      </c>
      <c r="J54" s="99">
        <v>317</v>
      </c>
      <c r="K54" s="99" t="s">
        <v>608</v>
      </c>
      <c r="L54" s="99">
        <v>731</v>
      </c>
      <c r="M54" s="99">
        <v>150</v>
      </c>
      <c r="N54" s="99">
        <v>103</v>
      </c>
      <c r="O54" s="99">
        <v>66</v>
      </c>
      <c r="P54" s="159">
        <v>66</v>
      </c>
      <c r="Q54" s="99">
        <v>9</v>
      </c>
      <c r="R54" s="99">
        <v>20</v>
      </c>
      <c r="S54" s="99">
        <v>10</v>
      </c>
      <c r="T54" s="99">
        <v>11</v>
      </c>
      <c r="U54" s="99" t="s">
        <v>608</v>
      </c>
      <c r="V54" s="99" t="s">
        <v>608</v>
      </c>
      <c r="W54" s="99">
        <v>23</v>
      </c>
      <c r="X54" s="99">
        <v>9</v>
      </c>
      <c r="Y54" s="99">
        <v>32</v>
      </c>
      <c r="Z54" s="99">
        <v>24</v>
      </c>
      <c r="AA54" s="99" t="s">
        <v>608</v>
      </c>
      <c r="AB54" s="99" t="s">
        <v>608</v>
      </c>
      <c r="AC54" s="99" t="s">
        <v>608</v>
      </c>
      <c r="AD54" s="98" t="s">
        <v>354</v>
      </c>
      <c r="AE54" s="100">
        <v>0.12808641975308643</v>
      </c>
      <c r="AF54" s="100">
        <v>0.25</v>
      </c>
      <c r="AG54" s="98">
        <v>559.4135802469136</v>
      </c>
      <c r="AH54" s="98">
        <v>115.74074074074075</v>
      </c>
      <c r="AI54" s="100">
        <v>0.01</v>
      </c>
      <c r="AJ54" s="100">
        <v>0.652263</v>
      </c>
      <c r="AK54" s="100" t="s">
        <v>608</v>
      </c>
      <c r="AL54" s="100">
        <v>0.685098</v>
      </c>
      <c r="AM54" s="100">
        <v>0.33557</v>
      </c>
      <c r="AN54" s="100">
        <v>0.440171</v>
      </c>
      <c r="AO54" s="98">
        <v>1273.148148148148</v>
      </c>
      <c r="AP54" s="158">
        <v>0.8321779632999999</v>
      </c>
      <c r="AQ54" s="100">
        <v>0.13636363636363635</v>
      </c>
      <c r="AR54" s="100">
        <v>0.45</v>
      </c>
      <c r="AS54" s="98">
        <v>192.90123456790124</v>
      </c>
      <c r="AT54" s="98">
        <v>212.19135802469137</v>
      </c>
      <c r="AU54" s="98" t="s">
        <v>608</v>
      </c>
      <c r="AV54" s="98" t="s">
        <v>608</v>
      </c>
      <c r="AW54" s="98">
        <v>443.67283950617286</v>
      </c>
      <c r="AX54" s="98">
        <v>173.61111111111111</v>
      </c>
      <c r="AY54" s="98">
        <v>617.283950617284</v>
      </c>
      <c r="AZ54" s="98">
        <v>462.962962962963</v>
      </c>
      <c r="BA54" s="100" t="s">
        <v>608</v>
      </c>
      <c r="BB54" s="100" t="s">
        <v>608</v>
      </c>
      <c r="BC54" s="100" t="s">
        <v>608</v>
      </c>
      <c r="BD54" s="158">
        <v>0.6436063385</v>
      </c>
      <c r="BE54" s="158">
        <v>1.0587343599999999</v>
      </c>
      <c r="BF54" s="162">
        <v>486</v>
      </c>
      <c r="BG54" s="162" t="s">
        <v>608</v>
      </c>
      <c r="BH54" s="162">
        <v>1067</v>
      </c>
      <c r="BI54" s="162">
        <v>447</v>
      </c>
      <c r="BJ54" s="162">
        <v>234</v>
      </c>
      <c r="BK54" s="97"/>
      <c r="BL54" s="97"/>
      <c r="BM54" s="97"/>
      <c r="BN54" s="97"/>
    </row>
    <row r="55" spans="1:66" ht="12.75">
      <c r="A55" s="79" t="s">
        <v>553</v>
      </c>
      <c r="B55" s="79" t="s">
        <v>298</v>
      </c>
      <c r="C55" s="79" t="s">
        <v>165</v>
      </c>
      <c r="D55" s="99">
        <v>7673</v>
      </c>
      <c r="E55" s="99">
        <v>1403</v>
      </c>
      <c r="F55" s="99" t="s">
        <v>377</v>
      </c>
      <c r="G55" s="99">
        <v>45</v>
      </c>
      <c r="H55" s="99">
        <v>19</v>
      </c>
      <c r="I55" s="99">
        <v>130</v>
      </c>
      <c r="J55" s="99">
        <v>748</v>
      </c>
      <c r="K55" s="99">
        <v>6</v>
      </c>
      <c r="L55" s="99">
        <v>1498</v>
      </c>
      <c r="M55" s="99">
        <v>506</v>
      </c>
      <c r="N55" s="99">
        <v>270</v>
      </c>
      <c r="O55" s="99">
        <v>397</v>
      </c>
      <c r="P55" s="159">
        <v>397</v>
      </c>
      <c r="Q55" s="99">
        <v>19</v>
      </c>
      <c r="R55" s="99">
        <v>40</v>
      </c>
      <c r="S55" s="99">
        <v>76</v>
      </c>
      <c r="T55" s="99">
        <v>64</v>
      </c>
      <c r="U55" s="99">
        <v>19</v>
      </c>
      <c r="V55" s="99">
        <v>62</v>
      </c>
      <c r="W55" s="99">
        <v>58</v>
      </c>
      <c r="X55" s="99">
        <v>37</v>
      </c>
      <c r="Y55" s="99">
        <v>93</v>
      </c>
      <c r="Z55" s="99">
        <v>39</v>
      </c>
      <c r="AA55" s="99" t="s">
        <v>608</v>
      </c>
      <c r="AB55" s="99" t="s">
        <v>608</v>
      </c>
      <c r="AC55" s="99" t="s">
        <v>608</v>
      </c>
      <c r="AD55" s="98" t="s">
        <v>354</v>
      </c>
      <c r="AE55" s="100">
        <v>0.18284895086667535</v>
      </c>
      <c r="AF55" s="100">
        <v>0.13</v>
      </c>
      <c r="AG55" s="98">
        <v>586.4720448325296</v>
      </c>
      <c r="AH55" s="98">
        <v>247.6215300404014</v>
      </c>
      <c r="AI55" s="100">
        <v>0.017</v>
      </c>
      <c r="AJ55" s="100">
        <v>0.762487</v>
      </c>
      <c r="AK55" s="100">
        <v>0.545455</v>
      </c>
      <c r="AL55" s="100">
        <v>0.807547</v>
      </c>
      <c r="AM55" s="100">
        <v>0.538871</v>
      </c>
      <c r="AN55" s="100">
        <v>0.56962</v>
      </c>
      <c r="AO55" s="98">
        <v>5173.98670663365</v>
      </c>
      <c r="AP55" s="158">
        <v>2.625542908</v>
      </c>
      <c r="AQ55" s="100">
        <v>0.04785894206549118</v>
      </c>
      <c r="AR55" s="100">
        <v>0.475</v>
      </c>
      <c r="AS55" s="98">
        <v>990.4861201616056</v>
      </c>
      <c r="AT55" s="98">
        <v>834.0935748729311</v>
      </c>
      <c r="AU55" s="98">
        <v>247.6215300404014</v>
      </c>
      <c r="AV55" s="98">
        <v>808.028150658152</v>
      </c>
      <c r="AW55" s="98">
        <v>755.8973022285937</v>
      </c>
      <c r="AX55" s="98">
        <v>482.21034797341326</v>
      </c>
      <c r="AY55" s="98">
        <v>1212.042225987228</v>
      </c>
      <c r="AZ55" s="98">
        <v>508.2757721881924</v>
      </c>
      <c r="BA55" s="100" t="s">
        <v>608</v>
      </c>
      <c r="BB55" s="100" t="s">
        <v>608</v>
      </c>
      <c r="BC55" s="100" t="s">
        <v>608</v>
      </c>
      <c r="BD55" s="158">
        <v>2.373588257</v>
      </c>
      <c r="BE55" s="158">
        <v>2.896960449</v>
      </c>
      <c r="BF55" s="162">
        <v>981</v>
      </c>
      <c r="BG55" s="162">
        <v>11</v>
      </c>
      <c r="BH55" s="162">
        <v>1855</v>
      </c>
      <c r="BI55" s="162">
        <v>939</v>
      </c>
      <c r="BJ55" s="162">
        <v>474</v>
      </c>
      <c r="BK55" s="97"/>
      <c r="BL55" s="97"/>
      <c r="BM55" s="97"/>
      <c r="BN55" s="97"/>
    </row>
    <row r="56" spans="1:66" ht="12.75">
      <c r="A56" s="79" t="s">
        <v>594</v>
      </c>
      <c r="B56" s="79" t="s">
        <v>346</v>
      </c>
      <c r="C56" s="79" t="s">
        <v>165</v>
      </c>
      <c r="D56" s="99">
        <v>5750</v>
      </c>
      <c r="E56" s="99">
        <v>872</v>
      </c>
      <c r="F56" s="99" t="s">
        <v>374</v>
      </c>
      <c r="G56" s="99">
        <v>32</v>
      </c>
      <c r="H56" s="99">
        <v>11</v>
      </c>
      <c r="I56" s="99">
        <v>64</v>
      </c>
      <c r="J56" s="99">
        <v>420</v>
      </c>
      <c r="K56" s="99" t="s">
        <v>608</v>
      </c>
      <c r="L56" s="99">
        <v>985</v>
      </c>
      <c r="M56" s="99">
        <v>248</v>
      </c>
      <c r="N56" s="99">
        <v>157</v>
      </c>
      <c r="O56" s="99">
        <v>89</v>
      </c>
      <c r="P56" s="159">
        <v>89</v>
      </c>
      <c r="Q56" s="99">
        <v>13</v>
      </c>
      <c r="R56" s="99">
        <v>17</v>
      </c>
      <c r="S56" s="99">
        <v>18</v>
      </c>
      <c r="T56" s="99">
        <v>12</v>
      </c>
      <c r="U56" s="99" t="s">
        <v>608</v>
      </c>
      <c r="V56" s="99">
        <v>13</v>
      </c>
      <c r="W56" s="99">
        <v>34</v>
      </c>
      <c r="X56" s="99">
        <v>18</v>
      </c>
      <c r="Y56" s="99">
        <v>54</v>
      </c>
      <c r="Z56" s="99">
        <v>48</v>
      </c>
      <c r="AA56" s="99" t="s">
        <v>608</v>
      </c>
      <c r="AB56" s="99" t="s">
        <v>608</v>
      </c>
      <c r="AC56" s="99" t="s">
        <v>608</v>
      </c>
      <c r="AD56" s="98" t="s">
        <v>354</v>
      </c>
      <c r="AE56" s="100">
        <v>0.15165217391304348</v>
      </c>
      <c r="AF56" s="100">
        <v>0.22</v>
      </c>
      <c r="AG56" s="98">
        <v>556.5217391304348</v>
      </c>
      <c r="AH56" s="98">
        <v>191.30434782608697</v>
      </c>
      <c r="AI56" s="100">
        <v>0.011000000000000001</v>
      </c>
      <c r="AJ56" s="100">
        <v>0.673077</v>
      </c>
      <c r="AK56" s="100" t="s">
        <v>608</v>
      </c>
      <c r="AL56" s="100">
        <v>0.74848</v>
      </c>
      <c r="AM56" s="100">
        <v>0.407895</v>
      </c>
      <c r="AN56" s="100">
        <v>0.477204</v>
      </c>
      <c r="AO56" s="98">
        <v>1547.8260869565217</v>
      </c>
      <c r="AP56" s="158">
        <v>0.8892364502</v>
      </c>
      <c r="AQ56" s="100">
        <v>0.14606741573033707</v>
      </c>
      <c r="AR56" s="100">
        <v>0.7647058823529411</v>
      </c>
      <c r="AS56" s="98">
        <v>313.04347826086956</v>
      </c>
      <c r="AT56" s="98">
        <v>208.69565217391303</v>
      </c>
      <c r="AU56" s="98" t="s">
        <v>608</v>
      </c>
      <c r="AV56" s="98">
        <v>226.08695652173913</v>
      </c>
      <c r="AW56" s="98">
        <v>591.304347826087</v>
      </c>
      <c r="AX56" s="98">
        <v>313.04347826086956</v>
      </c>
      <c r="AY56" s="98">
        <v>939.1304347826087</v>
      </c>
      <c r="AZ56" s="98">
        <v>834.7826086956521</v>
      </c>
      <c r="BA56" s="100" t="s">
        <v>608</v>
      </c>
      <c r="BB56" s="100" t="s">
        <v>608</v>
      </c>
      <c r="BC56" s="100" t="s">
        <v>608</v>
      </c>
      <c r="BD56" s="158">
        <v>0.7141298676</v>
      </c>
      <c r="BE56" s="158">
        <v>1.094281921</v>
      </c>
      <c r="BF56" s="162">
        <v>624</v>
      </c>
      <c r="BG56" s="162" t="s">
        <v>608</v>
      </c>
      <c r="BH56" s="162">
        <v>1316</v>
      </c>
      <c r="BI56" s="162">
        <v>608</v>
      </c>
      <c r="BJ56" s="162">
        <v>329</v>
      </c>
      <c r="BK56" s="97"/>
      <c r="BL56" s="97"/>
      <c r="BM56" s="97"/>
      <c r="BN56" s="97"/>
    </row>
    <row r="57" spans="1:66" ht="12.75">
      <c r="A57" s="79" t="s">
        <v>555</v>
      </c>
      <c r="B57" s="79" t="s">
        <v>300</v>
      </c>
      <c r="C57" s="79" t="s">
        <v>165</v>
      </c>
      <c r="D57" s="99">
        <v>6011</v>
      </c>
      <c r="E57" s="99">
        <v>1057</v>
      </c>
      <c r="F57" s="99" t="s">
        <v>374</v>
      </c>
      <c r="G57" s="99">
        <v>24</v>
      </c>
      <c r="H57" s="99">
        <v>13</v>
      </c>
      <c r="I57" s="99">
        <v>98</v>
      </c>
      <c r="J57" s="99">
        <v>516</v>
      </c>
      <c r="K57" s="99" t="s">
        <v>608</v>
      </c>
      <c r="L57" s="99">
        <v>1240</v>
      </c>
      <c r="M57" s="99">
        <v>401</v>
      </c>
      <c r="N57" s="99">
        <v>194</v>
      </c>
      <c r="O57" s="99">
        <v>73</v>
      </c>
      <c r="P57" s="159">
        <v>73</v>
      </c>
      <c r="Q57" s="99">
        <v>8</v>
      </c>
      <c r="R57" s="99">
        <v>22</v>
      </c>
      <c r="S57" s="99">
        <v>19</v>
      </c>
      <c r="T57" s="99">
        <v>16</v>
      </c>
      <c r="U57" s="99" t="s">
        <v>608</v>
      </c>
      <c r="V57" s="99">
        <v>16</v>
      </c>
      <c r="W57" s="99">
        <v>32</v>
      </c>
      <c r="X57" s="99">
        <v>34</v>
      </c>
      <c r="Y57" s="99">
        <v>73</v>
      </c>
      <c r="Z57" s="99">
        <v>28</v>
      </c>
      <c r="AA57" s="99" t="s">
        <v>608</v>
      </c>
      <c r="AB57" s="99" t="s">
        <v>608</v>
      </c>
      <c r="AC57" s="99" t="s">
        <v>608</v>
      </c>
      <c r="AD57" s="98" t="s">
        <v>354</v>
      </c>
      <c r="AE57" s="100">
        <v>0.17584428547662617</v>
      </c>
      <c r="AF57" s="100">
        <v>0.18</v>
      </c>
      <c r="AG57" s="98">
        <v>399.26800865080685</v>
      </c>
      <c r="AH57" s="98">
        <v>216.27017135252038</v>
      </c>
      <c r="AI57" s="100">
        <v>0.016</v>
      </c>
      <c r="AJ57" s="100">
        <v>0.68984</v>
      </c>
      <c r="AK57" s="100" t="s">
        <v>608</v>
      </c>
      <c r="AL57" s="100">
        <v>0.808344</v>
      </c>
      <c r="AM57" s="100">
        <v>0.60574</v>
      </c>
      <c r="AN57" s="100">
        <v>0.623794</v>
      </c>
      <c r="AO57" s="98">
        <v>1214.4401929795374</v>
      </c>
      <c r="AP57" s="158">
        <v>0.6371728134</v>
      </c>
      <c r="AQ57" s="100">
        <v>0.1095890410958904</v>
      </c>
      <c r="AR57" s="100">
        <v>0.36363636363636365</v>
      </c>
      <c r="AS57" s="98">
        <v>316.0871735152221</v>
      </c>
      <c r="AT57" s="98">
        <v>266.1786724338712</v>
      </c>
      <c r="AU57" s="98" t="s">
        <v>608</v>
      </c>
      <c r="AV57" s="98">
        <v>266.1786724338712</v>
      </c>
      <c r="AW57" s="98">
        <v>532.3573448677424</v>
      </c>
      <c r="AX57" s="98">
        <v>565.6296789219764</v>
      </c>
      <c r="AY57" s="98">
        <v>1214.4401929795374</v>
      </c>
      <c r="AZ57" s="98">
        <v>465.81267675927467</v>
      </c>
      <c r="BA57" s="100" t="s">
        <v>608</v>
      </c>
      <c r="BB57" s="100" t="s">
        <v>608</v>
      </c>
      <c r="BC57" s="100" t="s">
        <v>608</v>
      </c>
      <c r="BD57" s="158">
        <v>0.49944175719999995</v>
      </c>
      <c r="BE57" s="158">
        <v>0.8011491394</v>
      </c>
      <c r="BF57" s="162">
        <v>748</v>
      </c>
      <c r="BG57" s="162" t="s">
        <v>608</v>
      </c>
      <c r="BH57" s="162">
        <v>1534</v>
      </c>
      <c r="BI57" s="162">
        <v>662</v>
      </c>
      <c r="BJ57" s="162">
        <v>311</v>
      </c>
      <c r="BK57" s="97"/>
      <c r="BL57" s="97"/>
      <c r="BM57" s="97"/>
      <c r="BN57" s="97"/>
    </row>
    <row r="58" spans="1:66" ht="12.75">
      <c r="A58" s="79" t="s">
        <v>560</v>
      </c>
      <c r="B58" s="79" t="s">
        <v>305</v>
      </c>
      <c r="C58" s="79" t="s">
        <v>165</v>
      </c>
      <c r="D58" s="99">
        <v>16952</v>
      </c>
      <c r="E58" s="99">
        <v>2529</v>
      </c>
      <c r="F58" s="99" t="s">
        <v>375</v>
      </c>
      <c r="G58" s="99">
        <v>84</v>
      </c>
      <c r="H58" s="99">
        <v>40</v>
      </c>
      <c r="I58" s="99">
        <v>194</v>
      </c>
      <c r="J58" s="99">
        <v>1217</v>
      </c>
      <c r="K58" s="99">
        <v>1196</v>
      </c>
      <c r="L58" s="99">
        <v>3065</v>
      </c>
      <c r="M58" s="99">
        <v>778</v>
      </c>
      <c r="N58" s="99">
        <v>405</v>
      </c>
      <c r="O58" s="99">
        <v>242</v>
      </c>
      <c r="P58" s="159">
        <v>242</v>
      </c>
      <c r="Q58" s="99">
        <v>41</v>
      </c>
      <c r="R58" s="99">
        <v>93</v>
      </c>
      <c r="S58" s="99">
        <v>31</v>
      </c>
      <c r="T58" s="99">
        <v>38</v>
      </c>
      <c r="U58" s="99">
        <v>14</v>
      </c>
      <c r="V58" s="99">
        <v>37</v>
      </c>
      <c r="W58" s="99">
        <v>91</v>
      </c>
      <c r="X58" s="99">
        <v>74</v>
      </c>
      <c r="Y58" s="99">
        <v>204</v>
      </c>
      <c r="Z58" s="99">
        <v>94</v>
      </c>
      <c r="AA58" s="99" t="s">
        <v>608</v>
      </c>
      <c r="AB58" s="99" t="s">
        <v>608</v>
      </c>
      <c r="AC58" s="99" t="s">
        <v>608</v>
      </c>
      <c r="AD58" s="98" t="s">
        <v>354</v>
      </c>
      <c r="AE58" s="100">
        <v>0.14918593676262387</v>
      </c>
      <c r="AF58" s="100">
        <v>0.26</v>
      </c>
      <c r="AG58" s="98">
        <v>495.51675318546484</v>
      </c>
      <c r="AH58" s="98">
        <v>235.96035865974517</v>
      </c>
      <c r="AI58" s="100">
        <v>0.011000000000000001</v>
      </c>
      <c r="AJ58" s="100">
        <v>0.705916</v>
      </c>
      <c r="AK58" s="100">
        <v>0.719615</v>
      </c>
      <c r="AL58" s="100">
        <v>0.749572</v>
      </c>
      <c r="AM58" s="100">
        <v>0.514891</v>
      </c>
      <c r="AN58" s="100">
        <v>0.55102</v>
      </c>
      <c r="AO58" s="98">
        <v>1427.5601698914581</v>
      </c>
      <c r="AP58" s="158">
        <v>0.8357633972</v>
      </c>
      <c r="AQ58" s="100">
        <v>0.16942148760330578</v>
      </c>
      <c r="AR58" s="100">
        <v>0.44086021505376344</v>
      </c>
      <c r="AS58" s="98">
        <v>182.86927796130252</v>
      </c>
      <c r="AT58" s="98">
        <v>224.16234072675792</v>
      </c>
      <c r="AU58" s="98">
        <v>82.5861255309108</v>
      </c>
      <c r="AV58" s="98">
        <v>218.26333176026426</v>
      </c>
      <c r="AW58" s="98">
        <v>536.8098159509202</v>
      </c>
      <c r="AX58" s="98">
        <v>436.52666352052853</v>
      </c>
      <c r="AY58" s="98">
        <v>1203.3978291647004</v>
      </c>
      <c r="AZ58" s="98">
        <v>554.5068428504011</v>
      </c>
      <c r="BA58" s="100" t="s">
        <v>608</v>
      </c>
      <c r="BB58" s="100" t="s">
        <v>608</v>
      </c>
      <c r="BC58" s="100" t="s">
        <v>608</v>
      </c>
      <c r="BD58" s="158">
        <v>0.7337727356000001</v>
      </c>
      <c r="BE58" s="158">
        <v>0.9479651642</v>
      </c>
      <c r="BF58" s="162">
        <v>1724</v>
      </c>
      <c r="BG58" s="162">
        <v>1662</v>
      </c>
      <c r="BH58" s="162">
        <v>4089</v>
      </c>
      <c r="BI58" s="162">
        <v>1511</v>
      </c>
      <c r="BJ58" s="162">
        <v>735</v>
      </c>
      <c r="BK58" s="97"/>
      <c r="BL58" s="97"/>
      <c r="BM58" s="97"/>
      <c r="BN58" s="97"/>
    </row>
    <row r="59" spans="1:66" ht="12.75">
      <c r="A59" s="79" t="s">
        <v>599</v>
      </c>
      <c r="B59" s="79" t="s">
        <v>351</v>
      </c>
      <c r="C59" s="79" t="s">
        <v>165</v>
      </c>
      <c r="D59" s="99">
        <v>5257</v>
      </c>
      <c r="E59" s="99">
        <v>859</v>
      </c>
      <c r="F59" s="99" t="s">
        <v>374</v>
      </c>
      <c r="G59" s="99">
        <v>22</v>
      </c>
      <c r="H59" s="99">
        <v>12</v>
      </c>
      <c r="I59" s="99">
        <v>76</v>
      </c>
      <c r="J59" s="99">
        <v>416</v>
      </c>
      <c r="K59" s="99" t="s">
        <v>608</v>
      </c>
      <c r="L59" s="99">
        <v>1010</v>
      </c>
      <c r="M59" s="99">
        <v>298</v>
      </c>
      <c r="N59" s="99">
        <v>152</v>
      </c>
      <c r="O59" s="99">
        <v>19</v>
      </c>
      <c r="P59" s="159">
        <v>19</v>
      </c>
      <c r="Q59" s="99">
        <v>9</v>
      </c>
      <c r="R59" s="99">
        <v>25</v>
      </c>
      <c r="S59" s="99" t="s">
        <v>608</v>
      </c>
      <c r="T59" s="99" t="s">
        <v>608</v>
      </c>
      <c r="U59" s="99" t="s">
        <v>608</v>
      </c>
      <c r="V59" s="99" t="s">
        <v>608</v>
      </c>
      <c r="W59" s="99">
        <v>22</v>
      </c>
      <c r="X59" s="99">
        <v>26</v>
      </c>
      <c r="Y59" s="99">
        <v>66</v>
      </c>
      <c r="Z59" s="99">
        <v>33</v>
      </c>
      <c r="AA59" s="99" t="s">
        <v>608</v>
      </c>
      <c r="AB59" s="99" t="s">
        <v>608</v>
      </c>
      <c r="AC59" s="99" t="s">
        <v>608</v>
      </c>
      <c r="AD59" s="98" t="s">
        <v>354</v>
      </c>
      <c r="AE59" s="100">
        <v>0.16340117937987444</v>
      </c>
      <c r="AF59" s="100">
        <v>0.18</v>
      </c>
      <c r="AG59" s="98">
        <v>418.4896328704584</v>
      </c>
      <c r="AH59" s="98">
        <v>228.2670724747955</v>
      </c>
      <c r="AI59" s="100">
        <v>0.013999999999999999</v>
      </c>
      <c r="AJ59" s="100">
        <v>0.680851</v>
      </c>
      <c r="AK59" s="100" t="s">
        <v>608</v>
      </c>
      <c r="AL59" s="100">
        <v>0.773946</v>
      </c>
      <c r="AM59" s="100">
        <v>0.558052</v>
      </c>
      <c r="AN59" s="100">
        <v>0.612903</v>
      </c>
      <c r="AO59" s="98">
        <v>361.42286475175956</v>
      </c>
      <c r="AP59" s="158">
        <v>0.1933103943</v>
      </c>
      <c r="AQ59" s="100">
        <v>0.47368421052631576</v>
      </c>
      <c r="AR59" s="100">
        <v>0.36</v>
      </c>
      <c r="AS59" s="98" t="s">
        <v>608</v>
      </c>
      <c r="AT59" s="98" t="s">
        <v>608</v>
      </c>
      <c r="AU59" s="98" t="s">
        <v>608</v>
      </c>
      <c r="AV59" s="98" t="s">
        <v>608</v>
      </c>
      <c r="AW59" s="98">
        <v>418.4896328704584</v>
      </c>
      <c r="AX59" s="98">
        <v>494.5786570287236</v>
      </c>
      <c r="AY59" s="98">
        <v>1255.4688986113754</v>
      </c>
      <c r="AZ59" s="98">
        <v>627.7344493056877</v>
      </c>
      <c r="BA59" s="100" t="s">
        <v>608</v>
      </c>
      <c r="BB59" s="100" t="s">
        <v>608</v>
      </c>
      <c r="BC59" s="100" t="s">
        <v>608</v>
      </c>
      <c r="BD59" s="158">
        <v>0.1163854885</v>
      </c>
      <c r="BE59" s="158">
        <v>0.30187812810000003</v>
      </c>
      <c r="BF59" s="162">
        <v>611</v>
      </c>
      <c r="BG59" s="162" t="s">
        <v>608</v>
      </c>
      <c r="BH59" s="162">
        <v>1305</v>
      </c>
      <c r="BI59" s="162">
        <v>534</v>
      </c>
      <c r="BJ59" s="162">
        <v>248</v>
      </c>
      <c r="BK59" s="97"/>
      <c r="BL59" s="97"/>
      <c r="BM59" s="97"/>
      <c r="BN59" s="97"/>
    </row>
    <row r="60" spans="1:66" ht="12.75">
      <c r="A60" s="79" t="s">
        <v>559</v>
      </c>
      <c r="B60" s="79" t="s">
        <v>304</v>
      </c>
      <c r="C60" s="79" t="s">
        <v>165</v>
      </c>
      <c r="D60" s="99">
        <v>9367</v>
      </c>
      <c r="E60" s="99">
        <v>1273</v>
      </c>
      <c r="F60" s="99" t="s">
        <v>376</v>
      </c>
      <c r="G60" s="99">
        <v>42</v>
      </c>
      <c r="H60" s="99">
        <v>11</v>
      </c>
      <c r="I60" s="99">
        <v>150</v>
      </c>
      <c r="J60" s="99">
        <v>1016</v>
      </c>
      <c r="K60" s="99">
        <v>980</v>
      </c>
      <c r="L60" s="99">
        <v>2176</v>
      </c>
      <c r="M60" s="99">
        <v>648</v>
      </c>
      <c r="N60" s="99">
        <v>347</v>
      </c>
      <c r="O60" s="99">
        <v>80</v>
      </c>
      <c r="P60" s="159">
        <v>80</v>
      </c>
      <c r="Q60" s="99">
        <v>11</v>
      </c>
      <c r="R60" s="99">
        <v>38</v>
      </c>
      <c r="S60" s="99">
        <v>14</v>
      </c>
      <c r="T60" s="99">
        <v>14</v>
      </c>
      <c r="U60" s="99" t="s">
        <v>608</v>
      </c>
      <c r="V60" s="99">
        <v>20</v>
      </c>
      <c r="W60" s="99">
        <v>57</v>
      </c>
      <c r="X60" s="99">
        <v>51</v>
      </c>
      <c r="Y60" s="99">
        <v>85</v>
      </c>
      <c r="Z60" s="99">
        <v>29</v>
      </c>
      <c r="AA60" s="99" t="s">
        <v>608</v>
      </c>
      <c r="AB60" s="99" t="s">
        <v>608</v>
      </c>
      <c r="AC60" s="99" t="s">
        <v>608</v>
      </c>
      <c r="AD60" s="98" t="s">
        <v>354</v>
      </c>
      <c r="AE60" s="100">
        <v>0.1359026369168357</v>
      </c>
      <c r="AF60" s="100">
        <v>0.11</v>
      </c>
      <c r="AG60" s="98">
        <v>448.38261983559306</v>
      </c>
      <c r="AH60" s="98">
        <v>117.43354329027437</v>
      </c>
      <c r="AI60" s="100">
        <v>0.016</v>
      </c>
      <c r="AJ60" s="100">
        <v>0.829388</v>
      </c>
      <c r="AK60" s="100">
        <v>0.837607</v>
      </c>
      <c r="AL60" s="100">
        <v>0.845705</v>
      </c>
      <c r="AM60" s="100">
        <v>0.653226</v>
      </c>
      <c r="AN60" s="100">
        <v>0.680392</v>
      </c>
      <c r="AO60" s="98">
        <v>854.0621330201773</v>
      </c>
      <c r="AP60" s="158">
        <v>0.4713302612</v>
      </c>
      <c r="AQ60" s="100">
        <v>0.1375</v>
      </c>
      <c r="AR60" s="100">
        <v>0.2894736842105263</v>
      </c>
      <c r="AS60" s="98">
        <v>149.460873278531</v>
      </c>
      <c r="AT60" s="98">
        <v>149.460873278531</v>
      </c>
      <c r="AU60" s="98" t="s">
        <v>608</v>
      </c>
      <c r="AV60" s="98">
        <v>213.51553325504432</v>
      </c>
      <c r="AW60" s="98">
        <v>608.5192697768763</v>
      </c>
      <c r="AX60" s="98">
        <v>544.464609800363</v>
      </c>
      <c r="AY60" s="98">
        <v>907.4410163339383</v>
      </c>
      <c r="AZ60" s="98">
        <v>309.59752321981426</v>
      </c>
      <c r="BA60" s="100" t="s">
        <v>608</v>
      </c>
      <c r="BB60" s="100" t="s">
        <v>608</v>
      </c>
      <c r="BC60" s="100" t="s">
        <v>608</v>
      </c>
      <c r="BD60" s="158">
        <v>0.3737355804</v>
      </c>
      <c r="BE60" s="158">
        <v>0.58661129</v>
      </c>
      <c r="BF60" s="162">
        <v>1225</v>
      </c>
      <c r="BG60" s="162">
        <v>1170</v>
      </c>
      <c r="BH60" s="162">
        <v>2573</v>
      </c>
      <c r="BI60" s="162">
        <v>992</v>
      </c>
      <c r="BJ60" s="162">
        <v>510</v>
      </c>
      <c r="BK60" s="97"/>
      <c r="BL60" s="97"/>
      <c r="BM60" s="97"/>
      <c r="BN60" s="97"/>
    </row>
    <row r="61" spans="1:66" ht="12.75">
      <c r="A61" s="79" t="s">
        <v>564</v>
      </c>
      <c r="B61" s="79" t="s">
        <v>309</v>
      </c>
      <c r="C61" s="79" t="s">
        <v>165</v>
      </c>
      <c r="D61" s="99">
        <v>4426</v>
      </c>
      <c r="E61" s="99">
        <v>899</v>
      </c>
      <c r="F61" s="99" t="s">
        <v>376</v>
      </c>
      <c r="G61" s="99">
        <v>19</v>
      </c>
      <c r="H61" s="99">
        <v>9</v>
      </c>
      <c r="I61" s="99">
        <v>68</v>
      </c>
      <c r="J61" s="99">
        <v>458</v>
      </c>
      <c r="K61" s="99">
        <v>439</v>
      </c>
      <c r="L61" s="99">
        <v>937</v>
      </c>
      <c r="M61" s="99">
        <v>346</v>
      </c>
      <c r="N61" s="99">
        <v>168</v>
      </c>
      <c r="O61" s="99">
        <v>31</v>
      </c>
      <c r="P61" s="159">
        <v>31</v>
      </c>
      <c r="Q61" s="99">
        <v>10</v>
      </c>
      <c r="R61" s="99">
        <v>21</v>
      </c>
      <c r="S61" s="99">
        <v>10</v>
      </c>
      <c r="T61" s="99" t="s">
        <v>608</v>
      </c>
      <c r="U61" s="99" t="s">
        <v>608</v>
      </c>
      <c r="V61" s="99" t="s">
        <v>608</v>
      </c>
      <c r="W61" s="99">
        <v>23</v>
      </c>
      <c r="X61" s="99">
        <v>11</v>
      </c>
      <c r="Y61" s="99">
        <v>41</v>
      </c>
      <c r="Z61" s="99">
        <v>30</v>
      </c>
      <c r="AA61" s="99" t="s">
        <v>608</v>
      </c>
      <c r="AB61" s="99" t="s">
        <v>608</v>
      </c>
      <c r="AC61" s="99" t="s">
        <v>608</v>
      </c>
      <c r="AD61" s="98" t="s">
        <v>354</v>
      </c>
      <c r="AE61" s="100">
        <v>0.20311793944871215</v>
      </c>
      <c r="AF61" s="100">
        <v>0.1</v>
      </c>
      <c r="AG61" s="98">
        <v>429.28151830094896</v>
      </c>
      <c r="AH61" s="98">
        <v>203.34387708992318</v>
      </c>
      <c r="AI61" s="100">
        <v>0.015</v>
      </c>
      <c r="AJ61" s="100">
        <v>0.796522</v>
      </c>
      <c r="AK61" s="100">
        <v>0.796733</v>
      </c>
      <c r="AL61" s="100">
        <v>0.849501</v>
      </c>
      <c r="AM61" s="100">
        <v>0.646729</v>
      </c>
      <c r="AN61" s="100">
        <v>0.648649</v>
      </c>
      <c r="AO61" s="98">
        <v>700.4066877541799</v>
      </c>
      <c r="AP61" s="158">
        <v>0.3370096207</v>
      </c>
      <c r="AQ61" s="100">
        <v>0.3225806451612903</v>
      </c>
      <c r="AR61" s="100">
        <v>0.47619047619047616</v>
      </c>
      <c r="AS61" s="98">
        <v>225.93764121102575</v>
      </c>
      <c r="AT61" s="98" t="s">
        <v>608</v>
      </c>
      <c r="AU61" s="98" t="s">
        <v>608</v>
      </c>
      <c r="AV61" s="98" t="s">
        <v>608</v>
      </c>
      <c r="AW61" s="98">
        <v>519.6565747853592</v>
      </c>
      <c r="AX61" s="98">
        <v>248.53140533212834</v>
      </c>
      <c r="AY61" s="98">
        <v>926.3443289652056</v>
      </c>
      <c r="AZ61" s="98">
        <v>677.8129236330773</v>
      </c>
      <c r="BA61" s="100" t="s">
        <v>608</v>
      </c>
      <c r="BB61" s="100" t="s">
        <v>608</v>
      </c>
      <c r="BC61" s="100" t="s">
        <v>608</v>
      </c>
      <c r="BD61" s="158">
        <v>0.22898168559999998</v>
      </c>
      <c r="BE61" s="158">
        <v>0.4783582687</v>
      </c>
      <c r="BF61" s="162">
        <v>575</v>
      </c>
      <c r="BG61" s="162">
        <v>551</v>
      </c>
      <c r="BH61" s="162">
        <v>1103</v>
      </c>
      <c r="BI61" s="162">
        <v>535</v>
      </c>
      <c r="BJ61" s="162">
        <v>259</v>
      </c>
      <c r="BK61" s="97"/>
      <c r="BL61" s="97"/>
      <c r="BM61" s="97"/>
      <c r="BN61" s="97"/>
    </row>
    <row r="62" spans="1:66" ht="12.75">
      <c r="A62" s="79" t="s">
        <v>596</v>
      </c>
      <c r="B62" s="79" t="s">
        <v>348</v>
      </c>
      <c r="C62" s="79" t="s">
        <v>165</v>
      </c>
      <c r="D62" s="99">
        <v>7086</v>
      </c>
      <c r="E62" s="99">
        <v>497</v>
      </c>
      <c r="F62" s="99" t="s">
        <v>375</v>
      </c>
      <c r="G62" s="99">
        <v>17</v>
      </c>
      <c r="H62" s="99">
        <v>6</v>
      </c>
      <c r="I62" s="99">
        <v>38</v>
      </c>
      <c r="J62" s="99">
        <v>279</v>
      </c>
      <c r="K62" s="99" t="s">
        <v>608</v>
      </c>
      <c r="L62" s="99">
        <v>943</v>
      </c>
      <c r="M62" s="99">
        <v>106</v>
      </c>
      <c r="N62" s="99">
        <v>69</v>
      </c>
      <c r="O62" s="99">
        <v>87</v>
      </c>
      <c r="P62" s="159">
        <v>87</v>
      </c>
      <c r="Q62" s="99" t="s">
        <v>608</v>
      </c>
      <c r="R62" s="99">
        <v>16</v>
      </c>
      <c r="S62" s="99">
        <v>15</v>
      </c>
      <c r="T62" s="99">
        <v>9</v>
      </c>
      <c r="U62" s="99" t="s">
        <v>608</v>
      </c>
      <c r="V62" s="99">
        <v>8</v>
      </c>
      <c r="W62" s="99">
        <v>14</v>
      </c>
      <c r="X62" s="99">
        <v>11</v>
      </c>
      <c r="Y62" s="99">
        <v>28</v>
      </c>
      <c r="Z62" s="99">
        <v>17</v>
      </c>
      <c r="AA62" s="99" t="s">
        <v>608</v>
      </c>
      <c r="AB62" s="99" t="s">
        <v>608</v>
      </c>
      <c r="AC62" s="99" t="s">
        <v>608</v>
      </c>
      <c r="AD62" s="98" t="s">
        <v>354</v>
      </c>
      <c r="AE62" s="100">
        <v>0.07013830087496471</v>
      </c>
      <c r="AF62" s="100">
        <v>0.27</v>
      </c>
      <c r="AG62" s="98">
        <v>239.90968106124754</v>
      </c>
      <c r="AH62" s="98">
        <v>84.67400508044031</v>
      </c>
      <c r="AI62" s="100">
        <v>0.005</v>
      </c>
      <c r="AJ62" s="100">
        <v>0.569388</v>
      </c>
      <c r="AK62" s="100" t="s">
        <v>608</v>
      </c>
      <c r="AL62" s="100">
        <v>0.586078</v>
      </c>
      <c r="AM62" s="100">
        <v>0.294444</v>
      </c>
      <c r="AN62" s="100">
        <v>0.341584</v>
      </c>
      <c r="AO62" s="98">
        <v>1227.7730736663843</v>
      </c>
      <c r="AP62" s="158">
        <v>1.0574996190000001</v>
      </c>
      <c r="AQ62" s="100" t="s">
        <v>608</v>
      </c>
      <c r="AR62" s="100" t="s">
        <v>608</v>
      </c>
      <c r="AS62" s="98">
        <v>211.68501270110076</v>
      </c>
      <c r="AT62" s="98">
        <v>127.01100762066045</v>
      </c>
      <c r="AU62" s="98" t="s">
        <v>608</v>
      </c>
      <c r="AV62" s="98">
        <v>112.89867344058707</v>
      </c>
      <c r="AW62" s="98">
        <v>197.57267852102737</v>
      </c>
      <c r="AX62" s="98">
        <v>155.23567598080723</v>
      </c>
      <c r="AY62" s="98">
        <v>395.14535704205474</v>
      </c>
      <c r="AZ62" s="98">
        <v>239.90968106124754</v>
      </c>
      <c r="BA62" s="100" t="s">
        <v>608</v>
      </c>
      <c r="BB62" s="100" t="s">
        <v>608</v>
      </c>
      <c r="BC62" s="100" t="s">
        <v>608</v>
      </c>
      <c r="BD62" s="158">
        <v>0.8470137787</v>
      </c>
      <c r="BE62" s="158">
        <v>1.304421844</v>
      </c>
      <c r="BF62" s="162">
        <v>490</v>
      </c>
      <c r="BG62" s="162" t="s">
        <v>608</v>
      </c>
      <c r="BH62" s="162">
        <v>1609</v>
      </c>
      <c r="BI62" s="162">
        <v>360</v>
      </c>
      <c r="BJ62" s="162">
        <v>202</v>
      </c>
      <c r="BK62" s="97"/>
      <c r="BL62" s="97"/>
      <c r="BM62" s="97"/>
      <c r="BN62" s="97"/>
    </row>
    <row r="63" spans="1:66" ht="12.75">
      <c r="A63" s="79" t="s">
        <v>567</v>
      </c>
      <c r="B63" s="79" t="s">
        <v>312</v>
      </c>
      <c r="C63" s="79" t="s">
        <v>165</v>
      </c>
      <c r="D63" s="99">
        <v>5645</v>
      </c>
      <c r="E63" s="99">
        <v>939</v>
      </c>
      <c r="F63" s="99" t="s">
        <v>374</v>
      </c>
      <c r="G63" s="99">
        <v>23</v>
      </c>
      <c r="H63" s="99">
        <v>17</v>
      </c>
      <c r="I63" s="99">
        <v>86</v>
      </c>
      <c r="J63" s="99">
        <v>530</v>
      </c>
      <c r="K63" s="99" t="s">
        <v>608</v>
      </c>
      <c r="L63" s="99">
        <v>1034</v>
      </c>
      <c r="M63" s="99">
        <v>314</v>
      </c>
      <c r="N63" s="99">
        <v>208</v>
      </c>
      <c r="O63" s="99">
        <v>122</v>
      </c>
      <c r="P63" s="159">
        <v>122</v>
      </c>
      <c r="Q63" s="99">
        <v>10</v>
      </c>
      <c r="R63" s="99">
        <v>22</v>
      </c>
      <c r="S63" s="99">
        <v>16</v>
      </c>
      <c r="T63" s="99">
        <v>21</v>
      </c>
      <c r="U63" s="99">
        <v>6</v>
      </c>
      <c r="V63" s="99">
        <v>17</v>
      </c>
      <c r="W63" s="99">
        <v>38</v>
      </c>
      <c r="X63" s="99">
        <v>18</v>
      </c>
      <c r="Y63" s="99">
        <v>69</v>
      </c>
      <c r="Z63" s="99">
        <v>28</v>
      </c>
      <c r="AA63" s="99" t="s">
        <v>608</v>
      </c>
      <c r="AB63" s="99" t="s">
        <v>608</v>
      </c>
      <c r="AC63" s="99" t="s">
        <v>608</v>
      </c>
      <c r="AD63" s="98" t="s">
        <v>354</v>
      </c>
      <c r="AE63" s="100">
        <v>0.16634189548272807</v>
      </c>
      <c r="AF63" s="100">
        <v>0.18</v>
      </c>
      <c r="AG63" s="98">
        <v>407.4402125775022</v>
      </c>
      <c r="AH63" s="98">
        <v>301.1514614703277</v>
      </c>
      <c r="AI63" s="100">
        <v>0.015</v>
      </c>
      <c r="AJ63" s="100">
        <v>0.730028</v>
      </c>
      <c r="AK63" s="100" t="s">
        <v>608</v>
      </c>
      <c r="AL63" s="100">
        <v>0.737518</v>
      </c>
      <c r="AM63" s="100">
        <v>0.496835</v>
      </c>
      <c r="AN63" s="100">
        <v>0.592593</v>
      </c>
      <c r="AO63" s="98">
        <v>2161.2046058458814</v>
      </c>
      <c r="AP63" s="158">
        <v>1.1424410249999999</v>
      </c>
      <c r="AQ63" s="100">
        <v>0.08196721311475409</v>
      </c>
      <c r="AR63" s="100">
        <v>0.45454545454545453</v>
      </c>
      <c r="AS63" s="98">
        <v>283.436669619132</v>
      </c>
      <c r="AT63" s="98">
        <v>372.01062887511074</v>
      </c>
      <c r="AU63" s="98">
        <v>106.28875110717449</v>
      </c>
      <c r="AV63" s="98">
        <v>301.1514614703277</v>
      </c>
      <c r="AW63" s="98">
        <v>673.1620903454384</v>
      </c>
      <c r="AX63" s="98">
        <v>318.86625332152346</v>
      </c>
      <c r="AY63" s="98">
        <v>1222.3206377325066</v>
      </c>
      <c r="AZ63" s="98">
        <v>496.01417183348093</v>
      </c>
      <c r="BA63" s="100" t="s">
        <v>608</v>
      </c>
      <c r="BB63" s="100" t="s">
        <v>608</v>
      </c>
      <c r="BC63" s="100" t="s">
        <v>608</v>
      </c>
      <c r="BD63" s="158">
        <v>0.9487282562</v>
      </c>
      <c r="BE63" s="158">
        <v>1.364076233</v>
      </c>
      <c r="BF63" s="162">
        <v>726</v>
      </c>
      <c r="BG63" s="162" t="s">
        <v>608</v>
      </c>
      <c r="BH63" s="162">
        <v>1402</v>
      </c>
      <c r="BI63" s="162">
        <v>632</v>
      </c>
      <c r="BJ63" s="162">
        <v>351</v>
      </c>
      <c r="BK63" s="97"/>
      <c r="BL63" s="97"/>
      <c r="BM63" s="97"/>
      <c r="BN63" s="97"/>
    </row>
    <row r="64" spans="1:66" ht="12.75">
      <c r="A64" s="79" t="s">
        <v>556</v>
      </c>
      <c r="B64" s="79" t="s">
        <v>301</v>
      </c>
      <c r="C64" s="79" t="s">
        <v>165</v>
      </c>
      <c r="D64" s="99">
        <v>9312</v>
      </c>
      <c r="E64" s="99">
        <v>1597</v>
      </c>
      <c r="F64" s="99" t="s">
        <v>377</v>
      </c>
      <c r="G64" s="99">
        <v>45</v>
      </c>
      <c r="H64" s="99">
        <v>31</v>
      </c>
      <c r="I64" s="99">
        <v>170</v>
      </c>
      <c r="J64" s="99">
        <v>836</v>
      </c>
      <c r="K64" s="99" t="s">
        <v>608</v>
      </c>
      <c r="L64" s="99">
        <v>1881</v>
      </c>
      <c r="M64" s="99">
        <v>633</v>
      </c>
      <c r="N64" s="99">
        <v>334</v>
      </c>
      <c r="O64" s="99">
        <v>128</v>
      </c>
      <c r="P64" s="159">
        <v>128</v>
      </c>
      <c r="Q64" s="99">
        <v>28</v>
      </c>
      <c r="R64" s="99">
        <v>45</v>
      </c>
      <c r="S64" s="99">
        <v>21</v>
      </c>
      <c r="T64" s="99">
        <v>25</v>
      </c>
      <c r="U64" s="99">
        <v>15</v>
      </c>
      <c r="V64" s="99">
        <v>27</v>
      </c>
      <c r="W64" s="99">
        <v>40</v>
      </c>
      <c r="X64" s="99">
        <v>48</v>
      </c>
      <c r="Y64" s="99">
        <v>170</v>
      </c>
      <c r="Z64" s="99">
        <v>70</v>
      </c>
      <c r="AA64" s="99" t="s">
        <v>608</v>
      </c>
      <c r="AB64" s="99" t="s">
        <v>608</v>
      </c>
      <c r="AC64" s="99" t="s">
        <v>608</v>
      </c>
      <c r="AD64" s="98" t="s">
        <v>354</v>
      </c>
      <c r="AE64" s="100">
        <v>0.1714991408934708</v>
      </c>
      <c r="AF64" s="100">
        <v>0.16</v>
      </c>
      <c r="AG64" s="98">
        <v>483.2474226804124</v>
      </c>
      <c r="AH64" s="98">
        <v>332.9037800687285</v>
      </c>
      <c r="AI64" s="100">
        <v>0.018000000000000002</v>
      </c>
      <c r="AJ64" s="100">
        <v>0.719449</v>
      </c>
      <c r="AK64" s="100" t="s">
        <v>608</v>
      </c>
      <c r="AL64" s="100">
        <v>0.793002</v>
      </c>
      <c r="AM64" s="100">
        <v>0.573889</v>
      </c>
      <c r="AN64" s="100">
        <v>0.623134</v>
      </c>
      <c r="AO64" s="98">
        <v>1374.570446735395</v>
      </c>
      <c r="AP64" s="158">
        <v>0.7230841827000001</v>
      </c>
      <c r="AQ64" s="100">
        <v>0.21875</v>
      </c>
      <c r="AR64" s="100">
        <v>0.6222222222222222</v>
      </c>
      <c r="AS64" s="98">
        <v>225.51546391752578</v>
      </c>
      <c r="AT64" s="98">
        <v>268.4707903780069</v>
      </c>
      <c r="AU64" s="98">
        <v>161.08247422680412</v>
      </c>
      <c r="AV64" s="98">
        <v>289.9484536082474</v>
      </c>
      <c r="AW64" s="98">
        <v>429.553264604811</v>
      </c>
      <c r="AX64" s="98">
        <v>515.4639175257732</v>
      </c>
      <c r="AY64" s="98">
        <v>1825.6013745704468</v>
      </c>
      <c r="AZ64" s="98">
        <v>751.7182130584192</v>
      </c>
      <c r="BA64" s="100" t="s">
        <v>608</v>
      </c>
      <c r="BB64" s="100" t="s">
        <v>608</v>
      </c>
      <c r="BC64" s="100" t="s">
        <v>608</v>
      </c>
      <c r="BD64" s="158">
        <v>0.6032518005</v>
      </c>
      <c r="BE64" s="158">
        <v>0.8597494507000001</v>
      </c>
      <c r="BF64" s="162">
        <v>1162</v>
      </c>
      <c r="BG64" s="162" t="s">
        <v>608</v>
      </c>
      <c r="BH64" s="162">
        <v>2372</v>
      </c>
      <c r="BI64" s="162">
        <v>1103</v>
      </c>
      <c r="BJ64" s="162">
        <v>536</v>
      </c>
      <c r="BK64" s="97"/>
      <c r="BL64" s="97"/>
      <c r="BM64" s="97"/>
      <c r="BN64" s="97"/>
    </row>
    <row r="65" spans="1:66" ht="12.75">
      <c r="A65" s="79" t="s">
        <v>598</v>
      </c>
      <c r="B65" s="79" t="s">
        <v>350</v>
      </c>
      <c r="C65" s="79" t="s">
        <v>165</v>
      </c>
      <c r="D65" s="99">
        <v>1117</v>
      </c>
      <c r="E65" s="99">
        <v>4</v>
      </c>
      <c r="F65" s="99" t="s">
        <v>375</v>
      </c>
      <c r="G65" s="99" t="s">
        <v>608</v>
      </c>
      <c r="H65" s="99" t="s">
        <v>608</v>
      </c>
      <c r="I65" s="99">
        <v>4</v>
      </c>
      <c r="J65" s="99">
        <v>8</v>
      </c>
      <c r="K65" s="99" t="s">
        <v>608</v>
      </c>
      <c r="L65" s="99">
        <v>181</v>
      </c>
      <c r="M65" s="99" t="s">
        <v>608</v>
      </c>
      <c r="N65" s="99" t="s">
        <v>608</v>
      </c>
      <c r="O65" s="99">
        <v>7</v>
      </c>
      <c r="P65" s="159">
        <v>7</v>
      </c>
      <c r="Q65" s="99" t="s">
        <v>608</v>
      </c>
      <c r="R65" s="99" t="s">
        <v>608</v>
      </c>
      <c r="S65" s="99" t="s">
        <v>608</v>
      </c>
      <c r="T65" s="99" t="s">
        <v>608</v>
      </c>
      <c r="U65" s="99" t="s">
        <v>608</v>
      </c>
      <c r="V65" s="99" t="s">
        <v>608</v>
      </c>
      <c r="W65" s="99" t="s">
        <v>608</v>
      </c>
      <c r="X65" s="99" t="s">
        <v>608</v>
      </c>
      <c r="Y65" s="99" t="s">
        <v>608</v>
      </c>
      <c r="Z65" s="99" t="s">
        <v>608</v>
      </c>
      <c r="AA65" s="99" t="s">
        <v>608</v>
      </c>
      <c r="AB65" s="99" t="s">
        <v>608</v>
      </c>
      <c r="AC65" s="99" t="s">
        <v>608</v>
      </c>
      <c r="AD65" s="98" t="s">
        <v>354</v>
      </c>
      <c r="AE65" s="100">
        <v>0.0035810205908683975</v>
      </c>
      <c r="AF65" s="100">
        <v>0.3</v>
      </c>
      <c r="AG65" s="98" t="s">
        <v>608</v>
      </c>
      <c r="AH65" s="98" t="s">
        <v>608</v>
      </c>
      <c r="AI65" s="100">
        <v>0.004</v>
      </c>
      <c r="AJ65" s="100">
        <v>0.470588</v>
      </c>
      <c r="AK65" s="100" t="s">
        <v>608</v>
      </c>
      <c r="AL65" s="100">
        <v>0.726908</v>
      </c>
      <c r="AM65" s="100" t="s">
        <v>608</v>
      </c>
      <c r="AN65" s="100" t="s">
        <v>608</v>
      </c>
      <c r="AO65" s="98">
        <v>626.6786034019696</v>
      </c>
      <c r="AP65" s="158">
        <v>0.8612345886</v>
      </c>
      <c r="AQ65" s="100" t="s">
        <v>608</v>
      </c>
      <c r="AR65" s="100" t="s">
        <v>608</v>
      </c>
      <c r="AS65" s="98" t="s">
        <v>608</v>
      </c>
      <c r="AT65" s="98" t="s">
        <v>608</v>
      </c>
      <c r="AU65" s="98" t="s">
        <v>608</v>
      </c>
      <c r="AV65" s="98" t="s">
        <v>608</v>
      </c>
      <c r="AW65" s="98" t="s">
        <v>608</v>
      </c>
      <c r="AX65" s="98" t="s">
        <v>608</v>
      </c>
      <c r="AY65" s="98" t="s">
        <v>608</v>
      </c>
      <c r="AZ65" s="98" t="s">
        <v>608</v>
      </c>
      <c r="BA65" s="100" t="s">
        <v>608</v>
      </c>
      <c r="BB65" s="100" t="s">
        <v>608</v>
      </c>
      <c r="BC65" s="100" t="s">
        <v>608</v>
      </c>
      <c r="BD65" s="158">
        <v>0.3462609863</v>
      </c>
      <c r="BE65" s="158">
        <v>1.774472504</v>
      </c>
      <c r="BF65" s="162">
        <v>17</v>
      </c>
      <c r="BG65" s="162" t="s">
        <v>608</v>
      </c>
      <c r="BH65" s="162">
        <v>249</v>
      </c>
      <c r="BI65" s="162" t="s">
        <v>608</v>
      </c>
      <c r="BJ65" s="162" t="s">
        <v>608</v>
      </c>
      <c r="BK65" s="97"/>
      <c r="BL65" s="97"/>
      <c r="BM65" s="97"/>
      <c r="BN65" s="97"/>
    </row>
    <row r="66" spans="1:66" ht="12.75">
      <c r="A66" s="79" t="s">
        <v>570</v>
      </c>
      <c r="B66" s="79" t="s">
        <v>316</v>
      </c>
      <c r="C66" s="79" t="s">
        <v>165</v>
      </c>
      <c r="D66" s="99">
        <v>2259</v>
      </c>
      <c r="E66" s="99">
        <v>105</v>
      </c>
      <c r="F66" s="99" t="s">
        <v>375</v>
      </c>
      <c r="G66" s="99" t="s">
        <v>608</v>
      </c>
      <c r="H66" s="99" t="s">
        <v>608</v>
      </c>
      <c r="I66" s="99">
        <v>5</v>
      </c>
      <c r="J66" s="99">
        <v>59</v>
      </c>
      <c r="K66" s="99" t="s">
        <v>608</v>
      </c>
      <c r="L66" s="99">
        <v>338</v>
      </c>
      <c r="M66" s="99">
        <v>25</v>
      </c>
      <c r="N66" s="99">
        <v>15</v>
      </c>
      <c r="O66" s="99">
        <v>6</v>
      </c>
      <c r="P66" s="159">
        <v>6</v>
      </c>
      <c r="Q66" s="99" t="s">
        <v>608</v>
      </c>
      <c r="R66" s="99" t="s">
        <v>608</v>
      </c>
      <c r="S66" s="99" t="s">
        <v>608</v>
      </c>
      <c r="T66" s="99" t="s">
        <v>608</v>
      </c>
      <c r="U66" s="99" t="s">
        <v>608</v>
      </c>
      <c r="V66" s="99" t="s">
        <v>608</v>
      </c>
      <c r="W66" s="99" t="s">
        <v>608</v>
      </c>
      <c r="X66" s="99" t="s">
        <v>608</v>
      </c>
      <c r="Y66" s="99">
        <v>9</v>
      </c>
      <c r="Z66" s="99" t="s">
        <v>608</v>
      </c>
      <c r="AA66" s="99" t="s">
        <v>608</v>
      </c>
      <c r="AB66" s="99" t="s">
        <v>608</v>
      </c>
      <c r="AC66" s="99" t="s">
        <v>608</v>
      </c>
      <c r="AD66" s="98" t="s">
        <v>354</v>
      </c>
      <c r="AE66" s="100">
        <v>0.04648074369189907</v>
      </c>
      <c r="AF66" s="100">
        <v>0.29</v>
      </c>
      <c r="AG66" s="98" t="s">
        <v>608</v>
      </c>
      <c r="AH66" s="98" t="s">
        <v>608</v>
      </c>
      <c r="AI66" s="100">
        <v>0.002</v>
      </c>
      <c r="AJ66" s="100">
        <v>0.567308</v>
      </c>
      <c r="AK66" s="100" t="s">
        <v>608</v>
      </c>
      <c r="AL66" s="100">
        <v>0.662745</v>
      </c>
      <c r="AM66" s="100">
        <v>0.378788</v>
      </c>
      <c r="AN66" s="100">
        <v>0.416667</v>
      </c>
      <c r="AO66" s="98">
        <v>265.6042496679947</v>
      </c>
      <c r="AP66" s="158">
        <v>0.2581479645</v>
      </c>
      <c r="AQ66" s="100" t="s">
        <v>608</v>
      </c>
      <c r="AR66" s="100" t="s">
        <v>608</v>
      </c>
      <c r="AS66" s="98" t="s">
        <v>608</v>
      </c>
      <c r="AT66" s="98" t="s">
        <v>608</v>
      </c>
      <c r="AU66" s="98" t="s">
        <v>608</v>
      </c>
      <c r="AV66" s="98" t="s">
        <v>608</v>
      </c>
      <c r="AW66" s="98" t="s">
        <v>608</v>
      </c>
      <c r="AX66" s="98" t="s">
        <v>608</v>
      </c>
      <c r="AY66" s="98">
        <v>398.40637450199205</v>
      </c>
      <c r="AZ66" s="98" t="s">
        <v>608</v>
      </c>
      <c r="BA66" s="100" t="s">
        <v>608</v>
      </c>
      <c r="BB66" s="100" t="s">
        <v>608</v>
      </c>
      <c r="BC66" s="100" t="s">
        <v>608</v>
      </c>
      <c r="BD66" s="158">
        <v>0.09473575592</v>
      </c>
      <c r="BE66" s="158">
        <v>0.561879425</v>
      </c>
      <c r="BF66" s="162">
        <v>104</v>
      </c>
      <c r="BG66" s="162" t="s">
        <v>608</v>
      </c>
      <c r="BH66" s="162">
        <v>510</v>
      </c>
      <c r="BI66" s="162">
        <v>66</v>
      </c>
      <c r="BJ66" s="162">
        <v>36</v>
      </c>
      <c r="BK66" s="97"/>
      <c r="BL66" s="97"/>
      <c r="BM66" s="97"/>
      <c r="BN66" s="97"/>
    </row>
    <row r="67" spans="1:66" ht="12.75">
      <c r="A67" s="79" t="s">
        <v>546</v>
      </c>
      <c r="B67" s="79" t="s">
        <v>291</v>
      </c>
      <c r="C67" s="79" t="s">
        <v>165</v>
      </c>
      <c r="D67" s="99">
        <v>9105</v>
      </c>
      <c r="E67" s="99">
        <v>1459</v>
      </c>
      <c r="F67" s="99" t="s">
        <v>377</v>
      </c>
      <c r="G67" s="99">
        <v>55</v>
      </c>
      <c r="H67" s="99">
        <v>19</v>
      </c>
      <c r="I67" s="99">
        <v>134</v>
      </c>
      <c r="J67" s="99">
        <v>871</v>
      </c>
      <c r="K67" s="99">
        <v>812</v>
      </c>
      <c r="L67" s="99">
        <v>1845</v>
      </c>
      <c r="M67" s="99">
        <v>452</v>
      </c>
      <c r="N67" s="99">
        <v>277</v>
      </c>
      <c r="O67" s="99">
        <v>154</v>
      </c>
      <c r="P67" s="159">
        <v>154</v>
      </c>
      <c r="Q67" s="99">
        <v>24</v>
      </c>
      <c r="R67" s="99">
        <v>56</v>
      </c>
      <c r="S67" s="99">
        <v>33</v>
      </c>
      <c r="T67" s="99">
        <v>19</v>
      </c>
      <c r="U67" s="99">
        <v>10</v>
      </c>
      <c r="V67" s="99">
        <v>16</v>
      </c>
      <c r="W67" s="99">
        <v>83</v>
      </c>
      <c r="X67" s="99">
        <v>33</v>
      </c>
      <c r="Y67" s="99">
        <v>125</v>
      </c>
      <c r="Z67" s="99">
        <v>61</v>
      </c>
      <c r="AA67" s="99" t="s">
        <v>608</v>
      </c>
      <c r="AB67" s="99" t="s">
        <v>608</v>
      </c>
      <c r="AC67" s="99" t="s">
        <v>608</v>
      </c>
      <c r="AD67" s="98" t="s">
        <v>354</v>
      </c>
      <c r="AE67" s="100">
        <v>0.16024162548050522</v>
      </c>
      <c r="AF67" s="100">
        <v>0.17</v>
      </c>
      <c r="AG67" s="98">
        <v>604.0637012630423</v>
      </c>
      <c r="AH67" s="98">
        <v>208.6765513454146</v>
      </c>
      <c r="AI67" s="100">
        <v>0.015</v>
      </c>
      <c r="AJ67" s="100">
        <v>0.80948</v>
      </c>
      <c r="AK67" s="100">
        <v>0.789116</v>
      </c>
      <c r="AL67" s="100">
        <v>0.822926</v>
      </c>
      <c r="AM67" s="100">
        <v>0.476793</v>
      </c>
      <c r="AN67" s="100">
        <v>0.548515</v>
      </c>
      <c r="AO67" s="98">
        <v>1691.3783635365185</v>
      </c>
      <c r="AP67" s="158">
        <v>0.9239463043</v>
      </c>
      <c r="AQ67" s="100">
        <v>0.15584415584415584</v>
      </c>
      <c r="AR67" s="100">
        <v>0.42857142857142855</v>
      </c>
      <c r="AS67" s="98">
        <v>362.4382207578254</v>
      </c>
      <c r="AT67" s="98">
        <v>208.6765513454146</v>
      </c>
      <c r="AU67" s="98">
        <v>109.82976386600768</v>
      </c>
      <c r="AV67" s="98">
        <v>175.7276221856123</v>
      </c>
      <c r="AW67" s="98">
        <v>911.5870400878638</v>
      </c>
      <c r="AX67" s="98">
        <v>362.4382207578254</v>
      </c>
      <c r="AY67" s="98">
        <v>1372.872048325096</v>
      </c>
      <c r="AZ67" s="98">
        <v>669.9615595826469</v>
      </c>
      <c r="BA67" s="100" t="s">
        <v>608</v>
      </c>
      <c r="BB67" s="100" t="s">
        <v>608</v>
      </c>
      <c r="BC67" s="100" t="s">
        <v>608</v>
      </c>
      <c r="BD67" s="158">
        <v>0.7837826538</v>
      </c>
      <c r="BE67" s="158">
        <v>1.081942749</v>
      </c>
      <c r="BF67" s="162">
        <v>1076</v>
      </c>
      <c r="BG67" s="162">
        <v>1029</v>
      </c>
      <c r="BH67" s="162">
        <v>2242</v>
      </c>
      <c r="BI67" s="162">
        <v>948</v>
      </c>
      <c r="BJ67" s="162">
        <v>505</v>
      </c>
      <c r="BK67" s="97"/>
      <c r="BL67" s="97"/>
      <c r="BM67" s="97"/>
      <c r="BN67" s="97"/>
    </row>
    <row r="68" spans="1:66" ht="12.75">
      <c r="A68" s="79" t="s">
        <v>578</v>
      </c>
      <c r="B68" s="79" t="s">
        <v>325</v>
      </c>
      <c r="C68" s="79" t="s">
        <v>165</v>
      </c>
      <c r="D68" s="99">
        <v>9768</v>
      </c>
      <c r="E68" s="99">
        <v>22</v>
      </c>
      <c r="F68" s="99" t="s">
        <v>374</v>
      </c>
      <c r="G68" s="99" t="s">
        <v>608</v>
      </c>
      <c r="H68" s="99" t="s">
        <v>608</v>
      </c>
      <c r="I68" s="99">
        <v>10</v>
      </c>
      <c r="J68" s="99">
        <v>31</v>
      </c>
      <c r="K68" s="99" t="s">
        <v>608</v>
      </c>
      <c r="L68" s="99">
        <v>606</v>
      </c>
      <c r="M68" s="99">
        <v>18</v>
      </c>
      <c r="N68" s="99">
        <v>12</v>
      </c>
      <c r="O68" s="99">
        <v>30</v>
      </c>
      <c r="P68" s="159">
        <v>30</v>
      </c>
      <c r="Q68" s="99" t="s">
        <v>608</v>
      </c>
      <c r="R68" s="99" t="s">
        <v>608</v>
      </c>
      <c r="S68" s="99" t="s">
        <v>608</v>
      </c>
      <c r="T68" s="99" t="s">
        <v>608</v>
      </c>
      <c r="U68" s="99" t="s">
        <v>608</v>
      </c>
      <c r="V68" s="99">
        <v>7</v>
      </c>
      <c r="W68" s="99">
        <v>8</v>
      </c>
      <c r="X68" s="99">
        <v>11</v>
      </c>
      <c r="Y68" s="99">
        <v>22</v>
      </c>
      <c r="Z68" s="99" t="s">
        <v>608</v>
      </c>
      <c r="AA68" s="99" t="s">
        <v>608</v>
      </c>
      <c r="AB68" s="99" t="s">
        <v>608</v>
      </c>
      <c r="AC68" s="99" t="s">
        <v>608</v>
      </c>
      <c r="AD68" s="98" t="s">
        <v>354</v>
      </c>
      <c r="AE68" s="100">
        <v>0.0022522522522522522</v>
      </c>
      <c r="AF68" s="100">
        <v>0.19</v>
      </c>
      <c r="AG68" s="98" t="s">
        <v>608</v>
      </c>
      <c r="AH68" s="98" t="s">
        <v>608</v>
      </c>
      <c r="AI68" s="100">
        <v>0.001</v>
      </c>
      <c r="AJ68" s="100">
        <v>0.574074</v>
      </c>
      <c r="AK68" s="100" t="s">
        <v>608</v>
      </c>
      <c r="AL68" s="100">
        <v>0.522414</v>
      </c>
      <c r="AM68" s="100">
        <v>0.439024</v>
      </c>
      <c r="AN68" s="100">
        <v>0.521739</v>
      </c>
      <c r="AO68" s="98">
        <v>307.12530712530713</v>
      </c>
      <c r="AP68" s="158">
        <v>0.5452563477000001</v>
      </c>
      <c r="AQ68" s="100" t="s">
        <v>608</v>
      </c>
      <c r="AR68" s="100" t="s">
        <v>608</v>
      </c>
      <c r="AS68" s="98" t="s">
        <v>608</v>
      </c>
      <c r="AT68" s="98" t="s">
        <v>608</v>
      </c>
      <c r="AU68" s="98" t="s">
        <v>608</v>
      </c>
      <c r="AV68" s="98">
        <v>71.66257166257166</v>
      </c>
      <c r="AW68" s="98">
        <v>81.9000819000819</v>
      </c>
      <c r="AX68" s="98">
        <v>112.61261261261261</v>
      </c>
      <c r="AY68" s="98">
        <v>225.22522522522522</v>
      </c>
      <c r="AZ68" s="98" t="s">
        <v>608</v>
      </c>
      <c r="BA68" s="100" t="s">
        <v>608</v>
      </c>
      <c r="BB68" s="100" t="s">
        <v>608</v>
      </c>
      <c r="BC68" s="100" t="s">
        <v>608</v>
      </c>
      <c r="BD68" s="158">
        <v>0.3678821564</v>
      </c>
      <c r="BE68" s="158">
        <v>0.7783873749</v>
      </c>
      <c r="BF68" s="162">
        <v>54</v>
      </c>
      <c r="BG68" s="162" t="s">
        <v>608</v>
      </c>
      <c r="BH68" s="162">
        <v>1160</v>
      </c>
      <c r="BI68" s="162">
        <v>41</v>
      </c>
      <c r="BJ68" s="162">
        <v>23</v>
      </c>
      <c r="BK68" s="97"/>
      <c r="BL68" s="97"/>
      <c r="BM68" s="97"/>
      <c r="BN68" s="97"/>
    </row>
    <row r="69" spans="1:66" ht="12.75">
      <c r="A69" s="79" t="s">
        <v>600</v>
      </c>
      <c r="B69" s="79" t="s">
        <v>353</v>
      </c>
      <c r="C69" s="79" t="s">
        <v>165</v>
      </c>
      <c r="D69" s="99">
        <v>2282</v>
      </c>
      <c r="E69" s="99">
        <v>151</v>
      </c>
      <c r="F69" s="99" t="s">
        <v>375</v>
      </c>
      <c r="G69" s="99" t="s">
        <v>608</v>
      </c>
      <c r="H69" s="99" t="s">
        <v>608</v>
      </c>
      <c r="I69" s="99">
        <v>6</v>
      </c>
      <c r="J69" s="99">
        <v>45</v>
      </c>
      <c r="K69" s="99" t="s">
        <v>608</v>
      </c>
      <c r="L69" s="99">
        <v>384</v>
      </c>
      <c r="M69" s="99">
        <v>21</v>
      </c>
      <c r="N69" s="99">
        <v>12</v>
      </c>
      <c r="O69" s="99">
        <v>27</v>
      </c>
      <c r="P69" s="159">
        <v>27</v>
      </c>
      <c r="Q69" s="99" t="s">
        <v>608</v>
      </c>
      <c r="R69" s="99" t="s">
        <v>608</v>
      </c>
      <c r="S69" s="99" t="s">
        <v>608</v>
      </c>
      <c r="T69" s="99">
        <v>6</v>
      </c>
      <c r="U69" s="99" t="s">
        <v>608</v>
      </c>
      <c r="V69" s="99">
        <v>8</v>
      </c>
      <c r="W69" s="99">
        <v>6</v>
      </c>
      <c r="X69" s="99" t="s">
        <v>608</v>
      </c>
      <c r="Y69" s="99" t="s">
        <v>608</v>
      </c>
      <c r="Z69" s="99" t="s">
        <v>608</v>
      </c>
      <c r="AA69" s="99" t="s">
        <v>608</v>
      </c>
      <c r="AB69" s="99" t="s">
        <v>608</v>
      </c>
      <c r="AC69" s="99" t="s">
        <v>608</v>
      </c>
      <c r="AD69" s="98" t="s">
        <v>354</v>
      </c>
      <c r="AE69" s="100">
        <v>0.06617002629272568</v>
      </c>
      <c r="AF69" s="100">
        <v>0.26</v>
      </c>
      <c r="AG69" s="98" t="s">
        <v>608</v>
      </c>
      <c r="AH69" s="98" t="s">
        <v>608</v>
      </c>
      <c r="AI69" s="100">
        <v>0.003</v>
      </c>
      <c r="AJ69" s="100">
        <v>0.46875</v>
      </c>
      <c r="AK69" s="100" t="s">
        <v>608</v>
      </c>
      <c r="AL69" s="100">
        <v>0.748538</v>
      </c>
      <c r="AM69" s="100">
        <v>0.253012</v>
      </c>
      <c r="AN69" s="100">
        <v>0.324324</v>
      </c>
      <c r="AO69" s="98">
        <v>1183.1726555652936</v>
      </c>
      <c r="AP69" s="158">
        <v>1.093817902</v>
      </c>
      <c r="AQ69" s="100" t="s">
        <v>608</v>
      </c>
      <c r="AR69" s="100" t="s">
        <v>608</v>
      </c>
      <c r="AS69" s="98" t="s">
        <v>608</v>
      </c>
      <c r="AT69" s="98">
        <v>262.9272567922875</v>
      </c>
      <c r="AU69" s="98" t="s">
        <v>608</v>
      </c>
      <c r="AV69" s="98">
        <v>350.56967572304995</v>
      </c>
      <c r="AW69" s="98">
        <v>262.9272567922875</v>
      </c>
      <c r="AX69" s="98" t="s">
        <v>608</v>
      </c>
      <c r="AY69" s="98" t="s">
        <v>608</v>
      </c>
      <c r="AZ69" s="98" t="s">
        <v>608</v>
      </c>
      <c r="BA69" s="100" t="s">
        <v>608</v>
      </c>
      <c r="BB69" s="100" t="s">
        <v>608</v>
      </c>
      <c r="BC69" s="100" t="s">
        <v>608</v>
      </c>
      <c r="BD69" s="158">
        <v>0.720832901</v>
      </c>
      <c r="BE69" s="158">
        <v>1.591447601</v>
      </c>
      <c r="BF69" s="162">
        <v>96</v>
      </c>
      <c r="BG69" s="162" t="s">
        <v>608</v>
      </c>
      <c r="BH69" s="162">
        <v>513</v>
      </c>
      <c r="BI69" s="162">
        <v>83</v>
      </c>
      <c r="BJ69" s="162">
        <v>37</v>
      </c>
      <c r="BK69" s="97"/>
      <c r="BL69" s="97"/>
      <c r="BM69" s="97"/>
      <c r="BN69" s="97"/>
    </row>
    <row r="70" spans="1:66" ht="12.75">
      <c r="A70" s="79" t="s">
        <v>548</v>
      </c>
      <c r="B70" s="79" t="s">
        <v>293</v>
      </c>
      <c r="C70" s="79" t="s">
        <v>165</v>
      </c>
      <c r="D70" s="99">
        <v>9144</v>
      </c>
      <c r="E70" s="99">
        <v>1440</v>
      </c>
      <c r="F70" s="99" t="s">
        <v>374</v>
      </c>
      <c r="G70" s="99">
        <v>45</v>
      </c>
      <c r="H70" s="99">
        <v>29</v>
      </c>
      <c r="I70" s="99">
        <v>96</v>
      </c>
      <c r="J70" s="99">
        <v>874</v>
      </c>
      <c r="K70" s="99">
        <v>843</v>
      </c>
      <c r="L70" s="99">
        <v>1831</v>
      </c>
      <c r="M70" s="99">
        <v>493</v>
      </c>
      <c r="N70" s="99">
        <v>317</v>
      </c>
      <c r="O70" s="99">
        <v>93</v>
      </c>
      <c r="P70" s="159">
        <v>93</v>
      </c>
      <c r="Q70" s="99">
        <v>13</v>
      </c>
      <c r="R70" s="99">
        <v>49</v>
      </c>
      <c r="S70" s="99">
        <v>23</v>
      </c>
      <c r="T70" s="99">
        <v>13</v>
      </c>
      <c r="U70" s="99">
        <v>12</v>
      </c>
      <c r="V70" s="99">
        <v>14</v>
      </c>
      <c r="W70" s="99">
        <v>65</v>
      </c>
      <c r="X70" s="99">
        <v>24</v>
      </c>
      <c r="Y70" s="99">
        <v>93</v>
      </c>
      <c r="Z70" s="99">
        <v>55</v>
      </c>
      <c r="AA70" s="99" t="s">
        <v>608</v>
      </c>
      <c r="AB70" s="99" t="s">
        <v>608</v>
      </c>
      <c r="AC70" s="99" t="s">
        <v>608</v>
      </c>
      <c r="AD70" s="98" t="s">
        <v>354</v>
      </c>
      <c r="AE70" s="100">
        <v>0.15748031496062992</v>
      </c>
      <c r="AF70" s="100">
        <v>0.18</v>
      </c>
      <c r="AG70" s="98">
        <v>492.12598425196853</v>
      </c>
      <c r="AH70" s="98">
        <v>317.1478565179353</v>
      </c>
      <c r="AI70" s="100">
        <v>0.01</v>
      </c>
      <c r="AJ70" s="100">
        <v>0.750215</v>
      </c>
      <c r="AK70" s="100">
        <v>0.756732</v>
      </c>
      <c r="AL70" s="100">
        <v>0.818873</v>
      </c>
      <c r="AM70" s="100">
        <v>0.448998</v>
      </c>
      <c r="AN70" s="100">
        <v>0.53367</v>
      </c>
      <c r="AO70" s="98">
        <v>1017.0603674540682</v>
      </c>
      <c r="AP70" s="158">
        <v>0.5555548095999999</v>
      </c>
      <c r="AQ70" s="100">
        <v>0.13978494623655913</v>
      </c>
      <c r="AR70" s="100">
        <v>0.2653061224489796</v>
      </c>
      <c r="AS70" s="98">
        <v>251.53105861767278</v>
      </c>
      <c r="AT70" s="98">
        <v>142.169728783902</v>
      </c>
      <c r="AU70" s="98">
        <v>131.23359580052494</v>
      </c>
      <c r="AV70" s="98">
        <v>153.1058617672791</v>
      </c>
      <c r="AW70" s="98">
        <v>710.8486439195101</v>
      </c>
      <c r="AX70" s="98">
        <v>262.4671916010499</v>
      </c>
      <c r="AY70" s="98">
        <v>1017.0603674540682</v>
      </c>
      <c r="AZ70" s="98">
        <v>601.4873140857393</v>
      </c>
      <c r="BA70" s="101" t="s">
        <v>608</v>
      </c>
      <c r="BB70" s="101" t="s">
        <v>608</v>
      </c>
      <c r="BC70" s="101" t="s">
        <v>608</v>
      </c>
      <c r="BD70" s="158">
        <v>0.44840446470000006</v>
      </c>
      <c r="BE70" s="158">
        <v>0.6805921936</v>
      </c>
      <c r="BF70" s="162">
        <v>1165</v>
      </c>
      <c r="BG70" s="162">
        <v>1114</v>
      </c>
      <c r="BH70" s="162">
        <v>2236</v>
      </c>
      <c r="BI70" s="162">
        <v>1098</v>
      </c>
      <c r="BJ70" s="162">
        <v>594</v>
      </c>
      <c r="BK70" s="97"/>
      <c r="BL70" s="97"/>
      <c r="BM70" s="97"/>
      <c r="BN70" s="97"/>
    </row>
    <row r="71" spans="1:66" ht="12.75">
      <c r="A71" s="79" t="s">
        <v>574</v>
      </c>
      <c r="B71" s="79" t="s">
        <v>320</v>
      </c>
      <c r="C71" s="79" t="s">
        <v>165</v>
      </c>
      <c r="D71" s="99">
        <v>6093</v>
      </c>
      <c r="E71" s="99">
        <v>348</v>
      </c>
      <c r="F71" s="99" t="s">
        <v>375</v>
      </c>
      <c r="G71" s="99" t="s">
        <v>608</v>
      </c>
      <c r="H71" s="99">
        <v>6</v>
      </c>
      <c r="I71" s="99">
        <v>15</v>
      </c>
      <c r="J71" s="99">
        <v>178</v>
      </c>
      <c r="K71" s="99" t="s">
        <v>608</v>
      </c>
      <c r="L71" s="99">
        <v>680</v>
      </c>
      <c r="M71" s="99">
        <v>37</v>
      </c>
      <c r="N71" s="99">
        <v>24</v>
      </c>
      <c r="O71" s="99">
        <v>24</v>
      </c>
      <c r="P71" s="159">
        <v>24</v>
      </c>
      <c r="Q71" s="99" t="s">
        <v>608</v>
      </c>
      <c r="R71" s="99" t="s">
        <v>608</v>
      </c>
      <c r="S71" s="99" t="s">
        <v>608</v>
      </c>
      <c r="T71" s="99" t="s">
        <v>608</v>
      </c>
      <c r="U71" s="99" t="s">
        <v>608</v>
      </c>
      <c r="V71" s="99" t="s">
        <v>608</v>
      </c>
      <c r="W71" s="99">
        <v>16</v>
      </c>
      <c r="X71" s="99">
        <v>19</v>
      </c>
      <c r="Y71" s="99">
        <v>35</v>
      </c>
      <c r="Z71" s="99">
        <v>12</v>
      </c>
      <c r="AA71" s="99" t="s">
        <v>608</v>
      </c>
      <c r="AB71" s="99" t="s">
        <v>608</v>
      </c>
      <c r="AC71" s="99" t="s">
        <v>608</v>
      </c>
      <c r="AD71" s="98" t="s">
        <v>354</v>
      </c>
      <c r="AE71" s="100">
        <v>0.05711472181191531</v>
      </c>
      <c r="AF71" s="100">
        <v>0.25</v>
      </c>
      <c r="AG71" s="98" t="s">
        <v>608</v>
      </c>
      <c r="AH71" s="98">
        <v>98.47365829640572</v>
      </c>
      <c r="AI71" s="100">
        <v>0.002</v>
      </c>
      <c r="AJ71" s="100">
        <v>0.539394</v>
      </c>
      <c r="AK71" s="100" t="s">
        <v>608</v>
      </c>
      <c r="AL71" s="100">
        <v>0.510128</v>
      </c>
      <c r="AM71" s="100">
        <v>0.171296</v>
      </c>
      <c r="AN71" s="100">
        <v>0.190476</v>
      </c>
      <c r="AO71" s="98">
        <v>393.89463318562287</v>
      </c>
      <c r="AP71" s="158">
        <v>0.37496318819999996</v>
      </c>
      <c r="AQ71" s="100" t="s">
        <v>608</v>
      </c>
      <c r="AR71" s="100" t="s">
        <v>608</v>
      </c>
      <c r="AS71" s="98" t="s">
        <v>608</v>
      </c>
      <c r="AT71" s="98" t="s">
        <v>608</v>
      </c>
      <c r="AU71" s="98" t="s">
        <v>608</v>
      </c>
      <c r="AV71" s="98" t="s">
        <v>608</v>
      </c>
      <c r="AW71" s="98">
        <v>262.59642212374854</v>
      </c>
      <c r="AX71" s="98">
        <v>311.83325127195144</v>
      </c>
      <c r="AY71" s="98">
        <v>574.4296733957</v>
      </c>
      <c r="AZ71" s="98">
        <v>196.94731659281143</v>
      </c>
      <c r="BA71" s="100" t="s">
        <v>608</v>
      </c>
      <c r="BB71" s="100" t="s">
        <v>608</v>
      </c>
      <c r="BC71" s="100" t="s">
        <v>608</v>
      </c>
      <c r="BD71" s="158">
        <v>0.2402460098</v>
      </c>
      <c r="BE71" s="158">
        <v>0.557915535</v>
      </c>
      <c r="BF71" s="162">
        <v>330</v>
      </c>
      <c r="BG71" s="162" t="s">
        <v>608</v>
      </c>
      <c r="BH71" s="162">
        <v>1333</v>
      </c>
      <c r="BI71" s="162">
        <v>216</v>
      </c>
      <c r="BJ71" s="162">
        <v>126</v>
      </c>
      <c r="BK71" s="97"/>
      <c r="BL71" s="97"/>
      <c r="BM71" s="97"/>
      <c r="BN71" s="97"/>
    </row>
    <row r="72" spans="1:66" ht="12.75">
      <c r="A72" s="79" t="s">
        <v>590</v>
      </c>
      <c r="B72" s="79" t="s">
        <v>340</v>
      </c>
      <c r="C72" s="79" t="s">
        <v>165</v>
      </c>
      <c r="D72" s="99">
        <v>3792</v>
      </c>
      <c r="E72" s="99">
        <v>746</v>
      </c>
      <c r="F72" s="99" t="s">
        <v>377</v>
      </c>
      <c r="G72" s="99">
        <v>12</v>
      </c>
      <c r="H72" s="99">
        <v>9</v>
      </c>
      <c r="I72" s="99">
        <v>69</v>
      </c>
      <c r="J72" s="99">
        <v>325</v>
      </c>
      <c r="K72" s="99">
        <v>318</v>
      </c>
      <c r="L72" s="99">
        <v>744</v>
      </c>
      <c r="M72" s="99">
        <v>240</v>
      </c>
      <c r="N72" s="99">
        <v>128</v>
      </c>
      <c r="O72" s="99">
        <v>25</v>
      </c>
      <c r="P72" s="159">
        <v>25</v>
      </c>
      <c r="Q72" s="99">
        <v>7</v>
      </c>
      <c r="R72" s="99">
        <v>19</v>
      </c>
      <c r="S72" s="99">
        <v>8</v>
      </c>
      <c r="T72" s="99" t="s">
        <v>608</v>
      </c>
      <c r="U72" s="99" t="s">
        <v>608</v>
      </c>
      <c r="V72" s="99" t="s">
        <v>608</v>
      </c>
      <c r="W72" s="99">
        <v>13</v>
      </c>
      <c r="X72" s="99">
        <v>24</v>
      </c>
      <c r="Y72" s="99">
        <v>49</v>
      </c>
      <c r="Z72" s="99">
        <v>33</v>
      </c>
      <c r="AA72" s="99" t="s">
        <v>608</v>
      </c>
      <c r="AB72" s="99" t="s">
        <v>608</v>
      </c>
      <c r="AC72" s="99" t="s">
        <v>608</v>
      </c>
      <c r="AD72" s="98" t="s">
        <v>354</v>
      </c>
      <c r="AE72" s="100">
        <v>0.19672995780590719</v>
      </c>
      <c r="AF72" s="100">
        <v>0.13</v>
      </c>
      <c r="AG72" s="98">
        <v>316.45569620253167</v>
      </c>
      <c r="AH72" s="98">
        <v>237.34177215189874</v>
      </c>
      <c r="AI72" s="100">
        <v>0.018000000000000002</v>
      </c>
      <c r="AJ72" s="100">
        <v>0.792683</v>
      </c>
      <c r="AK72" s="100">
        <v>0.805063</v>
      </c>
      <c r="AL72" s="100">
        <v>0.795722</v>
      </c>
      <c r="AM72" s="100">
        <v>0.613811</v>
      </c>
      <c r="AN72" s="100">
        <v>0.64</v>
      </c>
      <c r="AO72" s="98">
        <v>659.282700421941</v>
      </c>
      <c r="AP72" s="158">
        <v>0.3311253738</v>
      </c>
      <c r="AQ72" s="100">
        <v>0.28</v>
      </c>
      <c r="AR72" s="100">
        <v>0.3684210526315789</v>
      </c>
      <c r="AS72" s="98">
        <v>210.9704641350211</v>
      </c>
      <c r="AT72" s="98" t="s">
        <v>608</v>
      </c>
      <c r="AU72" s="98" t="s">
        <v>608</v>
      </c>
      <c r="AV72" s="98" t="s">
        <v>608</v>
      </c>
      <c r="AW72" s="98">
        <v>342.8270042194093</v>
      </c>
      <c r="AX72" s="98">
        <v>632.9113924050633</v>
      </c>
      <c r="AY72" s="98">
        <v>1292.1940928270042</v>
      </c>
      <c r="AZ72" s="98">
        <v>870.253164556962</v>
      </c>
      <c r="BA72" s="100" t="s">
        <v>608</v>
      </c>
      <c r="BB72" s="100" t="s">
        <v>608</v>
      </c>
      <c r="BC72" s="100" t="s">
        <v>608</v>
      </c>
      <c r="BD72" s="158">
        <v>0.21428688050000003</v>
      </c>
      <c r="BE72" s="158">
        <v>0.4888063431</v>
      </c>
      <c r="BF72" s="162">
        <v>410</v>
      </c>
      <c r="BG72" s="162">
        <v>395</v>
      </c>
      <c r="BH72" s="162">
        <v>935</v>
      </c>
      <c r="BI72" s="162">
        <v>391</v>
      </c>
      <c r="BJ72" s="162">
        <v>200</v>
      </c>
      <c r="BK72" s="97"/>
      <c r="BL72" s="97"/>
      <c r="BM72" s="97"/>
      <c r="BN72" s="97"/>
    </row>
    <row r="73" spans="1:66" ht="12.75">
      <c r="A73" s="79" t="s">
        <v>583</v>
      </c>
      <c r="B73" s="79" t="s">
        <v>332</v>
      </c>
      <c r="C73" s="79" t="s">
        <v>165</v>
      </c>
      <c r="D73" s="99">
        <v>2173</v>
      </c>
      <c r="E73" s="99">
        <v>409</v>
      </c>
      <c r="F73" s="99" t="s">
        <v>374</v>
      </c>
      <c r="G73" s="99" t="s">
        <v>608</v>
      </c>
      <c r="H73" s="99">
        <v>7</v>
      </c>
      <c r="I73" s="99">
        <v>21</v>
      </c>
      <c r="J73" s="99">
        <v>199</v>
      </c>
      <c r="K73" s="99">
        <v>21</v>
      </c>
      <c r="L73" s="99">
        <v>393</v>
      </c>
      <c r="M73" s="99">
        <v>115</v>
      </c>
      <c r="N73" s="99">
        <v>75</v>
      </c>
      <c r="O73" s="99">
        <v>16</v>
      </c>
      <c r="P73" s="159">
        <v>16</v>
      </c>
      <c r="Q73" s="99" t="s">
        <v>608</v>
      </c>
      <c r="R73" s="99">
        <v>7</v>
      </c>
      <c r="S73" s="99" t="s">
        <v>608</v>
      </c>
      <c r="T73" s="99" t="s">
        <v>608</v>
      </c>
      <c r="U73" s="99" t="s">
        <v>608</v>
      </c>
      <c r="V73" s="99" t="s">
        <v>608</v>
      </c>
      <c r="W73" s="99">
        <v>13</v>
      </c>
      <c r="X73" s="99">
        <v>6</v>
      </c>
      <c r="Y73" s="99">
        <v>17</v>
      </c>
      <c r="Z73" s="99">
        <v>18</v>
      </c>
      <c r="AA73" s="99" t="s">
        <v>608</v>
      </c>
      <c r="AB73" s="99" t="s">
        <v>608</v>
      </c>
      <c r="AC73" s="99" t="s">
        <v>608</v>
      </c>
      <c r="AD73" s="98" t="s">
        <v>354</v>
      </c>
      <c r="AE73" s="100">
        <v>0.18821905200184078</v>
      </c>
      <c r="AF73" s="100">
        <v>0.18</v>
      </c>
      <c r="AG73" s="98" t="s">
        <v>608</v>
      </c>
      <c r="AH73" s="98">
        <v>322.13529682466634</v>
      </c>
      <c r="AI73" s="100">
        <v>0.01</v>
      </c>
      <c r="AJ73" s="100">
        <v>0.718412</v>
      </c>
      <c r="AK73" s="100">
        <v>0.677419</v>
      </c>
      <c r="AL73" s="100">
        <v>0.787575</v>
      </c>
      <c r="AM73" s="100">
        <v>0.40493</v>
      </c>
      <c r="AN73" s="100">
        <v>0.513699</v>
      </c>
      <c r="AO73" s="98">
        <v>736.3092498849517</v>
      </c>
      <c r="AP73" s="158">
        <v>0.369043541</v>
      </c>
      <c r="AQ73" s="100" t="s">
        <v>608</v>
      </c>
      <c r="AR73" s="100" t="s">
        <v>608</v>
      </c>
      <c r="AS73" s="98" t="s">
        <v>608</v>
      </c>
      <c r="AT73" s="98" t="s">
        <v>608</v>
      </c>
      <c r="AU73" s="98" t="s">
        <v>608</v>
      </c>
      <c r="AV73" s="98" t="s">
        <v>608</v>
      </c>
      <c r="AW73" s="98">
        <v>598.2512655315232</v>
      </c>
      <c r="AX73" s="98">
        <v>276.1159687068569</v>
      </c>
      <c r="AY73" s="98">
        <v>782.3285780027611</v>
      </c>
      <c r="AZ73" s="98">
        <v>828.3479061205707</v>
      </c>
      <c r="BA73" s="100" t="s">
        <v>608</v>
      </c>
      <c r="BB73" s="100" t="s">
        <v>608</v>
      </c>
      <c r="BC73" s="100" t="s">
        <v>608</v>
      </c>
      <c r="BD73" s="158">
        <v>0.21094026570000002</v>
      </c>
      <c r="BE73" s="158">
        <v>0.5993035507</v>
      </c>
      <c r="BF73" s="162">
        <v>277</v>
      </c>
      <c r="BG73" s="162">
        <v>31</v>
      </c>
      <c r="BH73" s="162">
        <v>499</v>
      </c>
      <c r="BI73" s="162">
        <v>284</v>
      </c>
      <c r="BJ73" s="162">
        <v>146</v>
      </c>
      <c r="BK73" s="97"/>
      <c r="BL73" s="97"/>
      <c r="BM73" s="97"/>
      <c r="BN73" s="97"/>
    </row>
    <row r="74" spans="1:66" ht="12.75">
      <c r="A74" s="79" t="s">
        <v>571</v>
      </c>
      <c r="B74" s="79" t="s">
        <v>317</v>
      </c>
      <c r="C74" s="79" t="s">
        <v>165</v>
      </c>
      <c r="D74" s="99">
        <v>3054</v>
      </c>
      <c r="E74" s="99">
        <v>377</v>
      </c>
      <c r="F74" s="99" t="s">
        <v>375</v>
      </c>
      <c r="G74" s="99">
        <v>15</v>
      </c>
      <c r="H74" s="99" t="s">
        <v>608</v>
      </c>
      <c r="I74" s="99">
        <v>23</v>
      </c>
      <c r="J74" s="99">
        <v>169</v>
      </c>
      <c r="K74" s="99">
        <v>171</v>
      </c>
      <c r="L74" s="99">
        <v>524</v>
      </c>
      <c r="M74" s="99">
        <v>100</v>
      </c>
      <c r="N74" s="99">
        <v>47</v>
      </c>
      <c r="O74" s="99">
        <v>35</v>
      </c>
      <c r="P74" s="159">
        <v>35</v>
      </c>
      <c r="Q74" s="99" t="s">
        <v>608</v>
      </c>
      <c r="R74" s="99">
        <v>8</v>
      </c>
      <c r="S74" s="99">
        <v>16</v>
      </c>
      <c r="T74" s="99" t="s">
        <v>608</v>
      </c>
      <c r="U74" s="99" t="s">
        <v>608</v>
      </c>
      <c r="V74" s="99">
        <v>7</v>
      </c>
      <c r="W74" s="99">
        <v>11</v>
      </c>
      <c r="X74" s="99">
        <v>17</v>
      </c>
      <c r="Y74" s="99">
        <v>34</v>
      </c>
      <c r="Z74" s="99">
        <v>15</v>
      </c>
      <c r="AA74" s="99" t="s">
        <v>608</v>
      </c>
      <c r="AB74" s="99" t="s">
        <v>608</v>
      </c>
      <c r="AC74" s="99" t="s">
        <v>608</v>
      </c>
      <c r="AD74" s="98" t="s">
        <v>354</v>
      </c>
      <c r="AE74" s="100">
        <v>0.12344466273739359</v>
      </c>
      <c r="AF74" s="100">
        <v>0.29</v>
      </c>
      <c r="AG74" s="98">
        <v>491.1591355599214</v>
      </c>
      <c r="AH74" s="98" t="s">
        <v>608</v>
      </c>
      <c r="AI74" s="100">
        <v>0.008</v>
      </c>
      <c r="AJ74" s="100">
        <v>0.603571</v>
      </c>
      <c r="AK74" s="100">
        <v>0.626374</v>
      </c>
      <c r="AL74" s="100">
        <v>0.731844</v>
      </c>
      <c r="AM74" s="100">
        <v>0.406504</v>
      </c>
      <c r="AN74" s="100">
        <v>0.401709</v>
      </c>
      <c r="AO74" s="98">
        <v>1146.03798297315</v>
      </c>
      <c r="AP74" s="158">
        <v>0.7309595489999999</v>
      </c>
      <c r="AQ74" s="100" t="s">
        <v>608</v>
      </c>
      <c r="AR74" s="100" t="s">
        <v>608</v>
      </c>
      <c r="AS74" s="98">
        <v>523.9030779305829</v>
      </c>
      <c r="AT74" s="98" t="s">
        <v>608</v>
      </c>
      <c r="AU74" s="98" t="s">
        <v>608</v>
      </c>
      <c r="AV74" s="98">
        <v>229.20759659463</v>
      </c>
      <c r="AW74" s="98">
        <v>360.1833660772757</v>
      </c>
      <c r="AX74" s="98">
        <v>556.6470203012443</v>
      </c>
      <c r="AY74" s="98">
        <v>1113.2940406024886</v>
      </c>
      <c r="AZ74" s="98">
        <v>491.1591355599214</v>
      </c>
      <c r="BA74" s="100" t="s">
        <v>608</v>
      </c>
      <c r="BB74" s="100" t="s">
        <v>608</v>
      </c>
      <c r="BC74" s="100" t="s">
        <v>608</v>
      </c>
      <c r="BD74" s="158">
        <v>0.5091401291</v>
      </c>
      <c r="BE74" s="158">
        <v>1.01658783</v>
      </c>
      <c r="BF74" s="162">
        <v>280</v>
      </c>
      <c r="BG74" s="162">
        <v>273</v>
      </c>
      <c r="BH74" s="162">
        <v>716</v>
      </c>
      <c r="BI74" s="162">
        <v>246</v>
      </c>
      <c r="BJ74" s="162">
        <v>117</v>
      </c>
      <c r="BK74" s="97"/>
      <c r="BL74" s="97"/>
      <c r="BM74" s="97"/>
      <c r="BN74" s="97"/>
    </row>
    <row r="75" spans="1:66" ht="12.75">
      <c r="A75" s="79" t="s">
        <v>166</v>
      </c>
      <c r="B75" s="94" t="s">
        <v>165</v>
      </c>
      <c r="C75" s="94" t="s">
        <v>7</v>
      </c>
      <c r="D75" s="99">
        <v>419928</v>
      </c>
      <c r="E75" s="99">
        <v>62424</v>
      </c>
      <c r="F75" s="99">
        <v>69613.63</v>
      </c>
      <c r="G75" s="99">
        <v>1775</v>
      </c>
      <c r="H75" s="99">
        <v>931</v>
      </c>
      <c r="I75" s="99">
        <v>5692</v>
      </c>
      <c r="J75" s="99">
        <v>34653</v>
      </c>
      <c r="K75" s="99">
        <v>8541</v>
      </c>
      <c r="L75" s="99">
        <v>79462</v>
      </c>
      <c r="M75" s="99">
        <v>23501</v>
      </c>
      <c r="N75" s="99">
        <v>12419</v>
      </c>
      <c r="O75" s="99">
        <v>6149</v>
      </c>
      <c r="P75" s="99">
        <v>6149</v>
      </c>
      <c r="Q75" s="99">
        <v>814</v>
      </c>
      <c r="R75" s="99">
        <v>1756</v>
      </c>
      <c r="S75" s="99">
        <v>1135</v>
      </c>
      <c r="T75" s="99">
        <v>971</v>
      </c>
      <c r="U75" s="99">
        <v>324</v>
      </c>
      <c r="V75" s="99">
        <v>1000</v>
      </c>
      <c r="W75" s="99">
        <v>2240</v>
      </c>
      <c r="X75" s="99">
        <v>1650</v>
      </c>
      <c r="Y75" s="99">
        <v>4508</v>
      </c>
      <c r="Z75" s="99">
        <v>2310</v>
      </c>
      <c r="AA75" s="99">
        <v>0</v>
      </c>
      <c r="AB75" s="99">
        <v>0</v>
      </c>
      <c r="AC75" s="99">
        <v>0</v>
      </c>
      <c r="AD75" s="98">
        <v>0</v>
      </c>
      <c r="AE75" s="101">
        <v>0.14865405498085385</v>
      </c>
      <c r="AF75" s="101">
        <v>0.16577515669352844</v>
      </c>
      <c r="AG75" s="98">
        <v>422.691509020594</v>
      </c>
      <c r="AH75" s="98">
        <v>221.7046731820693</v>
      </c>
      <c r="AI75" s="101">
        <v>0.013554704616029414</v>
      </c>
      <c r="AJ75" s="101">
        <v>0.727866579848348</v>
      </c>
      <c r="AK75" s="101">
        <v>0.7141901496780667</v>
      </c>
      <c r="AL75" s="101">
        <v>0.7825376191601671</v>
      </c>
      <c r="AM75" s="101">
        <v>0.5416224936621341</v>
      </c>
      <c r="AN75" s="101">
        <v>0.5740235729142593</v>
      </c>
      <c r="AO75" s="98">
        <v>1464.2986416719057</v>
      </c>
      <c r="AP75" s="98">
        <v>0</v>
      </c>
      <c r="AQ75" s="101">
        <v>0.13237924865831843</v>
      </c>
      <c r="AR75" s="101">
        <v>0.4635535307517084</v>
      </c>
      <c r="AS75" s="98">
        <v>270.2844297117601</v>
      </c>
      <c r="AT75" s="98">
        <v>231.23011563887144</v>
      </c>
      <c r="AU75" s="98">
        <v>77.15608390009716</v>
      </c>
      <c r="AV75" s="98">
        <v>238.13606142005295</v>
      </c>
      <c r="AW75" s="98">
        <v>533.4247775809187</v>
      </c>
      <c r="AX75" s="98">
        <v>392.9245013430874</v>
      </c>
      <c r="AY75" s="98">
        <v>1073.5173648815987</v>
      </c>
      <c r="AZ75" s="98">
        <v>550.0943018803223</v>
      </c>
      <c r="BA75" s="101">
        <v>0</v>
      </c>
      <c r="BB75" s="101">
        <v>0</v>
      </c>
      <c r="BC75" s="101">
        <v>0</v>
      </c>
      <c r="BD75" s="98">
        <v>0</v>
      </c>
      <c r="BE75" s="98">
        <v>0</v>
      </c>
      <c r="BF75" s="99">
        <v>47609</v>
      </c>
      <c r="BG75" s="99">
        <v>11959</v>
      </c>
      <c r="BH75" s="99">
        <v>101544</v>
      </c>
      <c r="BI75" s="99">
        <v>43390</v>
      </c>
      <c r="BJ75" s="99">
        <v>21635</v>
      </c>
      <c r="BK75" s="97"/>
      <c r="BL75" s="97"/>
      <c r="BM75" s="97"/>
      <c r="BN75" s="97"/>
    </row>
    <row r="76" spans="1:66" ht="12.75">
      <c r="A76" s="79" t="s">
        <v>24</v>
      </c>
      <c r="B76" s="94" t="s">
        <v>7</v>
      </c>
      <c r="C76" s="94" t="s">
        <v>7</v>
      </c>
      <c r="D76" s="99">
        <v>54615830</v>
      </c>
      <c r="E76" s="99">
        <v>8737890</v>
      </c>
      <c r="F76" s="99">
        <v>8198344.169999988</v>
      </c>
      <c r="G76" s="99">
        <v>243379</v>
      </c>
      <c r="H76" s="99">
        <v>127868</v>
      </c>
      <c r="I76" s="99">
        <v>870616</v>
      </c>
      <c r="J76" s="99">
        <v>4592627</v>
      </c>
      <c r="K76" s="99">
        <v>1679592</v>
      </c>
      <c r="L76" s="99">
        <v>10150944</v>
      </c>
      <c r="M76" s="99">
        <v>2959539</v>
      </c>
      <c r="N76" s="99">
        <v>1629320</v>
      </c>
      <c r="O76" s="99">
        <v>989730</v>
      </c>
      <c r="P76" s="99">
        <v>989730</v>
      </c>
      <c r="Q76" s="99">
        <v>108072</v>
      </c>
      <c r="R76" s="99">
        <v>238330</v>
      </c>
      <c r="S76" s="99">
        <v>206300</v>
      </c>
      <c r="T76" s="99">
        <v>154264</v>
      </c>
      <c r="U76" s="99">
        <v>38486</v>
      </c>
      <c r="V76" s="99">
        <v>176535</v>
      </c>
      <c r="W76" s="99">
        <v>307276</v>
      </c>
      <c r="X76" s="99">
        <v>221506</v>
      </c>
      <c r="Y76" s="99">
        <v>578574</v>
      </c>
      <c r="Z76" s="99">
        <v>318377</v>
      </c>
      <c r="AA76" s="99">
        <v>0</v>
      </c>
      <c r="AB76" s="99">
        <v>0</v>
      </c>
      <c r="AC76" s="99">
        <v>0</v>
      </c>
      <c r="AD76" s="98">
        <v>0</v>
      </c>
      <c r="AE76" s="101">
        <v>0.1599882305185145</v>
      </c>
      <c r="AF76" s="101">
        <v>0.15010930292554353</v>
      </c>
      <c r="AG76" s="98">
        <v>445.6198871279627</v>
      </c>
      <c r="AH76" s="98">
        <v>234.12259778895606</v>
      </c>
      <c r="AI76" s="101">
        <v>0.015940726342527432</v>
      </c>
      <c r="AJ76" s="101">
        <v>0.7248631360507991</v>
      </c>
      <c r="AK76" s="101">
        <v>0.7467412166569077</v>
      </c>
      <c r="AL76" s="101">
        <v>0.7559681673907895</v>
      </c>
      <c r="AM76" s="101">
        <v>0.5147293797466616</v>
      </c>
      <c r="AN76" s="101">
        <v>0.5752927626212945</v>
      </c>
      <c r="AO76" s="98">
        <v>1812.1669120472948</v>
      </c>
      <c r="AP76" s="98">
        <v>1</v>
      </c>
      <c r="AQ76" s="101">
        <v>0.10919341638628717</v>
      </c>
      <c r="AR76" s="101">
        <v>0.4534552930810221</v>
      </c>
      <c r="AS76" s="98">
        <v>377.7293140102421</v>
      </c>
      <c r="AT76" s="98">
        <v>282.45290788403287</v>
      </c>
      <c r="AU76" s="98">
        <v>70.46674929228394</v>
      </c>
      <c r="AV76" s="98">
        <v>323.23046266988894</v>
      </c>
      <c r="AW76" s="98">
        <v>562.6134400960308</v>
      </c>
      <c r="AX76" s="98">
        <v>405.57105879375996</v>
      </c>
      <c r="AY76" s="98">
        <v>1059.3522061277838</v>
      </c>
      <c r="AZ76" s="98">
        <v>582.9390489900089</v>
      </c>
      <c r="BA76" s="101">
        <v>0</v>
      </c>
      <c r="BB76" s="101">
        <v>0</v>
      </c>
      <c r="BC76" s="101">
        <v>0</v>
      </c>
      <c r="BD76" s="98">
        <v>0</v>
      </c>
      <c r="BE76" s="98">
        <v>0</v>
      </c>
      <c r="BF76" s="99">
        <v>6335854</v>
      </c>
      <c r="BG76" s="99">
        <v>2249229</v>
      </c>
      <c r="BH76" s="99">
        <v>13427740</v>
      </c>
      <c r="BI76" s="99">
        <v>5749699</v>
      </c>
      <c r="BJ76" s="99">
        <v>2832158</v>
      </c>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2"/>
      <c r="BB93" s="302"/>
      <c r="BC93" s="302"/>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404</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359</v>
      </c>
      <c r="O4" s="75" t="s">
        <v>358</v>
      </c>
      <c r="P4" s="75" t="s">
        <v>486</v>
      </c>
      <c r="Q4" s="75" t="s">
        <v>487</v>
      </c>
      <c r="R4" s="75" t="s">
        <v>488</v>
      </c>
      <c r="S4" s="75" t="s">
        <v>489</v>
      </c>
      <c r="T4" s="39" t="s">
        <v>278</v>
      </c>
      <c r="U4" s="40" t="s">
        <v>279</v>
      </c>
      <c r="V4" s="41" t="s">
        <v>7</v>
      </c>
      <c r="W4" s="24" t="s">
        <v>2</v>
      </c>
      <c r="X4" s="24" t="s">
        <v>3</v>
      </c>
      <c r="Y4" s="75" t="s">
        <v>621</v>
      </c>
      <c r="Z4" s="75" t="s">
        <v>620</v>
      </c>
      <c r="AA4" s="26" t="s">
        <v>280</v>
      </c>
      <c r="AB4" s="24" t="s">
        <v>5</v>
      </c>
      <c r="AC4" s="75" t="s">
        <v>35</v>
      </c>
      <c r="AD4" s="24" t="s">
        <v>6</v>
      </c>
      <c r="AE4" s="24" t="s">
        <v>281</v>
      </c>
      <c r="AF4" s="24" t="s">
        <v>16</v>
      </c>
      <c r="AG4" s="24" t="s">
        <v>15</v>
      </c>
      <c r="AH4" s="24" t="s">
        <v>14</v>
      </c>
      <c r="AI4" s="25" t="s">
        <v>30</v>
      </c>
      <c r="AJ4" s="47" t="s">
        <v>10</v>
      </c>
      <c r="AK4" s="26" t="s">
        <v>21</v>
      </c>
      <c r="AL4" s="25" t="s">
        <v>22</v>
      </c>
      <c r="AQ4" s="102" t="s">
        <v>401</v>
      </c>
      <c r="AR4" s="102" t="s">
        <v>403</v>
      </c>
      <c r="AS4" s="102" t="s">
        <v>402</v>
      </c>
      <c r="AY4" s="102" t="s">
        <v>483</v>
      </c>
      <c r="AZ4" s="102" t="s">
        <v>484</v>
      </c>
      <c r="BA4" s="102" t="s">
        <v>485</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424</v>
      </c>
      <c r="BA5" s="103" t="s">
        <v>354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409</v>
      </c>
      <c r="BA6" s="103" t="s">
        <v>354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280</v>
      </c>
      <c r="E7" s="38">
        <f>IF(LEFT(VLOOKUP($B7,'Indicator chart'!$D$1:$J$36,5,FALSE),1)=" "," ",VLOOKUP($B7,'Indicator chart'!$D$1:$J$36,5,FALSE))</f>
        <v>0.10297903641044502</v>
      </c>
      <c r="F7" s="38">
        <f>IF(LEFT(VLOOKUP($B7,'Indicator chart'!$D$1:$J$36,6,FALSE),1)=" "," ",VLOOKUP($B7,'Indicator chart'!$D$1:$J$36,6,FALSE))</f>
        <v>0.09210927671777296</v>
      </c>
      <c r="G7" s="38">
        <f>IF(LEFT(VLOOKUP($B7,'Indicator chart'!$D$1:$J$36,7,FALSE),1)=" "," ",VLOOKUP($B7,'Indicator chart'!$D$1:$J$36,7,FALSE))</f>
        <v>0.11496909317344656</v>
      </c>
      <c r="H7" s="50">
        <f aca="true" t="shared" si="0" ref="H7:H31">IF(LEFT(F7,1)=" ",4,IF(AND(ABS(N7-E7)&gt;SQRT((E7-G7)^2+(N7-R7)^2),E7&lt;N7),1,IF(AND(ABS(N7-E7)&gt;SQRT((E7-F7)^2+(N7-S7)^2),E7&gt;N7),3,2)))</f>
        <v>1</v>
      </c>
      <c r="I7" s="38">
        <v>0.002252252073958516</v>
      </c>
      <c r="J7" s="38">
        <v>0.12656089663505554</v>
      </c>
      <c r="K7" s="38">
        <v>0.1583048552274704</v>
      </c>
      <c r="L7" s="38">
        <v>0.1741373986005783</v>
      </c>
      <c r="M7" s="38">
        <v>0.3304647207260132</v>
      </c>
      <c r="N7" s="80">
        <f>VLOOKUP('Hide - Control'!B$3,'All practice data'!A:CA,A7+29,FALSE)</f>
        <v>0.14865405498085385</v>
      </c>
      <c r="O7" s="80">
        <f>VLOOKUP('Hide - Control'!C$3,'All practice data'!A:CA,A7+29,FALSE)</f>
        <v>0.1599882305185145</v>
      </c>
      <c r="P7" s="38">
        <f>VLOOKUP('Hide - Control'!$B$4,'All practice data'!B:BC,A7+2,FALSE)</f>
        <v>62424</v>
      </c>
      <c r="Q7" s="38">
        <f>VLOOKUP('Hide - Control'!$B$4,'All practice data'!B:BC,3,FALSE)</f>
        <v>419928</v>
      </c>
      <c r="R7" s="38">
        <f>+((2*P7+1.96^2-1.96*SQRT(1.96^2+4*P7*(1-P7/Q7)))/(2*(Q7+1.96^2)))</f>
        <v>0.14758127472003277</v>
      </c>
      <c r="S7" s="38">
        <f>+((2*P7+1.96^2+1.96*SQRT(1.96^2+4*P7*(1-P7/Q7)))/(2*(Q7+1.96^2)))</f>
        <v>0.14973326357336442</v>
      </c>
      <c r="T7" s="53">
        <f>IF($C7=1,M7,I7)</f>
        <v>0.3304647207260132</v>
      </c>
      <c r="U7" s="51">
        <f aca="true" t="shared" si="1" ref="U7:U15">IF($C7=1,I7,M7)</f>
        <v>0.002252252073958516</v>
      </c>
      <c r="V7" s="7">
        <v>1</v>
      </c>
      <c r="W7" s="27">
        <f aca="true" t="shared" si="2" ref="W7:W31">IF((K7-I7)&gt;(M7-K7),I7,(K7-(M7-K7)))</f>
        <v>-0.013855010271072388</v>
      </c>
      <c r="X7" s="27">
        <f aca="true" t="shared" si="3" ref="X7:X31">IF(W7=I7,K7+(K7-I7),M7)</f>
        <v>0.3304647207260132</v>
      </c>
      <c r="Y7" s="27">
        <f aca="true" t="shared" si="4" ref="Y7:Y31">IF(C7=1,W7,X7)</f>
        <v>-0.013855010271072388</v>
      </c>
      <c r="Z7" s="27">
        <f aca="true" t="shared" si="5" ref="Z7:Z31">IF(C7=1,X7,W7)</f>
        <v>0.3304647207260132</v>
      </c>
      <c r="AA7" s="32">
        <f aca="true" t="shared" si="6" ref="AA7:AA31">IF(ISERROR(IF(C7=1,(I7-$Y7)/($Z7-$Y7),(U7-$Y7)/($Z7-$Y7))),"",IF(C7=1,(I7-$Y7)/($Z7-$Y7),(U7-$Y7)/($Z7-$Y7)))</f>
        <v>0.046779957391309766</v>
      </c>
      <c r="AB7" s="33">
        <f aca="true" t="shared" si="7" ref="AB7:AB31">IF(ISERROR(IF(C7=1,(J7-$Y7)/($Z7-$Y7),(L7-$Y7)/($Z7-$Y7))),"",IF(C7=1,(J7-$Y7)/($Z7-$Y7),(L7-$Y7)/($Z7-$Y7)))</f>
        <v>0.4078067396820673</v>
      </c>
      <c r="AC7" s="33">
        <v>0.5</v>
      </c>
      <c r="AD7" s="33">
        <f aca="true" t="shared" si="8" ref="AD7:AD31">IF(ISERROR(IF(C7=1,(L7-$Y7)/($Z7-$Y7),(J7-$Y7)/($Z7-$Y7))),"",IF(C7=1,(L7-$Y7)/($Z7-$Y7),(J7-$Y7)/($Z7-$Y7)))</f>
        <v>0.5459820973002617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0.3393184768795789</v>
      </c>
      <c r="AI7" s="34">
        <f aca="true" t="shared" si="13" ref="AI7:AI31">IF(ISERROR((O7-$Y7)/($Z7-$Y7)),-999,(O7-$Y7)/($Z7-$Y7))</f>
        <v>0.5048889887494085</v>
      </c>
      <c r="AJ7" s="4">
        <v>2.7020512924389086</v>
      </c>
      <c r="AK7" s="32">
        <f aca="true" t="shared" si="14" ref="AK7:AK31">IF(H7=1,(E7-$Y7)/($Z7-$Y7),-999)</f>
        <v>0.3393184768795789</v>
      </c>
      <c r="AL7" s="34">
        <f aca="true" t="shared" si="15" ref="AL7:AL31">IF(H7=3,(E7-$Y7)/($Z7-$Y7),-999)</f>
        <v>-999</v>
      </c>
      <c r="AQ7" s="103">
        <v>2</v>
      </c>
      <c r="AR7" s="103">
        <v>0.2422</v>
      </c>
      <c r="AS7" s="103">
        <v>7.2247</v>
      </c>
      <c r="AY7" s="103" t="s">
        <v>68</v>
      </c>
      <c r="AZ7" s="103" t="s">
        <v>408</v>
      </c>
      <c r="BA7" s="103" t="s">
        <v>354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0.1756954061694424</v>
      </c>
      <c r="G8" s="38">
        <f>IF(LEFT(VLOOKUP($B8,'Indicator chart'!$D$1:$J$36,7,FALSE),1)=" "," ",VLOOKUP($B8,'Indicator chart'!$D$1:$J$36,7,FALSE))</f>
        <v>0.20517933880286884</v>
      </c>
      <c r="H8" s="50">
        <f t="shared" si="0"/>
        <v>3</v>
      </c>
      <c r="I8" s="38">
        <v>0.05000000074505806</v>
      </c>
      <c r="J8" s="38">
        <v>0.11500000208616257</v>
      </c>
      <c r="K8" s="38">
        <v>0.18000000715255737</v>
      </c>
      <c r="L8" s="38">
        <v>0.22499999403953552</v>
      </c>
      <c r="M8" s="38">
        <v>0.3100000023841858</v>
      </c>
      <c r="N8" s="80">
        <f>VLOOKUP('Hide - Control'!B$3,'All practice data'!A:CA,A8+29,FALSE)</f>
        <v>0.16577515669352844</v>
      </c>
      <c r="O8" s="80">
        <f>VLOOKUP('Hide - Control'!C$3,'All practice data'!A:CA,A8+29,FALSE)</f>
        <v>0.15010930292554353</v>
      </c>
      <c r="P8" s="38">
        <f>VLOOKUP('Hide - Control'!$B$4,'All practice data'!B:BC,A8+2,FALSE)</f>
        <v>69613.63</v>
      </c>
      <c r="Q8" s="38">
        <f>VLOOKUP('Hide - Control'!$B$4,'All practice data'!B:BC,3,FALSE)</f>
        <v>419928</v>
      </c>
      <c r="R8" s="38">
        <f>+((2*P8+1.96^2-1.96*SQRT(1.96^2+4*P8*(1-P8/Q8)))/(2*(Q8+1.96^2)))</f>
        <v>0.16465342913009443</v>
      </c>
      <c r="S8" s="38">
        <f>+((2*P8+1.96^2+1.96*SQRT(1.96^2+4*P8*(1-P8/Q8)))/(2*(Q8+1.96^2)))</f>
        <v>0.166902999335796</v>
      </c>
      <c r="T8" s="53">
        <f aca="true" t="shared" si="16" ref="T8:T15">IF($C8=1,M8,I8)</f>
        <v>0.3100000023841858</v>
      </c>
      <c r="U8" s="51">
        <f t="shared" si="1"/>
        <v>0.05000000074505806</v>
      </c>
      <c r="V8" s="7"/>
      <c r="W8" s="27">
        <f t="shared" si="2"/>
        <v>0.05000000074505806</v>
      </c>
      <c r="X8" s="27">
        <f t="shared" si="3"/>
        <v>0.3100000135600567</v>
      </c>
      <c r="Y8" s="27">
        <f t="shared" si="4"/>
        <v>0.05000000074505806</v>
      </c>
      <c r="Z8" s="27">
        <f t="shared" si="5"/>
        <v>0.3100000135600567</v>
      </c>
      <c r="AA8" s="32">
        <f t="shared" si="6"/>
        <v>0</v>
      </c>
      <c r="AB8" s="33">
        <f t="shared" si="7"/>
        <v>0.24999999283598054</v>
      </c>
      <c r="AC8" s="33">
        <v>0.5</v>
      </c>
      <c r="AD8" s="33">
        <f t="shared" si="8"/>
        <v>0.6730768641115322</v>
      </c>
      <c r="AE8" s="33">
        <f t="shared" si="9"/>
        <v>0.9999999570158833</v>
      </c>
      <c r="AF8" s="33">
        <f t="shared" si="10"/>
        <v>-999</v>
      </c>
      <c r="AG8" s="33">
        <f t="shared" si="11"/>
        <v>-999</v>
      </c>
      <c r="AH8" s="33">
        <f t="shared" si="12"/>
        <v>0.538461509055994</v>
      </c>
      <c r="AI8" s="34">
        <f t="shared" si="13"/>
        <v>0.3850357586394337</v>
      </c>
      <c r="AJ8" s="4">
        <v>3.778046717820832</v>
      </c>
      <c r="AK8" s="32">
        <f t="shared" si="14"/>
        <v>-999</v>
      </c>
      <c r="AL8" s="34">
        <f t="shared" si="15"/>
        <v>0.538461509055994</v>
      </c>
      <c r="AQ8" s="103">
        <v>3</v>
      </c>
      <c r="AR8" s="103">
        <v>0.6187</v>
      </c>
      <c r="AS8" s="103">
        <v>8.7673</v>
      </c>
      <c r="AY8" s="103" t="s">
        <v>118</v>
      </c>
      <c r="AZ8" s="103" t="s">
        <v>119</v>
      </c>
      <c r="BA8" s="103" t="s">
        <v>354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13</v>
      </c>
      <c r="E9" s="38">
        <f>IF(LEFT(VLOOKUP($B9,'Indicator chart'!$D$1:$J$36,5,FALSE),1)=" "," ",VLOOKUP($B9,'Indicator chart'!$D$1:$J$36,5,FALSE))</f>
        <v>478.11695476278044</v>
      </c>
      <c r="F9" s="38">
        <f>IF(LEFT(VLOOKUP($B9,'Indicator chart'!$D$1:$J$36,6,FALSE),1)=" "," ",VLOOKUP($B9,'Indicator chart'!$D$1:$J$36,6,FALSE))</f>
        <v>254.32716782877998</v>
      </c>
      <c r="G9" s="38">
        <f>IF(LEFT(VLOOKUP($B9,'Indicator chart'!$D$1:$J$36,7,FALSE),1)=" "," ",VLOOKUP($B9,'Indicator chart'!$D$1:$J$36,7,FALSE))</f>
        <v>817.6502549191754</v>
      </c>
      <c r="H9" s="50">
        <f t="shared" si="0"/>
        <v>2</v>
      </c>
      <c r="I9" s="38">
        <v>92.60600280761719</v>
      </c>
      <c r="J9" s="38">
        <v>264.89642333984375</v>
      </c>
      <c r="K9" s="38">
        <v>429.2815246582031</v>
      </c>
      <c r="L9" s="38">
        <v>530.0419311523438</v>
      </c>
      <c r="M9" s="38">
        <v>864.6998901367188</v>
      </c>
      <c r="N9" s="80">
        <f>VLOOKUP('Hide - Control'!B$3,'All practice data'!A:CA,A9+29,FALSE)</f>
        <v>422.691509020594</v>
      </c>
      <c r="O9" s="80">
        <f>VLOOKUP('Hide - Control'!C$3,'All practice data'!A:CA,A9+29,FALSE)</f>
        <v>445.6198871279627</v>
      </c>
      <c r="P9" s="38">
        <f>VLOOKUP('Hide - Control'!$B$4,'All practice data'!B:BC,A9+2,FALSE)</f>
        <v>1775</v>
      </c>
      <c r="Q9" s="38">
        <f>VLOOKUP('Hide - Control'!$B$4,'All practice data'!B:BC,3,FALSE)</f>
        <v>419928</v>
      </c>
      <c r="R9" s="38">
        <f>100000*(P9*(1-1/(9*P9)-1.96/(3*SQRT(P9)))^3)/Q9</f>
        <v>403.2535557516164</v>
      </c>
      <c r="S9" s="38">
        <f>100000*((P9+1)*(1-1/(9*(P9+1))+1.96/(3*SQRT(P9+1)))^3)/Q9</f>
        <v>442.8242338073914</v>
      </c>
      <c r="T9" s="53">
        <f t="shared" si="16"/>
        <v>864.6998901367188</v>
      </c>
      <c r="U9" s="51">
        <f t="shared" si="1"/>
        <v>92.60600280761719</v>
      </c>
      <c r="V9" s="7"/>
      <c r="W9" s="27">
        <f t="shared" si="2"/>
        <v>-6.1368408203125</v>
      </c>
      <c r="X9" s="27">
        <f t="shared" si="3"/>
        <v>864.6998901367188</v>
      </c>
      <c r="Y9" s="27">
        <f t="shared" si="4"/>
        <v>-6.1368408203125</v>
      </c>
      <c r="Z9" s="27">
        <f t="shared" si="5"/>
        <v>864.6998901367188</v>
      </c>
      <c r="AA9" s="32">
        <f t="shared" si="6"/>
        <v>0.11338846894918336</v>
      </c>
      <c r="AB9" s="33">
        <f t="shared" si="7"/>
        <v>0.31123315602718826</v>
      </c>
      <c r="AC9" s="33">
        <v>0.5</v>
      </c>
      <c r="AD9" s="33">
        <f t="shared" si="8"/>
        <v>0.6157052785123189</v>
      </c>
      <c r="AE9" s="33">
        <f t="shared" si="9"/>
        <v>1</v>
      </c>
      <c r="AF9" s="33">
        <f t="shared" si="10"/>
        <v>-999</v>
      </c>
      <c r="AG9" s="33">
        <f t="shared" si="11"/>
        <v>0.5560787440039515</v>
      </c>
      <c r="AH9" s="33">
        <f t="shared" si="12"/>
        <v>-999</v>
      </c>
      <c r="AI9" s="34">
        <f t="shared" si="13"/>
        <v>0.5187616827459771</v>
      </c>
      <c r="AJ9" s="4">
        <v>4.854042143202755</v>
      </c>
      <c r="AK9" s="32">
        <f t="shared" si="14"/>
        <v>-999</v>
      </c>
      <c r="AL9" s="34">
        <f t="shared" si="15"/>
        <v>-999</v>
      </c>
      <c r="AQ9" s="103">
        <v>4</v>
      </c>
      <c r="AR9" s="103">
        <v>1.0899</v>
      </c>
      <c r="AS9" s="103">
        <v>10.2416</v>
      </c>
      <c r="AY9" s="103" t="s">
        <v>90</v>
      </c>
      <c r="AZ9" s="103" t="s">
        <v>418</v>
      </c>
      <c r="BA9" s="103" t="s">
        <v>354</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153.03878784179688</v>
      </c>
      <c r="K10" s="38">
        <v>221.48394775390625</v>
      </c>
      <c r="L10" s="38">
        <v>288.9671325683594</v>
      </c>
      <c r="M10" s="38">
        <v>757.3150024414062</v>
      </c>
      <c r="N10" s="80">
        <f>VLOOKUP('Hide - Control'!B$3,'All practice data'!A:CA,A10+29,FALSE)</f>
        <v>221.7046731820693</v>
      </c>
      <c r="O10" s="80">
        <f>VLOOKUP('Hide - Control'!C$3,'All practice data'!A:CA,A10+29,FALSE)</f>
        <v>234.12259778895606</v>
      </c>
      <c r="P10" s="38">
        <f>VLOOKUP('Hide - Control'!$B$4,'All practice data'!B:BC,A10+2,FALSE)</f>
        <v>931</v>
      </c>
      <c r="Q10" s="38">
        <f>VLOOKUP('Hide - Control'!$B$4,'All practice data'!B:BC,3,FALSE)</f>
        <v>419928</v>
      </c>
      <c r="R10" s="38">
        <f>100000*(P10*(1-1/(9*P10)-1.96/(3*SQRT(P10)))^3)/Q10</f>
        <v>207.68992010595693</v>
      </c>
      <c r="S10" s="38">
        <f>100000*((P10+1)*(1-1/(9*(P10+1))+1.96/(3*SQRT(P10+1)))^3)/Q10</f>
        <v>236.41628056798515</v>
      </c>
      <c r="T10" s="53">
        <f t="shared" si="16"/>
        <v>757.3150024414062</v>
      </c>
      <c r="U10" s="51">
        <f t="shared" si="1"/>
        <v>44.173431396484375</v>
      </c>
      <c r="V10" s="7"/>
      <c r="W10" s="27">
        <f t="shared" si="2"/>
        <v>-314.34710693359375</v>
      </c>
      <c r="X10" s="27">
        <f t="shared" si="3"/>
        <v>757.3150024414062</v>
      </c>
      <c r="Y10" s="27">
        <f t="shared" si="4"/>
        <v>-314.34710693359375</v>
      </c>
      <c r="Z10" s="27">
        <f t="shared" si="5"/>
        <v>757.3150024414062</v>
      </c>
      <c r="AA10" s="32">
        <f t="shared" si="6"/>
        <v>0.33454624848047443</v>
      </c>
      <c r="AB10" s="33">
        <f t="shared" si="7"/>
        <v>0.436131772026514</v>
      </c>
      <c r="AC10" s="33">
        <v>0.5</v>
      </c>
      <c r="AD10" s="33">
        <f t="shared" si="8"/>
        <v>0.5629705802081681</v>
      </c>
      <c r="AE10" s="33">
        <f t="shared" si="9"/>
        <v>1</v>
      </c>
      <c r="AF10" s="33">
        <f t="shared" si="10"/>
        <v>-999</v>
      </c>
      <c r="AG10" s="33">
        <f t="shared" si="11"/>
        <v>-999</v>
      </c>
      <c r="AH10" s="33">
        <f t="shared" si="12"/>
        <v>-999</v>
      </c>
      <c r="AI10" s="34">
        <f t="shared" si="13"/>
        <v>0.5117935027509937</v>
      </c>
      <c r="AJ10" s="4">
        <v>5.930037568584676</v>
      </c>
      <c r="AK10" s="32">
        <f t="shared" si="14"/>
        <v>-999</v>
      </c>
      <c r="AL10" s="34">
        <f t="shared" si="15"/>
        <v>-999</v>
      </c>
      <c r="AY10" s="103" t="s">
        <v>96</v>
      </c>
      <c r="AZ10" s="103" t="s">
        <v>97</v>
      </c>
      <c r="BA10" s="103" t="s">
        <v>535</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23</v>
      </c>
      <c r="E11" s="38">
        <f>IF(LEFT(VLOOKUP($B11,'Indicator chart'!$D$1:$J$36,5,FALSE),1)=" "," ",VLOOKUP($B11,'Indicator chart'!$D$1:$J$36,5,FALSE))</f>
        <v>0.008</v>
      </c>
      <c r="F11" s="38">
        <f>IF(LEFT(VLOOKUP($B11,'Indicator chart'!$D$1:$J$36,6,FALSE),1)=" "," ",VLOOKUP($B11,'Indicator chart'!$D$1:$J$36,6,FALSE))</f>
        <v>0.005643279484491847</v>
      </c>
      <c r="G11" s="38">
        <f>IF(LEFT(VLOOKUP($B11,'Indicator chart'!$D$1:$J$36,7,FALSE),1)=" "," ",VLOOKUP($B11,'Indicator chart'!$D$1:$J$36,7,FALSE))</f>
        <v>0.012661714827332976</v>
      </c>
      <c r="H11" s="50">
        <f t="shared" si="0"/>
        <v>1</v>
      </c>
      <c r="I11" s="38">
        <v>0.0010000000474974513</v>
      </c>
      <c r="J11" s="38">
        <v>0.008999999612569809</v>
      </c>
      <c r="K11" s="38">
        <v>0.012000000104308128</v>
      </c>
      <c r="L11" s="38">
        <v>0.017999999225139618</v>
      </c>
      <c r="M11" s="38">
        <v>0.028999999165534973</v>
      </c>
      <c r="N11" s="80">
        <f>VLOOKUP('Hide - Control'!B$3,'All practice data'!A:CA,A11+29,FALSE)</f>
        <v>0.013554704616029414</v>
      </c>
      <c r="O11" s="80">
        <f>VLOOKUP('Hide - Control'!C$3,'All practice data'!A:CA,A11+29,FALSE)</f>
        <v>0.015940726342527432</v>
      </c>
      <c r="P11" s="38">
        <f>VLOOKUP('Hide - Control'!$B$4,'All practice data'!B:BC,A11+2,FALSE)</f>
        <v>5692</v>
      </c>
      <c r="Q11" s="38">
        <f>VLOOKUP('Hide - Control'!$B$4,'All practice data'!B:BC,3,FALSE)</f>
        <v>419928</v>
      </c>
      <c r="R11" s="80">
        <f aca="true" t="shared" si="17" ref="R11:R16">+((2*P11+1.96^2-1.96*SQRT(1.96^2+4*P11*(1-P11/Q11)))/(2*(Q11+1.96^2)))</f>
        <v>0.01320938405044981</v>
      </c>
      <c r="S11" s="80">
        <f aca="true" t="shared" si="18" ref="S11:S16">+((2*P11+1.96^2+1.96*SQRT(1.96^2+4*P11*(1-P11/Q11)))/(2*(Q11+1.96^2)))</f>
        <v>0.013908925331879249</v>
      </c>
      <c r="T11" s="53">
        <f t="shared" si="16"/>
        <v>0.028999999165534973</v>
      </c>
      <c r="U11" s="51">
        <f t="shared" si="1"/>
        <v>0.0010000000474974513</v>
      </c>
      <c r="V11" s="7"/>
      <c r="W11" s="27">
        <f t="shared" si="2"/>
        <v>-0.004999998956918716</v>
      </c>
      <c r="X11" s="27">
        <f t="shared" si="3"/>
        <v>0.028999999165534973</v>
      </c>
      <c r="Y11" s="27">
        <f t="shared" si="4"/>
        <v>-0.004999998956918716</v>
      </c>
      <c r="Z11" s="27">
        <f t="shared" si="5"/>
        <v>0.028999999165534973</v>
      </c>
      <c r="AA11" s="32">
        <f t="shared" si="6"/>
        <v>0.17647056869846567</v>
      </c>
      <c r="AB11" s="33">
        <f t="shared" si="7"/>
        <v>0.4117646865469351</v>
      </c>
      <c r="AC11" s="33">
        <v>0.5</v>
      </c>
      <c r="AD11" s="33">
        <f t="shared" si="8"/>
        <v>0.6764705721224459</v>
      </c>
      <c r="AE11" s="33">
        <f t="shared" si="9"/>
        <v>1</v>
      </c>
      <c r="AF11" s="33">
        <f t="shared" si="10"/>
        <v>-999</v>
      </c>
      <c r="AG11" s="33">
        <f t="shared" si="11"/>
        <v>-999</v>
      </c>
      <c r="AH11" s="33">
        <f t="shared" si="12"/>
        <v>0.3823529316118839</v>
      </c>
      <c r="AI11" s="34">
        <f t="shared" si="13"/>
        <v>0.6159037192892325</v>
      </c>
      <c r="AJ11" s="4">
        <v>7.0060329939666</v>
      </c>
      <c r="AK11" s="32">
        <f t="shared" si="14"/>
        <v>0.3823529316118839</v>
      </c>
      <c r="AL11" s="34">
        <f t="shared" si="15"/>
        <v>-999</v>
      </c>
      <c r="AY11" s="103" t="s">
        <v>214</v>
      </c>
      <c r="AZ11" s="103" t="s">
        <v>215</v>
      </c>
      <c r="BA11" s="103" t="s">
        <v>535</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173</v>
      </c>
      <c r="E12" s="38">
        <f>IF(LEFT(VLOOKUP($B12,'Indicator chart'!$D$1:$J$36,5,FALSE),1)=" "," ",VLOOKUP($B12,'Indicator chart'!$D$1:$J$36,5,FALSE))</f>
        <v>0.694779</v>
      </c>
      <c r="F12" s="38">
        <f>IF(LEFT(VLOOKUP($B12,'Indicator chart'!$D$1:$J$36,6,FALSE),1)=" "," ",VLOOKUP($B12,'Indicator chart'!$D$1:$J$36,6,FALSE))</f>
        <v>0.634980002264596</v>
      </c>
      <c r="G12" s="38">
        <f>IF(LEFT(VLOOKUP($B12,'Indicator chart'!$D$1:$J$36,7,FALSE),1)=" "," ",VLOOKUP($B12,'Indicator chart'!$D$1:$J$36,7,FALSE))</f>
        <v>0.7486593988466134</v>
      </c>
      <c r="H12" s="50">
        <f t="shared" si="0"/>
        <v>2</v>
      </c>
      <c r="I12" s="38">
        <v>0.3804349899291992</v>
      </c>
      <c r="J12" s="38">
        <v>0.6312655210494995</v>
      </c>
      <c r="K12" s="38">
        <v>0.7059159874916077</v>
      </c>
      <c r="L12" s="38">
        <v>0.7550424933433533</v>
      </c>
      <c r="M12" s="38">
        <v>0.8295919895172119</v>
      </c>
      <c r="N12" s="80">
        <f>VLOOKUP('Hide - Control'!B$3,'All practice data'!A:CA,A12+29,FALSE)</f>
        <v>0.727866579848348</v>
      </c>
      <c r="O12" s="80">
        <f>VLOOKUP('Hide - Control'!C$3,'All practice data'!A:CA,A12+29,FALSE)</f>
        <v>0.7248631360507991</v>
      </c>
      <c r="P12" s="38">
        <f>VLOOKUP('Hide - Control'!$B$4,'All practice data'!B:BC,A12+2,FALSE)</f>
        <v>34653</v>
      </c>
      <c r="Q12" s="38">
        <f>VLOOKUP('Hide - Control'!$B$4,'All practice data'!B:BJ,57,FALSE)</f>
        <v>47609</v>
      </c>
      <c r="R12" s="38">
        <f t="shared" si="17"/>
        <v>0.7238504463765454</v>
      </c>
      <c r="S12" s="38">
        <f t="shared" si="18"/>
        <v>0.7318459428933611</v>
      </c>
      <c r="T12" s="53">
        <f t="shared" si="16"/>
        <v>0.8295919895172119</v>
      </c>
      <c r="U12" s="51">
        <f t="shared" si="1"/>
        <v>0.3804349899291992</v>
      </c>
      <c r="V12" s="7"/>
      <c r="W12" s="27">
        <f t="shared" si="2"/>
        <v>0.3804349899291992</v>
      </c>
      <c r="X12" s="27">
        <f t="shared" si="3"/>
        <v>1.0313969850540161</v>
      </c>
      <c r="Y12" s="27">
        <f t="shared" si="4"/>
        <v>0.3804349899291992</v>
      </c>
      <c r="Z12" s="27">
        <f t="shared" si="5"/>
        <v>1.0313969850540161</v>
      </c>
      <c r="AA12" s="32">
        <f t="shared" si="6"/>
        <v>0</v>
      </c>
      <c r="AB12" s="33">
        <f t="shared" si="7"/>
        <v>0.38532284987268034</v>
      </c>
      <c r="AC12" s="33">
        <v>0.5</v>
      </c>
      <c r="AD12" s="33">
        <f t="shared" si="8"/>
        <v>0.5754675483663619</v>
      </c>
      <c r="AE12" s="33">
        <f t="shared" si="9"/>
        <v>0.6899895891800724</v>
      </c>
      <c r="AF12" s="33">
        <f t="shared" si="10"/>
        <v>-999</v>
      </c>
      <c r="AG12" s="33">
        <f t="shared" si="11"/>
        <v>0.4828914935510602</v>
      </c>
      <c r="AH12" s="33">
        <f t="shared" si="12"/>
        <v>-999</v>
      </c>
      <c r="AI12" s="34">
        <f t="shared" si="13"/>
        <v>0.529106382094639</v>
      </c>
      <c r="AJ12" s="4">
        <v>8.082028419348523</v>
      </c>
      <c r="AK12" s="32">
        <f t="shared" si="14"/>
        <v>-999</v>
      </c>
      <c r="AL12" s="34">
        <f t="shared" si="15"/>
        <v>-999</v>
      </c>
      <c r="AY12" s="103" t="s">
        <v>261</v>
      </c>
      <c r="AZ12" s="103" t="s">
        <v>471</v>
      </c>
      <c r="BA12" s="103" t="s">
        <v>354</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0.33333298563957214</v>
      </c>
      <c r="K13" s="38">
        <v>0.5416669845581055</v>
      </c>
      <c r="L13" s="38">
        <v>0.6960464715957642</v>
      </c>
      <c r="M13" s="38">
        <v>0.857142984867096</v>
      </c>
      <c r="N13" s="80">
        <f>VLOOKUP('Hide - Control'!B$3,'All practice data'!A:CA,A13+29,FALSE)</f>
        <v>0.7141901496780667</v>
      </c>
      <c r="O13" s="80">
        <f>VLOOKUP('Hide - Control'!C$3,'All practice data'!A:CA,A13+29,FALSE)</f>
        <v>0.7467412166569077</v>
      </c>
      <c r="P13" s="38">
        <f>VLOOKUP('Hide - Control'!$B$4,'All practice data'!B:BC,A13+2,FALSE)</f>
        <v>8541</v>
      </c>
      <c r="Q13" s="38">
        <f>VLOOKUP('Hide - Control'!$B$4,'All practice data'!B:BJ,58,FALSE)</f>
        <v>11959</v>
      </c>
      <c r="R13" s="38">
        <f t="shared" si="17"/>
        <v>0.7060248156204475</v>
      </c>
      <c r="S13" s="38">
        <f t="shared" si="18"/>
        <v>0.72221791894857</v>
      </c>
      <c r="T13" s="53">
        <f t="shared" si="16"/>
        <v>0.857142984867096</v>
      </c>
      <c r="U13" s="51">
        <f t="shared" si="1"/>
        <v>0</v>
      </c>
      <c r="V13" s="7"/>
      <c r="W13" s="27">
        <f t="shared" si="2"/>
        <v>0</v>
      </c>
      <c r="X13" s="27">
        <f t="shared" si="3"/>
        <v>1.083333969116211</v>
      </c>
      <c r="Y13" s="27">
        <f t="shared" si="4"/>
        <v>0</v>
      </c>
      <c r="Z13" s="27">
        <f t="shared" si="5"/>
        <v>1.083333969116211</v>
      </c>
      <c r="AA13" s="32">
        <f t="shared" si="6"/>
        <v>0</v>
      </c>
      <c r="AB13" s="33">
        <f t="shared" si="7"/>
        <v>0.30769180616712943</v>
      </c>
      <c r="AC13" s="33">
        <v>0.5</v>
      </c>
      <c r="AD13" s="33">
        <f t="shared" si="8"/>
        <v>0.6425040582486324</v>
      </c>
      <c r="AE13" s="33">
        <f t="shared" si="9"/>
        <v>0.7912084447664438</v>
      </c>
      <c r="AF13" s="33">
        <f t="shared" si="10"/>
        <v>-999</v>
      </c>
      <c r="AG13" s="33">
        <f t="shared" si="11"/>
        <v>-999</v>
      </c>
      <c r="AH13" s="33">
        <f t="shared" si="12"/>
        <v>-999</v>
      </c>
      <c r="AI13" s="34">
        <f t="shared" si="13"/>
        <v>0.6892991800728845</v>
      </c>
      <c r="AJ13" s="4">
        <v>9.158023844730446</v>
      </c>
      <c r="AK13" s="32">
        <f t="shared" si="14"/>
        <v>-999</v>
      </c>
      <c r="AL13" s="34">
        <f t="shared" si="15"/>
        <v>-999</v>
      </c>
      <c r="AY13" s="103" t="s">
        <v>260</v>
      </c>
      <c r="AZ13" s="103" t="s">
        <v>470</v>
      </c>
      <c r="BA13" s="103" t="s">
        <v>354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426</v>
      </c>
      <c r="E14" s="38">
        <f>IF(LEFT(VLOOKUP($B14,'Indicator chart'!$D$1:$J$36,5,FALSE),1)=" "," ",VLOOKUP($B14,'Indicator chart'!$D$1:$J$36,5,FALSE))</f>
        <v>0.711185</v>
      </c>
      <c r="F14" s="38">
        <f>IF(LEFT(VLOOKUP($B14,'Indicator chart'!$D$1:$J$36,6,FALSE),1)=" "," ",VLOOKUP($B14,'Indicator chart'!$D$1:$J$36,6,FALSE))</f>
        <v>0.6736356007770999</v>
      </c>
      <c r="G14" s="38">
        <f>IF(LEFT(VLOOKUP($B14,'Indicator chart'!$D$1:$J$36,7,FALSE),1)=" "," ",VLOOKUP($B14,'Indicator chart'!$D$1:$J$36,7,FALSE))</f>
        <v>0.7460434658301149</v>
      </c>
      <c r="H14" s="50">
        <f t="shared" si="0"/>
        <v>1</v>
      </c>
      <c r="I14" s="38">
        <v>0.5101280212402344</v>
      </c>
      <c r="J14" s="38">
        <v>0.736671507358551</v>
      </c>
      <c r="K14" s="38">
        <v>0.7739459872245789</v>
      </c>
      <c r="L14" s="38">
        <v>0.8261010050773621</v>
      </c>
      <c r="M14" s="38">
        <v>0.9090909957885742</v>
      </c>
      <c r="N14" s="80">
        <f>VLOOKUP('Hide - Control'!B$3,'All practice data'!A:CA,A14+29,FALSE)</f>
        <v>0.7825376191601671</v>
      </c>
      <c r="O14" s="80">
        <f>VLOOKUP('Hide - Control'!C$3,'All practice data'!A:CA,A14+29,FALSE)</f>
        <v>0.7559681673907895</v>
      </c>
      <c r="P14" s="38">
        <f>VLOOKUP('Hide - Control'!$B$4,'All practice data'!B:BC,A14+2,FALSE)</f>
        <v>79462</v>
      </c>
      <c r="Q14" s="38">
        <f>VLOOKUP('Hide - Control'!$B$4,'All practice data'!B:BJ,59,FALSE)</f>
        <v>101544</v>
      </c>
      <c r="R14" s="38">
        <f t="shared" si="17"/>
        <v>0.7799896456013704</v>
      </c>
      <c r="S14" s="38">
        <f t="shared" si="18"/>
        <v>0.7850642156714428</v>
      </c>
      <c r="T14" s="53">
        <f t="shared" si="16"/>
        <v>0.9090909957885742</v>
      </c>
      <c r="U14" s="51">
        <f t="shared" si="1"/>
        <v>0.5101280212402344</v>
      </c>
      <c r="V14" s="7"/>
      <c r="W14" s="27">
        <f t="shared" si="2"/>
        <v>0.5101280212402344</v>
      </c>
      <c r="X14" s="27">
        <f t="shared" si="3"/>
        <v>1.0377639532089233</v>
      </c>
      <c r="Y14" s="27">
        <f t="shared" si="4"/>
        <v>0.5101280212402344</v>
      </c>
      <c r="Z14" s="27">
        <f t="shared" si="5"/>
        <v>1.0377639532089233</v>
      </c>
      <c r="AA14" s="32">
        <f t="shared" si="6"/>
        <v>0</v>
      </c>
      <c r="AB14" s="33">
        <f t="shared" si="7"/>
        <v>0.42935568332704116</v>
      </c>
      <c r="AC14" s="33">
        <v>0.5</v>
      </c>
      <c r="AD14" s="33">
        <f t="shared" si="8"/>
        <v>0.5988465998859952</v>
      </c>
      <c r="AE14" s="33">
        <f t="shared" si="9"/>
        <v>0.756133065198477</v>
      </c>
      <c r="AF14" s="33">
        <f t="shared" si="10"/>
        <v>-999</v>
      </c>
      <c r="AG14" s="33">
        <f t="shared" si="11"/>
        <v>-999</v>
      </c>
      <c r="AH14" s="33">
        <f t="shared" si="12"/>
        <v>0.381052476865235</v>
      </c>
      <c r="AI14" s="34">
        <f t="shared" si="13"/>
        <v>0.46592760510696957</v>
      </c>
      <c r="AJ14" s="4">
        <v>10.234019270112368</v>
      </c>
      <c r="AK14" s="32">
        <f t="shared" si="14"/>
        <v>0.381052476865235</v>
      </c>
      <c r="AL14" s="34">
        <f t="shared" si="15"/>
        <v>-999</v>
      </c>
      <c r="AY14" s="103" t="s">
        <v>53</v>
      </c>
      <c r="AZ14" s="103" t="s">
        <v>478</v>
      </c>
      <c r="BA14" s="103" t="s">
        <v>535</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112</v>
      </c>
      <c r="E15" s="38">
        <f>IF(LEFT(VLOOKUP($B15,'Indicator chart'!$D$1:$J$36,5,FALSE),1)=" "," ",VLOOKUP($B15,'Indicator chart'!$D$1:$J$36,5,FALSE))</f>
        <v>0.493392</v>
      </c>
      <c r="F15" s="38">
        <f>IF(LEFT(VLOOKUP($B15,'Indicator chart'!$D$1:$J$36,6,FALSE),1)=" "," ",VLOOKUP($B15,'Indicator chart'!$D$1:$J$36,6,FALSE))</f>
        <v>0.42900619247067795</v>
      </c>
      <c r="G15" s="38">
        <f>IF(LEFT(VLOOKUP($B15,'Indicator chart'!$D$1:$J$36,7,FALSE),1)=" "," ",VLOOKUP($B15,'Indicator chart'!$D$1:$J$36,7,FALSE))</f>
        <v>0.5579978830512384</v>
      </c>
      <c r="H15" s="50">
        <f t="shared" si="0"/>
        <v>2</v>
      </c>
      <c r="I15" s="38">
        <v>0.17129600048065186</v>
      </c>
      <c r="J15" s="38">
        <v>0.4063214957714081</v>
      </c>
      <c r="K15" s="38">
        <v>0.49683499336242676</v>
      </c>
      <c r="L15" s="38">
        <v>0.6038560271263123</v>
      </c>
      <c r="M15" s="38">
        <v>0.6605389714241028</v>
      </c>
      <c r="N15" s="80">
        <f>VLOOKUP('Hide - Control'!B$3,'All practice data'!A:CA,A15+29,FALSE)</f>
        <v>0.5416224936621341</v>
      </c>
      <c r="O15" s="80">
        <f>VLOOKUP('Hide - Control'!C$3,'All practice data'!A:CA,A15+29,FALSE)</f>
        <v>0.5147293797466616</v>
      </c>
      <c r="P15" s="38">
        <f>VLOOKUP('Hide - Control'!$B$4,'All practice data'!B:BC,A15+2,FALSE)</f>
        <v>23501</v>
      </c>
      <c r="Q15" s="38">
        <f>VLOOKUP('Hide - Control'!$B$4,'All practice data'!B:BJ,60,FALSE)</f>
        <v>43390</v>
      </c>
      <c r="R15" s="38">
        <f t="shared" si="17"/>
        <v>0.5369306518379762</v>
      </c>
      <c r="S15" s="38">
        <f t="shared" si="18"/>
        <v>0.5463069659165211</v>
      </c>
      <c r="T15" s="53">
        <f t="shared" si="16"/>
        <v>0.6605389714241028</v>
      </c>
      <c r="U15" s="51">
        <f t="shared" si="1"/>
        <v>0.17129600048065186</v>
      </c>
      <c r="V15" s="7"/>
      <c r="W15" s="27">
        <f t="shared" si="2"/>
        <v>0.17129600048065186</v>
      </c>
      <c r="X15" s="27">
        <f t="shared" si="3"/>
        <v>0.8223739862442017</v>
      </c>
      <c r="Y15" s="27">
        <f t="shared" si="4"/>
        <v>0.17129600048065186</v>
      </c>
      <c r="Z15" s="27">
        <f t="shared" si="5"/>
        <v>0.8223739862442017</v>
      </c>
      <c r="AA15" s="32">
        <f t="shared" si="6"/>
        <v>0</v>
      </c>
      <c r="AB15" s="33">
        <f t="shared" si="7"/>
        <v>0.360979023142874</v>
      </c>
      <c r="AC15" s="33">
        <v>0.5</v>
      </c>
      <c r="AD15" s="33">
        <f t="shared" si="8"/>
        <v>0.6643751380080481</v>
      </c>
      <c r="AE15" s="33">
        <f t="shared" si="9"/>
        <v>0.7514352837006041</v>
      </c>
      <c r="AF15" s="33">
        <f t="shared" si="10"/>
        <v>-999</v>
      </c>
      <c r="AG15" s="33">
        <f t="shared" si="11"/>
        <v>0.49471185720034905</v>
      </c>
      <c r="AH15" s="33">
        <f t="shared" si="12"/>
        <v>-999</v>
      </c>
      <c r="AI15" s="34">
        <f t="shared" si="13"/>
        <v>0.5274842442464849</v>
      </c>
      <c r="AJ15" s="4">
        <v>11.310014695494289</v>
      </c>
      <c r="AK15" s="32">
        <f t="shared" si="14"/>
        <v>-999</v>
      </c>
      <c r="AL15" s="34">
        <f t="shared" si="15"/>
        <v>-999</v>
      </c>
      <c r="AY15" s="103" t="s">
        <v>229</v>
      </c>
      <c r="AZ15" s="103" t="s">
        <v>230</v>
      </c>
      <c r="BA15" s="103" t="s">
        <v>354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57</v>
      </c>
      <c r="E16" s="38">
        <f>IF(LEFT(VLOOKUP($B16,'Indicator chart'!$D$1:$J$36,5,FALSE),1)=" "," ",VLOOKUP($B16,'Indicator chart'!$D$1:$J$36,5,FALSE))</f>
        <v>0.491379</v>
      </c>
      <c r="F16" s="38">
        <f>IF(LEFT(VLOOKUP($B16,'Indicator chart'!$D$1:$J$36,6,FALSE),1)=" "," ",VLOOKUP($B16,'Indicator chart'!$D$1:$J$36,6,FALSE))</f>
        <v>0.4021480781194227</v>
      </c>
      <c r="G16" s="38">
        <f>IF(LEFT(VLOOKUP($B16,'Indicator chart'!$D$1:$J$36,7,FALSE),1)=" "," ",VLOOKUP($B16,'Indicator chart'!$D$1:$J$36,7,FALSE))</f>
        <v>0.5811632261355272</v>
      </c>
      <c r="H16" s="50">
        <f t="shared" si="0"/>
        <v>2</v>
      </c>
      <c r="I16" s="38">
        <v>0.19047600030899048</v>
      </c>
      <c r="J16" s="38">
        <v>0.4654344916343689</v>
      </c>
      <c r="K16" s="38">
        <v>0.5471699833869934</v>
      </c>
      <c r="L16" s="38">
        <v>0.621425986289978</v>
      </c>
      <c r="M16" s="38">
        <v>0.6980000138282776</v>
      </c>
      <c r="N16" s="80">
        <f>VLOOKUP('Hide - Control'!B$3,'All practice data'!A:CA,A16+29,FALSE)</f>
        <v>0.5740235729142593</v>
      </c>
      <c r="O16" s="80">
        <f>VLOOKUP('Hide - Control'!C$3,'All practice data'!A:CA,A16+29,FALSE)</f>
        <v>0.5752927626212945</v>
      </c>
      <c r="P16" s="38">
        <f>VLOOKUP('Hide - Control'!$B$4,'All practice data'!B:BC,A16+2,FALSE)</f>
        <v>12419</v>
      </c>
      <c r="Q16" s="38">
        <f>VLOOKUP('Hide - Control'!$B$4,'All practice data'!B:BJ,61,FALSE)</f>
        <v>21635</v>
      </c>
      <c r="R16" s="38">
        <f t="shared" si="17"/>
        <v>0.5674217640112855</v>
      </c>
      <c r="S16" s="38">
        <f t="shared" si="18"/>
        <v>0.5805990986212133</v>
      </c>
      <c r="T16" s="53">
        <f aca="true" t="shared" si="19" ref="T16:T31">IF($C16=1,M16,I16)</f>
        <v>0.6980000138282776</v>
      </c>
      <c r="U16" s="51">
        <f aca="true" t="shared" si="20" ref="U16:U31">IF($C16=1,I16,M16)</f>
        <v>0.19047600030899048</v>
      </c>
      <c r="V16" s="7"/>
      <c r="W16" s="27">
        <f t="shared" si="2"/>
        <v>0.19047600030899048</v>
      </c>
      <c r="X16" s="27">
        <f t="shared" si="3"/>
        <v>0.9038639664649963</v>
      </c>
      <c r="Y16" s="27">
        <f t="shared" si="4"/>
        <v>0.19047600030899048</v>
      </c>
      <c r="Z16" s="27">
        <f t="shared" si="5"/>
        <v>0.9038639664649963</v>
      </c>
      <c r="AA16" s="32">
        <f t="shared" si="6"/>
        <v>0</v>
      </c>
      <c r="AB16" s="33">
        <f t="shared" si="7"/>
        <v>0.3854263099039291</v>
      </c>
      <c r="AC16" s="33">
        <v>0.5</v>
      </c>
      <c r="AD16" s="33">
        <f t="shared" si="8"/>
        <v>0.6040892283382673</v>
      </c>
      <c r="AE16" s="33">
        <f t="shared" si="9"/>
        <v>0.7114277750632819</v>
      </c>
      <c r="AF16" s="33">
        <f t="shared" si="10"/>
        <v>-999</v>
      </c>
      <c r="AG16" s="33">
        <f t="shared" si="11"/>
        <v>0.421794330667483</v>
      </c>
      <c r="AH16" s="33">
        <f t="shared" si="12"/>
        <v>-999</v>
      </c>
      <c r="AI16" s="34">
        <f t="shared" si="13"/>
        <v>0.5394214376587214</v>
      </c>
      <c r="AJ16" s="4">
        <v>12.386010120876215</v>
      </c>
      <c r="AK16" s="32">
        <f t="shared" si="14"/>
        <v>-999</v>
      </c>
      <c r="AL16" s="34">
        <f t="shared" si="15"/>
        <v>-999</v>
      </c>
      <c r="AY16" s="103" t="s">
        <v>352</v>
      </c>
      <c r="AZ16" s="103" t="s">
        <v>373</v>
      </c>
      <c r="BA16" s="103" t="s">
        <v>535</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24</v>
      </c>
      <c r="E17" s="38">
        <f>IF(LEFT(VLOOKUP($B17,'Indicator chart'!$D$1:$J$36,5,FALSE),1)=" "," ",VLOOKUP($B17,'Indicator chart'!$D$1:$J$36,5,FALSE))</f>
        <v>882.6774549466716</v>
      </c>
      <c r="F17" s="38">
        <f>IF(LEFT(VLOOKUP($B17,'Indicator chart'!$D$1:$J$36,6,FALSE),1)=" "," ",VLOOKUP($B17,'Indicator chart'!$D$1:$J$36,6,FALSE))</f>
        <v>565.3766014990655</v>
      </c>
      <c r="G17" s="38">
        <f>IF(LEFT(VLOOKUP($B17,'Indicator chart'!$D$1:$J$36,7,FALSE),1)=" "," ",VLOOKUP($B17,'Indicator chart'!$D$1:$J$36,7,FALSE))</f>
        <v>1313.4183463520185</v>
      </c>
      <c r="H17" s="50">
        <f t="shared" si="0"/>
        <v>1</v>
      </c>
      <c r="I17" s="38">
        <v>265.604248046875</v>
      </c>
      <c r="J17" s="38">
        <v>783.299072265625</v>
      </c>
      <c r="K17" s="38">
        <v>1279.70751953125</v>
      </c>
      <c r="L17" s="38">
        <v>1733.897705078125</v>
      </c>
      <c r="M17" s="38">
        <v>5173.98681640625</v>
      </c>
      <c r="N17" s="80">
        <f>VLOOKUP('Hide - Control'!B$3,'All practice data'!A:CA,A17+29,FALSE)</f>
        <v>1464.2986416719057</v>
      </c>
      <c r="O17" s="80">
        <f>VLOOKUP('Hide - Control'!C$3,'All practice data'!A:CA,A17+29,FALSE)</f>
        <v>1812.1669120472948</v>
      </c>
      <c r="P17" s="38">
        <f>VLOOKUP('Hide - Control'!$B$4,'All practice data'!B:BC,A17+2,FALSE)</f>
        <v>6149</v>
      </c>
      <c r="Q17" s="38">
        <f>VLOOKUP('Hide - Control'!$B$4,'All practice data'!B:BC,3,FALSE)</f>
        <v>419928</v>
      </c>
      <c r="R17" s="38">
        <f>100000*(P17*(1-1/(9*P17)-1.96/(3*SQRT(P17)))^3)/Q17</f>
        <v>1427.9244737150973</v>
      </c>
      <c r="S17" s="38">
        <f>100000*((P17+1)*(1-1/(9*(P17+1))+1.96/(3*SQRT(P17+1)))^3)/Q17</f>
        <v>1501.3650385216088</v>
      </c>
      <c r="T17" s="53">
        <f t="shared" si="19"/>
        <v>5173.98681640625</v>
      </c>
      <c r="U17" s="51">
        <f t="shared" si="20"/>
        <v>265.604248046875</v>
      </c>
      <c r="V17" s="7"/>
      <c r="W17" s="27">
        <f t="shared" si="2"/>
        <v>-2614.57177734375</v>
      </c>
      <c r="X17" s="27">
        <f t="shared" si="3"/>
        <v>5173.98681640625</v>
      </c>
      <c r="Y17" s="27">
        <f t="shared" si="4"/>
        <v>-2614.57177734375</v>
      </c>
      <c r="Z17" s="27">
        <f t="shared" si="5"/>
        <v>5173.98681640625</v>
      </c>
      <c r="AA17" s="32">
        <f t="shared" si="6"/>
        <v>0.3697957703883551</v>
      </c>
      <c r="AB17" s="33">
        <f t="shared" si="7"/>
        <v>0.4362644010068856</v>
      </c>
      <c r="AC17" s="33">
        <v>0.5</v>
      </c>
      <c r="AD17" s="33">
        <f t="shared" si="8"/>
        <v>0.5583150502214035</v>
      </c>
      <c r="AE17" s="33">
        <f t="shared" si="9"/>
        <v>1</v>
      </c>
      <c r="AF17" s="33">
        <f t="shared" si="10"/>
        <v>-999</v>
      </c>
      <c r="AG17" s="33">
        <f t="shared" si="11"/>
        <v>-999</v>
      </c>
      <c r="AH17" s="33">
        <f t="shared" si="12"/>
        <v>0.44902393558377046</v>
      </c>
      <c r="AI17" s="34">
        <f t="shared" si="13"/>
        <v>0.5683643046536648</v>
      </c>
      <c r="AJ17" s="4">
        <v>13.462005546258133</v>
      </c>
      <c r="AK17" s="32">
        <f t="shared" si="14"/>
        <v>0.44902393558377046</v>
      </c>
      <c r="AL17" s="34">
        <f t="shared" si="15"/>
        <v>-999</v>
      </c>
      <c r="AY17" s="103" t="s">
        <v>103</v>
      </c>
      <c r="AZ17" s="103" t="s">
        <v>104</v>
      </c>
      <c r="BA17" s="103" t="s">
        <v>354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24</v>
      </c>
      <c r="E18" s="80">
        <f>IF(LEFT(VLOOKUP($B18,'Indicator chart'!$D$1:$J$36,5,FALSE),1)=" "," ",VLOOKUP($B18,'Indicator chart'!$D$1:$J$36,5,FALSE))</f>
        <v>0.6330833054</v>
      </c>
      <c r="F18" s="81">
        <f>IF(LEFT(VLOOKUP($B18,'Indicator chart'!$D$1:$J$36,6,FALSE),1)=" "," ",VLOOKUP($B18,'Indicator chart'!$D$1:$J$36,6,FALSE))</f>
        <v>0.40562843319999997</v>
      </c>
      <c r="G18" s="38">
        <f>IF(LEFT(VLOOKUP($B18,'Indicator chart'!$D$1:$J$36,7,FALSE),1)=" "," ",VLOOKUP($B18,'Indicator chart'!$D$1:$J$36,7,FALSE))</f>
        <v>0.9419777679000001</v>
      </c>
      <c r="H18" s="50">
        <f>IF(LEFT(F18,1)=" ",4,IF(AND(ABS(N18-E18)&gt;SQRT((E18-G18)^2+(N18-R18)^2),E18&lt;N18),1,IF(AND(ABS(N18-E18)&gt;SQRT((E18-F18)^2+(N18-S18)^2),E18&gt;N18),3,2)))</f>
        <v>1</v>
      </c>
      <c r="I18" s="38">
        <v>0.1793227642774582</v>
      </c>
      <c r="J18" s="38"/>
      <c r="K18" s="38">
        <v>1</v>
      </c>
      <c r="L18" s="38"/>
      <c r="M18" s="38">
        <v>2.6255428791046143</v>
      </c>
      <c r="N18" s="80">
        <v>1</v>
      </c>
      <c r="O18" s="80">
        <f>VLOOKUP('Hide - Control'!C$3,'All practice data'!A:CA,A18+29,FALSE)</f>
        <v>1</v>
      </c>
      <c r="P18" s="38">
        <f>VLOOKUP('Hide - Control'!$B$4,'All practice data'!B:BC,A18+2,FALSE)</f>
        <v>6149</v>
      </c>
      <c r="Q18" s="38">
        <f>VLOOKUP('Hide - Control'!$B$4,'All practice data'!B:BC,14,FALSE)</f>
        <v>6149</v>
      </c>
      <c r="R18" s="81">
        <v>1</v>
      </c>
      <c r="S18" s="38">
        <v>1</v>
      </c>
      <c r="T18" s="53">
        <f t="shared" si="19"/>
        <v>2.6255428791046143</v>
      </c>
      <c r="U18" s="51">
        <f t="shared" si="20"/>
        <v>0.1793227642774582</v>
      </c>
      <c r="V18" s="7"/>
      <c r="W18" s="27">
        <f>IF((K18-I18)&gt;(M18-K18),I18,(K18-(M18-K18)))</f>
        <v>-0.6255428791046143</v>
      </c>
      <c r="X18" s="27">
        <f t="shared" si="3"/>
        <v>2.6255428791046143</v>
      </c>
      <c r="Y18" s="27">
        <f t="shared" si="4"/>
        <v>-0.6255428791046143</v>
      </c>
      <c r="Z18" s="27">
        <f t="shared" si="5"/>
        <v>2.6255428791046143</v>
      </c>
      <c r="AA18" s="32" t="s">
        <v>354</v>
      </c>
      <c r="AB18" s="33" t="s">
        <v>354</v>
      </c>
      <c r="AC18" s="33">
        <v>0.5</v>
      </c>
      <c r="AD18" s="33" t="s">
        <v>354</v>
      </c>
      <c r="AE18" s="33" t="s">
        <v>354</v>
      </c>
      <c r="AF18" s="33">
        <f t="shared" si="10"/>
        <v>-999</v>
      </c>
      <c r="AG18" s="33">
        <f t="shared" si="11"/>
        <v>-999</v>
      </c>
      <c r="AH18" s="33">
        <f t="shared" si="12"/>
        <v>0.3871402596275695</v>
      </c>
      <c r="AI18" s="34">
        <v>0.5</v>
      </c>
      <c r="AJ18" s="4">
        <v>14.538000971640056</v>
      </c>
      <c r="AK18" s="32">
        <f t="shared" si="14"/>
        <v>0.3871402596275695</v>
      </c>
      <c r="AL18" s="34">
        <f t="shared" si="15"/>
        <v>-999</v>
      </c>
      <c r="AY18" s="103" t="s">
        <v>105</v>
      </c>
      <c r="AZ18" s="103" t="s">
        <v>106</v>
      </c>
      <c r="BA18" s="103" t="s">
        <v>354</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0.08411949872970581</v>
      </c>
      <c r="K19" s="38">
        <v>0.13750000298023224</v>
      </c>
      <c r="L19" s="38">
        <v>0.1830357164144516</v>
      </c>
      <c r="M19" s="38">
        <v>0.5384615659713745</v>
      </c>
      <c r="N19" s="80">
        <f>VLOOKUP('Hide - Control'!B$3,'All practice data'!A:CA,A19+29,FALSE)</f>
        <v>0.13237924865831843</v>
      </c>
      <c r="O19" s="80">
        <f>VLOOKUP('Hide - Control'!C$3,'All practice data'!A:CA,A19+29,FALSE)</f>
        <v>0.10919341638628717</v>
      </c>
      <c r="P19" s="38">
        <f>VLOOKUP('Hide - Control'!$B$4,'All practice data'!B:BC,A19+2,FALSE)</f>
        <v>814</v>
      </c>
      <c r="Q19" s="38">
        <f>VLOOKUP('Hide - Control'!$B$4,'All practice data'!B:BC,15,FALSE)</f>
        <v>6149</v>
      </c>
      <c r="R19" s="38">
        <f>+((2*P19+1.96^2-1.96*SQRT(1.96^2+4*P19*(1-P19/Q19)))/(2*(Q19+1.96^2)))</f>
        <v>0.12413742762448271</v>
      </c>
      <c r="S19" s="38">
        <f>+((2*P19+1.96^2+1.96*SQRT(1.96^2+4*P19*(1-P19/Q19)))/(2*(Q19+1.96^2)))</f>
        <v>0.14108012648905077</v>
      </c>
      <c r="T19" s="53">
        <f t="shared" si="19"/>
        <v>0.5384615659713745</v>
      </c>
      <c r="U19" s="51">
        <f t="shared" si="20"/>
        <v>0.02070442959666252</v>
      </c>
      <c r="V19" s="7"/>
      <c r="W19" s="27">
        <f t="shared" si="2"/>
        <v>-0.26346156001091003</v>
      </c>
      <c r="X19" s="27">
        <f t="shared" si="3"/>
        <v>0.5384615659713745</v>
      </c>
      <c r="Y19" s="27">
        <f t="shared" si="4"/>
        <v>-0.26346156001091003</v>
      </c>
      <c r="Z19" s="27">
        <f t="shared" si="5"/>
        <v>0.5384615659713745</v>
      </c>
      <c r="AA19" s="32">
        <f t="shared" si="6"/>
        <v>0.35435564881545784</v>
      </c>
      <c r="AB19" s="33">
        <f t="shared" si="7"/>
        <v>0.43343438726107314</v>
      </c>
      <c r="AC19" s="33">
        <v>0.5</v>
      </c>
      <c r="AD19" s="33">
        <f t="shared" si="8"/>
        <v>0.5567831403770058</v>
      </c>
      <c r="AE19" s="33">
        <f t="shared" si="9"/>
        <v>1</v>
      </c>
      <c r="AF19" s="33">
        <f t="shared" si="10"/>
        <v>-999</v>
      </c>
      <c r="AG19" s="33">
        <f t="shared" si="11"/>
        <v>-999</v>
      </c>
      <c r="AH19" s="33">
        <f t="shared" si="12"/>
        <v>-999</v>
      </c>
      <c r="AI19" s="34">
        <f t="shared" si="13"/>
        <v>0.46470162079529503</v>
      </c>
      <c r="AJ19" s="4">
        <v>15.61399639702198</v>
      </c>
      <c r="AK19" s="32">
        <f t="shared" si="14"/>
        <v>-999</v>
      </c>
      <c r="AL19" s="34">
        <f t="shared" si="15"/>
        <v>-999</v>
      </c>
      <c r="AY19" s="103" t="s">
        <v>270</v>
      </c>
      <c r="AZ19" s="103" t="s">
        <v>474</v>
      </c>
      <c r="BA19" s="103" t="s">
        <v>354</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0.38604649901390076</v>
      </c>
      <c r="K20" s="38">
        <v>0.4545454680919647</v>
      </c>
      <c r="L20" s="38">
        <v>0.5384615659713745</v>
      </c>
      <c r="M20" s="38">
        <v>1</v>
      </c>
      <c r="N20" s="80">
        <f>VLOOKUP('Hide - Control'!B$3,'All practice data'!A:CA,A20+29,FALSE)</f>
        <v>0.4635535307517084</v>
      </c>
      <c r="O20" s="80">
        <f>VLOOKUP('Hide - Control'!C$3,'All practice data'!A:CA,A20+29,FALSE)</f>
        <v>0.4534552930810221</v>
      </c>
      <c r="P20" s="38">
        <f>VLOOKUP('Hide - Control'!$B$4,'All practice data'!B:BC,A20+1,FALSE)</f>
        <v>814</v>
      </c>
      <c r="Q20" s="38">
        <f>VLOOKUP('Hide - Control'!$B$4,'All practice data'!B:BC,A20+2,FALSE)</f>
        <v>1756</v>
      </c>
      <c r="R20" s="38">
        <f>+((2*P20+1.96^2-1.96*SQRT(1.96^2+4*P20*(1-P20/Q20)))/(2*(Q20+1.96^2)))</f>
        <v>0.4403342153703291</v>
      </c>
      <c r="S20" s="38">
        <f>+((2*P20+1.96^2+1.96*SQRT(1.96^2+4*P20*(1-P20/Q20)))/(2*(Q20+1.96^2)))</f>
        <v>0.4869319658587088</v>
      </c>
      <c r="T20" s="53">
        <f t="shared" si="19"/>
        <v>1</v>
      </c>
      <c r="U20" s="51">
        <f t="shared" si="20"/>
        <v>0.09238772839307785</v>
      </c>
      <c r="V20" s="7"/>
      <c r="W20" s="27">
        <f t="shared" si="2"/>
        <v>-0.09090906381607056</v>
      </c>
      <c r="X20" s="27">
        <f t="shared" si="3"/>
        <v>1</v>
      </c>
      <c r="Y20" s="27">
        <f t="shared" si="4"/>
        <v>-0.09090906381607056</v>
      </c>
      <c r="Z20" s="27">
        <f t="shared" si="5"/>
        <v>1</v>
      </c>
      <c r="AA20" s="32">
        <f t="shared" si="6"/>
        <v>0.1680220636979258</v>
      </c>
      <c r="AB20" s="33">
        <f t="shared" si="7"/>
        <v>0.43720927678568355</v>
      </c>
      <c r="AC20" s="33">
        <v>0.5</v>
      </c>
      <c r="AD20" s="33">
        <f t="shared" si="8"/>
        <v>0.576923091633198</v>
      </c>
      <c r="AE20" s="33">
        <f t="shared" si="9"/>
        <v>1</v>
      </c>
      <c r="AF20" s="33">
        <f t="shared" si="10"/>
        <v>-999</v>
      </c>
      <c r="AG20" s="33">
        <f t="shared" si="11"/>
        <v>-999</v>
      </c>
      <c r="AH20" s="33">
        <f t="shared" si="12"/>
        <v>-999</v>
      </c>
      <c r="AI20" s="34">
        <f t="shared" si="13"/>
        <v>0.4990006728818173</v>
      </c>
      <c r="AJ20" s="4">
        <v>16.689991822403904</v>
      </c>
      <c r="AK20" s="32">
        <f t="shared" si="14"/>
        <v>-999</v>
      </c>
      <c r="AL20" s="34">
        <f t="shared" si="15"/>
        <v>-999</v>
      </c>
      <c r="AY20" s="103" t="s">
        <v>211</v>
      </c>
      <c r="AZ20" s="103" t="s">
        <v>455</v>
      </c>
      <c r="BA20" s="103" t="s">
        <v>354</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153.9279022216797</v>
      </c>
      <c r="K21" s="38">
        <v>225.93763732910156</v>
      </c>
      <c r="L21" s="38">
        <v>318.0094299316406</v>
      </c>
      <c r="M21" s="38">
        <v>990.4861450195312</v>
      </c>
      <c r="N21" s="80">
        <f>VLOOKUP('Hide - Control'!B$3,'All practice data'!A:CA,A21+29,FALSE)</f>
        <v>270.2844297117601</v>
      </c>
      <c r="O21" s="80">
        <f>VLOOKUP('Hide - Control'!C$3,'All practice data'!A:CA,A21+29,FALSE)</f>
        <v>377.7293140102421</v>
      </c>
      <c r="P21" s="38">
        <f>VLOOKUP('Hide - Control'!$B$4,'All practice data'!B:BC,A21+2,FALSE)</f>
        <v>1135</v>
      </c>
      <c r="Q21" s="38">
        <f>VLOOKUP('Hide - Control'!$B$4,'All practice data'!B:BC,3,FALSE)</f>
        <v>419928</v>
      </c>
      <c r="R21" s="38">
        <f aca="true" t="shared" si="21" ref="R21:R27">100000*(P21*(1-1/(9*P21)-1.96/(3*SQRT(P21)))^3)/Q21</f>
        <v>254.7864933407078</v>
      </c>
      <c r="S21" s="38">
        <f aca="true" t="shared" si="22" ref="S21:S27">100000*((P21+1)*(1-1/(9*(P21+1))+1.96/(3*SQRT(P21+1)))^3)/Q21</f>
        <v>286.4785090467472</v>
      </c>
      <c r="T21" s="53">
        <f t="shared" si="19"/>
        <v>990.4861450195312</v>
      </c>
      <c r="U21" s="51">
        <f t="shared" si="20"/>
        <v>61.46357345581055</v>
      </c>
      <c r="V21" s="7"/>
      <c r="W21" s="27">
        <f t="shared" si="2"/>
        <v>-538.6108703613281</v>
      </c>
      <c r="X21" s="27">
        <f t="shared" si="3"/>
        <v>990.4861450195312</v>
      </c>
      <c r="Y21" s="27">
        <f t="shared" si="4"/>
        <v>-538.6108703613281</v>
      </c>
      <c r="Z21" s="27">
        <f t="shared" si="5"/>
        <v>990.4861450195312</v>
      </c>
      <c r="AA21" s="32">
        <f t="shared" si="6"/>
        <v>0.39243712974462597</v>
      </c>
      <c r="AB21" s="33">
        <f t="shared" si="7"/>
        <v>0.4529070200366024</v>
      </c>
      <c r="AC21" s="33">
        <v>0.5</v>
      </c>
      <c r="AD21" s="33">
        <f t="shared" si="8"/>
        <v>0.5602131792008019</v>
      </c>
      <c r="AE21" s="33">
        <f t="shared" si="9"/>
        <v>1</v>
      </c>
      <c r="AF21" s="33">
        <f t="shared" si="10"/>
        <v>-999</v>
      </c>
      <c r="AG21" s="33">
        <f t="shared" si="11"/>
        <v>-999</v>
      </c>
      <c r="AH21" s="33">
        <f t="shared" si="12"/>
        <v>-999</v>
      </c>
      <c r="AI21" s="34">
        <f t="shared" si="13"/>
        <v>0.5992688332749986</v>
      </c>
      <c r="AJ21" s="4">
        <v>17.765987247785823</v>
      </c>
      <c r="AK21" s="32">
        <f t="shared" si="14"/>
        <v>-999</v>
      </c>
      <c r="AL21" s="34">
        <f t="shared" si="15"/>
        <v>-999</v>
      </c>
      <c r="AY21" s="103" t="s">
        <v>123</v>
      </c>
      <c r="AZ21" s="103" t="s">
        <v>429</v>
      </c>
      <c r="BA21" s="103" t="s">
        <v>354</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87.94599151611328</v>
      </c>
      <c r="K22" s="38">
        <v>212.1913604736328</v>
      </c>
      <c r="L22" s="38">
        <v>311.1374816894531</v>
      </c>
      <c r="M22" s="38">
        <v>834.0935668945312</v>
      </c>
      <c r="N22" s="80">
        <f>VLOOKUP('Hide - Control'!B$3,'All practice data'!A:CA,A22+29,FALSE)</f>
        <v>231.23011563887144</v>
      </c>
      <c r="O22" s="80">
        <f>VLOOKUP('Hide - Control'!C$3,'All practice data'!A:CA,A22+29,FALSE)</f>
        <v>282.45290788403287</v>
      </c>
      <c r="P22" s="38">
        <f>VLOOKUP('Hide - Control'!$B$4,'All practice data'!B:BC,A22+2,FALSE)</f>
        <v>971</v>
      </c>
      <c r="Q22" s="38">
        <f>VLOOKUP('Hide - Control'!$B$4,'All practice data'!B:BC,3,FALSE)</f>
        <v>419928</v>
      </c>
      <c r="R22" s="38">
        <f t="shared" si="21"/>
        <v>216.91261553117695</v>
      </c>
      <c r="S22" s="38">
        <f t="shared" si="22"/>
        <v>246.2443131620191</v>
      </c>
      <c r="T22" s="53">
        <f t="shared" si="19"/>
        <v>834.0935668945312</v>
      </c>
      <c r="U22" s="51">
        <f t="shared" si="20"/>
        <v>18.07059669494629</v>
      </c>
      <c r="V22" s="7"/>
      <c r="W22" s="27">
        <f t="shared" si="2"/>
        <v>-409.7108459472656</v>
      </c>
      <c r="X22" s="27">
        <f t="shared" si="3"/>
        <v>834.0935668945312</v>
      </c>
      <c r="Y22" s="27">
        <f t="shared" si="4"/>
        <v>-409.7108459472656</v>
      </c>
      <c r="Z22" s="27">
        <f t="shared" si="5"/>
        <v>834.0935668945312</v>
      </c>
      <c r="AA22" s="32">
        <f t="shared" si="6"/>
        <v>0.34392983191371157</v>
      </c>
      <c r="AB22" s="33">
        <f t="shared" si="7"/>
        <v>0.40010859611468297</v>
      </c>
      <c r="AC22" s="33">
        <v>0.5</v>
      </c>
      <c r="AD22" s="33">
        <f t="shared" si="8"/>
        <v>0.5795511900377905</v>
      </c>
      <c r="AE22" s="33">
        <f t="shared" si="9"/>
        <v>1</v>
      </c>
      <c r="AF22" s="33">
        <f t="shared" si="10"/>
        <v>-999</v>
      </c>
      <c r="AG22" s="33">
        <f t="shared" si="11"/>
        <v>-999</v>
      </c>
      <c r="AH22" s="33">
        <f t="shared" si="12"/>
        <v>-999</v>
      </c>
      <c r="AI22" s="34">
        <f t="shared" si="13"/>
        <v>0.5564892250622179</v>
      </c>
      <c r="AJ22" s="4">
        <v>18.841982673167745</v>
      </c>
      <c r="AK22" s="32">
        <f t="shared" si="14"/>
        <v>-999</v>
      </c>
      <c r="AL22" s="34">
        <f t="shared" si="15"/>
        <v>-999</v>
      </c>
      <c r="AY22" s="103" t="s">
        <v>149</v>
      </c>
      <c r="AZ22" s="103" t="s">
        <v>439</v>
      </c>
      <c r="BA22" s="103" t="s">
        <v>354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31.000408172607422</v>
      </c>
      <c r="K23" s="38">
        <v>77.94232177734375</v>
      </c>
      <c r="L23" s="38">
        <v>104.40252685546875</v>
      </c>
      <c r="M23" s="38">
        <v>247.6215362548828</v>
      </c>
      <c r="N23" s="80">
        <f>VLOOKUP('Hide - Control'!B$3,'All practice data'!A:CA,A23+29,FALSE)</f>
        <v>77.15608390009716</v>
      </c>
      <c r="O23" s="80">
        <f>VLOOKUP('Hide - Control'!C$3,'All practice data'!A:CA,A23+29,FALSE)</f>
        <v>70.46674929228394</v>
      </c>
      <c r="P23" s="38">
        <f>VLOOKUP('Hide - Control'!$B$4,'All practice data'!B:BC,A23+2,FALSE)</f>
        <v>324</v>
      </c>
      <c r="Q23" s="38">
        <f>VLOOKUP('Hide - Control'!$B$4,'All practice data'!B:BC,3,FALSE)</f>
        <v>419928</v>
      </c>
      <c r="R23" s="38">
        <f t="shared" si="21"/>
        <v>68.9822006791022</v>
      </c>
      <c r="S23" s="38">
        <f t="shared" si="22"/>
        <v>86.03203204623775</v>
      </c>
      <c r="T23" s="53">
        <f t="shared" si="19"/>
        <v>247.6215362548828</v>
      </c>
      <c r="U23" s="51">
        <f t="shared" si="20"/>
        <v>3.248678207397461</v>
      </c>
      <c r="V23" s="7"/>
      <c r="W23" s="27">
        <f t="shared" si="2"/>
        <v>-91.73689270019531</v>
      </c>
      <c r="X23" s="27">
        <f t="shared" si="3"/>
        <v>247.6215362548828</v>
      </c>
      <c r="Y23" s="27">
        <f t="shared" si="4"/>
        <v>-91.73689270019531</v>
      </c>
      <c r="Z23" s="27">
        <f t="shared" si="5"/>
        <v>247.6215362548828</v>
      </c>
      <c r="AA23" s="32">
        <f t="shared" si="6"/>
        <v>0.2798974853816473</v>
      </c>
      <c r="AB23" s="33">
        <f t="shared" si="7"/>
        <v>0.3616745317059734</v>
      </c>
      <c r="AC23" s="33">
        <v>0.5</v>
      </c>
      <c r="AD23" s="33">
        <f t="shared" si="8"/>
        <v>0.5779712623010392</v>
      </c>
      <c r="AE23" s="33">
        <f t="shared" si="9"/>
        <v>1</v>
      </c>
      <c r="AF23" s="33">
        <f t="shared" si="10"/>
        <v>-999</v>
      </c>
      <c r="AG23" s="33">
        <f t="shared" si="11"/>
        <v>-999</v>
      </c>
      <c r="AH23" s="33">
        <f t="shared" si="12"/>
        <v>-999</v>
      </c>
      <c r="AI23" s="34">
        <f t="shared" si="13"/>
        <v>0.4779714548182053</v>
      </c>
      <c r="AJ23" s="4">
        <v>19.917978098549675</v>
      </c>
      <c r="AK23" s="32">
        <f t="shared" si="14"/>
        <v>-999</v>
      </c>
      <c r="AL23" s="34">
        <f t="shared" si="15"/>
        <v>-999</v>
      </c>
      <c r="AY23" s="103" t="s">
        <v>264</v>
      </c>
      <c r="AZ23" s="103" t="s">
        <v>265</v>
      </c>
      <c r="BA23" s="103" t="s">
        <v>354</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79.90367126464844</v>
      </c>
      <c r="K24" s="38">
        <v>165.23072814941406</v>
      </c>
      <c r="L24" s="38">
        <v>277.08197021484375</v>
      </c>
      <c r="M24" s="38">
        <v>808.0281372070312</v>
      </c>
      <c r="N24" s="80">
        <f>VLOOKUP('Hide - Control'!B$3,'All practice data'!A:CA,A24+29,FALSE)</f>
        <v>238.13606142005295</v>
      </c>
      <c r="O24" s="80">
        <f>VLOOKUP('Hide - Control'!C$3,'All practice data'!A:CA,A24+29,FALSE)</f>
        <v>323.23046266988894</v>
      </c>
      <c r="P24" s="38">
        <f>VLOOKUP('Hide - Control'!$B$4,'All practice data'!B:BC,A24+2,FALSE)</f>
        <v>1000</v>
      </c>
      <c r="Q24" s="38">
        <f>VLOOKUP('Hide - Control'!$B$4,'All practice data'!B:BC,3,FALSE)</f>
        <v>419928</v>
      </c>
      <c r="R24" s="38">
        <f t="shared" si="21"/>
        <v>223.60295256047104</v>
      </c>
      <c r="S24" s="38">
        <f t="shared" si="22"/>
        <v>253.36575985338487</v>
      </c>
      <c r="T24" s="53">
        <f t="shared" si="19"/>
        <v>808.0281372070312</v>
      </c>
      <c r="U24" s="51">
        <f t="shared" si="20"/>
        <v>27.3076171875</v>
      </c>
      <c r="V24" s="7"/>
      <c r="W24" s="27">
        <f t="shared" si="2"/>
        <v>-477.5666809082031</v>
      </c>
      <c r="X24" s="27">
        <f t="shared" si="3"/>
        <v>808.0281372070312</v>
      </c>
      <c r="Y24" s="27">
        <f t="shared" si="4"/>
        <v>-477.5666809082031</v>
      </c>
      <c r="Z24" s="27">
        <f t="shared" si="5"/>
        <v>808.0281372070312</v>
      </c>
      <c r="AA24" s="32">
        <f t="shared" si="6"/>
        <v>0.39271650055021357</v>
      </c>
      <c r="AB24" s="33">
        <f t="shared" si="7"/>
        <v>0.4336283441077799</v>
      </c>
      <c r="AC24" s="33">
        <v>0.5</v>
      </c>
      <c r="AD24" s="33">
        <f t="shared" si="8"/>
        <v>0.5870034947942703</v>
      </c>
      <c r="AE24" s="33">
        <f t="shared" si="9"/>
        <v>1</v>
      </c>
      <c r="AF24" s="33">
        <f t="shared" si="10"/>
        <v>-999</v>
      </c>
      <c r="AG24" s="33">
        <f t="shared" si="11"/>
        <v>-999</v>
      </c>
      <c r="AH24" s="33">
        <f t="shared" si="12"/>
        <v>-999</v>
      </c>
      <c r="AI24" s="34">
        <f t="shared" si="13"/>
        <v>0.6229001021893608</v>
      </c>
      <c r="AJ24" s="4">
        <v>20.99397352393159</v>
      </c>
      <c r="AK24" s="32">
        <f t="shared" si="14"/>
        <v>-999</v>
      </c>
      <c r="AL24" s="34">
        <f t="shared" si="15"/>
        <v>-999</v>
      </c>
      <c r="AY24" s="103" t="s">
        <v>65</v>
      </c>
      <c r="AZ24" s="103" t="s">
        <v>66</v>
      </c>
      <c r="BA24" s="103" t="s">
        <v>535</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14</v>
      </c>
      <c r="E25" s="38">
        <f>IF(LEFT(VLOOKUP($B25,'Indicator chart'!$D$1:$J$36,5,FALSE),1)=" "," ",VLOOKUP($B25,'Indicator chart'!$D$1:$J$36,5,FALSE))</f>
        <v>514.8951820522251</v>
      </c>
      <c r="F25" s="38">
        <f>IF(LEFT(VLOOKUP($B25,'Indicator chart'!$D$1:$J$36,6,FALSE),1)=" "," ",VLOOKUP($B25,'Indicator chart'!$D$1:$J$36,6,FALSE))</f>
        <v>281.25931043560877</v>
      </c>
      <c r="G25" s="38">
        <f>IF(LEFT(VLOOKUP($B25,'Indicator chart'!$D$1:$J$36,7,FALSE),1)=" "," ",VLOOKUP($B25,'Indicator chart'!$D$1:$J$36,7,FALSE))</f>
        <v>863.9641738662285</v>
      </c>
      <c r="H25" s="50">
        <f t="shared" si="0"/>
        <v>2</v>
      </c>
      <c r="I25" s="38">
        <v>81.90008544921875</v>
      </c>
      <c r="J25" s="38">
        <v>356.3031311035156</v>
      </c>
      <c r="K25" s="38">
        <v>514.8952026367188</v>
      </c>
      <c r="L25" s="38">
        <v>598.4830932617188</v>
      </c>
      <c r="M25" s="38">
        <v>911.5870361328125</v>
      </c>
      <c r="N25" s="80">
        <f>VLOOKUP('Hide - Control'!B$3,'All practice data'!A:CA,A25+29,FALSE)</f>
        <v>533.4247775809187</v>
      </c>
      <c r="O25" s="80">
        <f>VLOOKUP('Hide - Control'!C$3,'All practice data'!A:CA,A25+29,FALSE)</f>
        <v>562.6134400960308</v>
      </c>
      <c r="P25" s="38">
        <f>VLOOKUP('Hide - Control'!$B$4,'All practice data'!B:BC,A25+2,FALSE)</f>
        <v>2240</v>
      </c>
      <c r="Q25" s="38">
        <f>VLOOKUP('Hide - Control'!$B$4,'All practice data'!B:BC,3,FALSE)</f>
        <v>419928</v>
      </c>
      <c r="R25" s="38">
        <f t="shared" si="21"/>
        <v>511.5606323795875</v>
      </c>
      <c r="S25" s="38">
        <f t="shared" si="22"/>
        <v>555.9830919635175</v>
      </c>
      <c r="T25" s="53">
        <f t="shared" si="19"/>
        <v>911.5870361328125</v>
      </c>
      <c r="U25" s="51">
        <f t="shared" si="20"/>
        <v>81.90008544921875</v>
      </c>
      <c r="V25" s="7"/>
      <c r="W25" s="27">
        <f t="shared" si="2"/>
        <v>81.90008544921875</v>
      </c>
      <c r="X25" s="27">
        <f t="shared" si="3"/>
        <v>947.8903198242188</v>
      </c>
      <c r="Y25" s="27">
        <f t="shared" si="4"/>
        <v>81.90008544921875</v>
      </c>
      <c r="Z25" s="27">
        <f t="shared" si="5"/>
        <v>947.8903198242188</v>
      </c>
      <c r="AA25" s="32">
        <f t="shared" si="6"/>
        <v>0</v>
      </c>
      <c r="AB25" s="33">
        <f t="shared" si="7"/>
        <v>0.3168662125299118</v>
      </c>
      <c r="AC25" s="33">
        <v>0.5</v>
      </c>
      <c r="AD25" s="33">
        <f t="shared" si="8"/>
        <v>0.5965229021148568</v>
      </c>
      <c r="AE25" s="33">
        <f t="shared" si="9"/>
        <v>0.9580788763540654</v>
      </c>
      <c r="AF25" s="33">
        <f t="shared" si="10"/>
        <v>-999</v>
      </c>
      <c r="AG25" s="33">
        <f t="shared" si="11"/>
        <v>0.4999999762301088</v>
      </c>
      <c r="AH25" s="33">
        <f t="shared" si="12"/>
        <v>-999</v>
      </c>
      <c r="AI25" s="34">
        <f t="shared" si="13"/>
        <v>0.5551025122052919</v>
      </c>
      <c r="AJ25" s="4">
        <v>22.06996894931352</v>
      </c>
      <c r="AK25" s="32">
        <f t="shared" si="14"/>
        <v>-999</v>
      </c>
      <c r="AL25" s="34">
        <f t="shared" si="15"/>
        <v>-999</v>
      </c>
      <c r="AY25" s="103" t="s">
        <v>257</v>
      </c>
      <c r="AZ25" s="103" t="s">
        <v>258</v>
      </c>
      <c r="BA25" s="103" t="s">
        <v>535</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12</v>
      </c>
      <c r="E26" s="38">
        <f>IF(LEFT(VLOOKUP($B26,'Indicator chart'!$D$1:$J$36,5,FALSE),1)=" "," ",VLOOKUP($B26,'Indicator chart'!$D$1:$J$36,5,FALSE))</f>
        <v>441.3387274733358</v>
      </c>
      <c r="F26" s="38">
        <f>IF(LEFT(VLOOKUP($B26,'Indicator chart'!$D$1:$J$36,6,FALSE),1)=" "," ",VLOOKUP($B26,'Indicator chart'!$D$1:$J$36,6,FALSE))</f>
        <v>227.7833603483504</v>
      </c>
      <c r="G26" s="38">
        <f>IF(LEFT(VLOOKUP($B26,'Indicator chart'!$D$1:$J$36,7,FALSE),1)=" "," ",VLOOKUP($B26,'Indicator chart'!$D$1:$J$36,7,FALSE))</f>
        <v>770.9833254913406</v>
      </c>
      <c r="H26" s="50">
        <f t="shared" si="0"/>
        <v>2</v>
      </c>
      <c r="I26" s="38">
        <v>112.1823501586914</v>
      </c>
      <c r="J26" s="38">
        <v>272.34625244140625</v>
      </c>
      <c r="K26" s="38">
        <v>362.438232421875</v>
      </c>
      <c r="L26" s="38">
        <v>488.3945007324219</v>
      </c>
      <c r="M26" s="38">
        <v>737.8472290039062</v>
      </c>
      <c r="N26" s="80">
        <f>VLOOKUP('Hide - Control'!B$3,'All practice data'!A:CA,A26+29,FALSE)</f>
        <v>392.9245013430874</v>
      </c>
      <c r="O26" s="80">
        <f>VLOOKUP('Hide - Control'!C$3,'All practice data'!A:CA,A26+29,FALSE)</f>
        <v>405.57105879375996</v>
      </c>
      <c r="P26" s="38">
        <f>VLOOKUP('Hide - Control'!$B$4,'All practice data'!B:BC,A26+2,FALSE)</f>
        <v>1650</v>
      </c>
      <c r="Q26" s="38">
        <f>VLOOKUP('Hide - Control'!$B$4,'All practice data'!B:BC,3,FALSE)</f>
        <v>419928</v>
      </c>
      <c r="R26" s="38">
        <f t="shared" si="21"/>
        <v>374.19162732142365</v>
      </c>
      <c r="S26" s="38">
        <f t="shared" si="22"/>
        <v>412.3523506734981</v>
      </c>
      <c r="T26" s="53">
        <f t="shared" si="19"/>
        <v>737.8472290039062</v>
      </c>
      <c r="U26" s="51">
        <f t="shared" si="20"/>
        <v>112.1823501586914</v>
      </c>
      <c r="V26" s="7"/>
      <c r="W26" s="27">
        <f t="shared" si="2"/>
        <v>-12.97076416015625</v>
      </c>
      <c r="X26" s="27">
        <f t="shared" si="3"/>
        <v>737.8472290039062</v>
      </c>
      <c r="Y26" s="27">
        <f t="shared" si="4"/>
        <v>-12.97076416015625</v>
      </c>
      <c r="Z26" s="27">
        <f t="shared" si="5"/>
        <v>737.8472290039062</v>
      </c>
      <c r="AA26" s="32">
        <f t="shared" si="6"/>
        <v>0.1666890184549696</v>
      </c>
      <c r="AB26" s="33">
        <f t="shared" si="7"/>
        <v>0.38000822995622774</v>
      </c>
      <c r="AC26" s="33">
        <v>0.5</v>
      </c>
      <c r="AD26" s="33">
        <f t="shared" si="8"/>
        <v>0.6677587237617306</v>
      </c>
      <c r="AE26" s="33">
        <f t="shared" si="9"/>
        <v>1</v>
      </c>
      <c r="AF26" s="33">
        <f t="shared" si="10"/>
        <v>-999</v>
      </c>
      <c r="AG26" s="33">
        <f t="shared" si="11"/>
        <v>0.6050860471776415</v>
      </c>
      <c r="AH26" s="33">
        <f t="shared" si="12"/>
        <v>-999</v>
      </c>
      <c r="AI26" s="34">
        <f t="shared" si="13"/>
        <v>0.5574477793081604</v>
      </c>
      <c r="AJ26" s="4">
        <v>23.145964374695435</v>
      </c>
      <c r="AK26" s="32">
        <f t="shared" si="14"/>
        <v>-999</v>
      </c>
      <c r="AL26" s="34">
        <f t="shared" si="15"/>
        <v>-999</v>
      </c>
      <c r="AY26" s="103" t="s">
        <v>120</v>
      </c>
      <c r="AZ26" s="103" t="s">
        <v>428</v>
      </c>
      <c r="BA26" s="103" t="s">
        <v>354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26</v>
      </c>
      <c r="E27" s="38">
        <f>IF(LEFT(VLOOKUP($B27,'Indicator chart'!$D$1:$J$36,5,FALSE),1)=" "," ",VLOOKUP($B27,'Indicator chart'!$D$1:$J$36,5,FALSE))</f>
        <v>956.2339095255609</v>
      </c>
      <c r="F27" s="38">
        <f>IF(LEFT(VLOOKUP($B27,'Indicator chart'!$D$1:$J$36,6,FALSE),1)=" "," ",VLOOKUP($B27,'Indicator chart'!$D$1:$J$36,6,FALSE))</f>
        <v>624.4802343556449</v>
      </c>
      <c r="G27" s="38">
        <f>IF(LEFT(VLOOKUP($B27,'Indicator chart'!$D$1:$J$36,7,FALSE),1)=" "," ",VLOOKUP($B27,'Indicator chart'!$D$1:$J$36,7,FALSE))</f>
        <v>1401.16872297892</v>
      </c>
      <c r="H27" s="50">
        <f t="shared" si="0"/>
        <v>2</v>
      </c>
      <c r="I27" s="38">
        <v>225.2252197265625</v>
      </c>
      <c r="J27" s="38">
        <v>898.3446044921875</v>
      </c>
      <c r="K27" s="38">
        <v>1106.0767822265625</v>
      </c>
      <c r="L27" s="38">
        <v>1249.44921875</v>
      </c>
      <c r="M27" s="38">
        <v>1909.5869140625</v>
      </c>
      <c r="N27" s="80">
        <f>VLOOKUP('Hide - Control'!B$3,'All practice data'!A:CA,A27+29,FALSE)</f>
        <v>1073.5173648815987</v>
      </c>
      <c r="O27" s="80">
        <f>VLOOKUP('Hide - Control'!C$3,'All practice data'!A:CA,A27+29,FALSE)</f>
        <v>1059.3522061277838</v>
      </c>
      <c r="P27" s="38">
        <f>VLOOKUP('Hide - Control'!$B$4,'All practice data'!B:BC,A27+2,FALSE)</f>
        <v>4508</v>
      </c>
      <c r="Q27" s="38">
        <f>VLOOKUP('Hide - Control'!$B$4,'All practice data'!B:BC,3,FALSE)</f>
        <v>419928</v>
      </c>
      <c r="R27" s="38">
        <f t="shared" si="21"/>
        <v>1042.405339297612</v>
      </c>
      <c r="S27" s="38">
        <f t="shared" si="22"/>
        <v>1105.3221160688147</v>
      </c>
      <c r="T27" s="53">
        <f t="shared" si="19"/>
        <v>1909.5869140625</v>
      </c>
      <c r="U27" s="51">
        <f t="shared" si="20"/>
        <v>225.2252197265625</v>
      </c>
      <c r="V27" s="7"/>
      <c r="W27" s="27">
        <f t="shared" si="2"/>
        <v>225.2252197265625</v>
      </c>
      <c r="X27" s="27">
        <f t="shared" si="3"/>
        <v>1986.9283447265625</v>
      </c>
      <c r="Y27" s="27">
        <f t="shared" si="4"/>
        <v>225.2252197265625</v>
      </c>
      <c r="Z27" s="27">
        <f t="shared" si="5"/>
        <v>1986.9283447265625</v>
      </c>
      <c r="AA27" s="32">
        <f t="shared" si="6"/>
        <v>0</v>
      </c>
      <c r="AB27" s="33">
        <f t="shared" si="7"/>
        <v>0.3820844586204756</v>
      </c>
      <c r="AC27" s="33">
        <v>0.5</v>
      </c>
      <c r="AD27" s="33">
        <f t="shared" si="8"/>
        <v>0.5813828587171505</v>
      </c>
      <c r="AE27" s="33">
        <f t="shared" si="9"/>
        <v>0.9560984881240632</v>
      </c>
      <c r="AF27" s="33">
        <f t="shared" si="10"/>
        <v>-999</v>
      </c>
      <c r="AG27" s="33">
        <f t="shared" si="11"/>
        <v>0.41494431123234704</v>
      </c>
      <c r="AH27" s="33">
        <f t="shared" si="12"/>
        <v>-999</v>
      </c>
      <c r="AI27" s="34">
        <f t="shared" si="13"/>
        <v>0.4734776107076618</v>
      </c>
      <c r="AJ27" s="4">
        <v>24.221959800077364</v>
      </c>
      <c r="AK27" s="32">
        <f t="shared" si="14"/>
        <v>-999</v>
      </c>
      <c r="AL27" s="34">
        <f t="shared" si="15"/>
        <v>-999</v>
      </c>
      <c r="AY27" s="103" t="s">
        <v>115</v>
      </c>
      <c r="AZ27" s="103" t="s">
        <v>427</v>
      </c>
      <c r="BA27" s="103" t="s">
        <v>535</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12</v>
      </c>
      <c r="E28" s="38">
        <f>IF(LEFT(VLOOKUP($B28,'Indicator chart'!$D$1:$J$36,5,FALSE),1)=" "," ",VLOOKUP($B28,'Indicator chart'!$D$1:$J$36,5,FALSE))</f>
        <v>441.3387274733358</v>
      </c>
      <c r="F28" s="38">
        <f>IF(LEFT(VLOOKUP($B28,'Indicator chart'!$D$1:$J$36,6,FALSE),1)=" "," ",VLOOKUP($B28,'Indicator chart'!$D$1:$J$36,6,FALSE))</f>
        <v>227.7833603483504</v>
      </c>
      <c r="G28" s="38">
        <f>IF(LEFT(VLOOKUP($B28,'Indicator chart'!$D$1:$J$36,7,FALSE),1)=" "," ",VLOOKUP($B28,'Indicator chart'!$D$1:$J$36,7,FALSE))</f>
        <v>770.9833254913406</v>
      </c>
      <c r="H28" s="50">
        <f t="shared" si="0"/>
        <v>2</v>
      </c>
      <c r="I28" s="38">
        <v>155.9251708984375</v>
      </c>
      <c r="J28" s="38">
        <v>423.3573303222656</v>
      </c>
      <c r="K28" s="38">
        <v>531.0588989257812</v>
      </c>
      <c r="L28" s="38">
        <v>671.352294921875</v>
      </c>
      <c r="M28" s="38">
        <v>1395.157958984375</v>
      </c>
      <c r="N28" s="80">
        <f>VLOOKUP('Hide - Control'!B$3,'All practice data'!A:CA,A28+29,FALSE)</f>
        <v>550.0943018803223</v>
      </c>
      <c r="O28" s="80">
        <f>VLOOKUP('Hide - Control'!C$3,'All practice data'!A:CA,A28+29,FALSE)</f>
        <v>582.9390489900089</v>
      </c>
      <c r="P28" s="38">
        <f>VLOOKUP('Hide - Control'!$B$4,'All practice data'!B:BC,A28+2,FALSE)</f>
        <v>2310</v>
      </c>
      <c r="Q28" s="38">
        <f>VLOOKUP('Hide - Control'!$B$4,'All practice data'!B:BC,3,FALSE)</f>
        <v>419928</v>
      </c>
      <c r="R28" s="38">
        <f>100000*(P28*(1-1/(9*P28)-1.96/(3*SQRT(P28)))^3)/Q28</f>
        <v>527.8876364222516</v>
      </c>
      <c r="S28" s="38">
        <f>100000*((P28+1)*(1-1/(9*(P28+1))+1.96/(3*SQRT(P28+1)))^3)/Q28</f>
        <v>572.9950619288362</v>
      </c>
      <c r="T28" s="53">
        <f t="shared" si="19"/>
        <v>1395.157958984375</v>
      </c>
      <c r="U28" s="51">
        <f t="shared" si="20"/>
        <v>155.9251708984375</v>
      </c>
      <c r="V28" s="7"/>
      <c r="W28" s="27">
        <f t="shared" si="2"/>
        <v>-333.0401611328125</v>
      </c>
      <c r="X28" s="27">
        <f t="shared" si="3"/>
        <v>1395.157958984375</v>
      </c>
      <c r="Y28" s="27">
        <f t="shared" si="4"/>
        <v>-333.0401611328125</v>
      </c>
      <c r="Z28" s="27">
        <f t="shared" si="5"/>
        <v>1395.157958984375</v>
      </c>
      <c r="AA28" s="32">
        <f t="shared" si="6"/>
        <v>0.2829336094857537</v>
      </c>
      <c r="AB28" s="33">
        <f t="shared" si="7"/>
        <v>0.4376798485371501</v>
      </c>
      <c r="AC28" s="33">
        <v>0.5</v>
      </c>
      <c r="AD28" s="33">
        <f t="shared" si="8"/>
        <v>0.581179000464704</v>
      </c>
      <c r="AE28" s="33">
        <f t="shared" si="9"/>
        <v>1</v>
      </c>
      <c r="AF28" s="33">
        <f t="shared" si="10"/>
        <v>-999</v>
      </c>
      <c r="AG28" s="33">
        <f t="shared" si="11"/>
        <v>0.44808455673683895</v>
      </c>
      <c r="AH28" s="33">
        <f t="shared" si="12"/>
        <v>-999</v>
      </c>
      <c r="AI28" s="34">
        <f t="shared" si="13"/>
        <v>0.5300197931361653</v>
      </c>
      <c r="AJ28" s="4">
        <v>25.297955225459287</v>
      </c>
      <c r="AK28" s="32">
        <f t="shared" si="14"/>
        <v>-999</v>
      </c>
      <c r="AL28" s="34">
        <f t="shared" si="15"/>
        <v>-999</v>
      </c>
      <c r="AY28" s="103" t="s">
        <v>241</v>
      </c>
      <c r="AZ28" s="103" t="s">
        <v>242</v>
      </c>
      <c r="BA28" s="103" t="s">
        <v>535</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430</v>
      </c>
      <c r="BA29" s="103" t="s">
        <v>354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451</v>
      </c>
      <c r="BA31" s="103" t="s">
        <v>354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410</v>
      </c>
      <c r="BA32" s="103" t="s">
        <v>354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475</v>
      </c>
      <c r="BA33" s="103" t="s">
        <v>535</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354</v>
      </c>
      <c r="BB34" s="10">
        <v>532801</v>
      </c>
      <c r="BE34" s="77"/>
      <c r="BF34" s="253"/>
    </row>
    <row r="35" spans="2:58" ht="12.75">
      <c r="B35" s="17" t="s">
        <v>41</v>
      </c>
      <c r="C35" s="18"/>
      <c r="H35" s="290" t="s">
        <v>610</v>
      </c>
      <c r="I35" s="291"/>
      <c r="Y35" s="43"/>
      <c r="Z35" s="44"/>
      <c r="AA35" s="44"/>
      <c r="AB35" s="43"/>
      <c r="AC35" s="43"/>
      <c r="AY35" s="103" t="s">
        <v>159</v>
      </c>
      <c r="AZ35" s="103" t="s">
        <v>443</v>
      </c>
      <c r="BA35" s="103" t="s">
        <v>354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432</v>
      </c>
      <c r="BA36" s="103" t="s">
        <v>354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449</v>
      </c>
      <c r="BA37" s="103" t="s">
        <v>354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354</v>
      </c>
      <c r="BB40" s="10">
        <v>714731</v>
      </c>
      <c r="BF40" s="252"/>
    </row>
    <row r="41" spans="1:58" ht="12.75">
      <c r="A41" s="3"/>
      <c r="B41" s="71"/>
      <c r="C41" s="3"/>
      <c r="T41" s="13"/>
      <c r="U41" s="2"/>
      <c r="W41" s="2"/>
      <c r="X41" s="10"/>
      <c r="Y41" s="44"/>
      <c r="Z41" s="44"/>
      <c r="AA41" s="44"/>
      <c r="AB41" s="44"/>
      <c r="AC41" s="44"/>
      <c r="AD41" s="2"/>
      <c r="AE41" s="2"/>
      <c r="AY41" s="103" t="s">
        <v>272</v>
      </c>
      <c r="AZ41" s="103" t="s">
        <v>476</v>
      </c>
      <c r="BA41" s="103" t="s">
        <v>535</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473</v>
      </c>
      <c r="BA43" s="103" t="s">
        <v>354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461</v>
      </c>
      <c r="BA44" s="103" t="s">
        <v>354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452</v>
      </c>
      <c r="BA46" s="103" t="s">
        <v>535</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456</v>
      </c>
      <c r="BA48" s="103" t="s">
        <v>535</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467</v>
      </c>
      <c r="BA49" s="103" t="s">
        <v>535</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433</v>
      </c>
      <c r="BA51" s="103" t="s">
        <v>354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354</v>
      </c>
      <c r="BB52" s="10">
        <v>611636</v>
      </c>
      <c r="BF52" s="252"/>
    </row>
    <row r="53" spans="1:58" ht="12.75">
      <c r="A53" s="3"/>
      <c r="B53" s="12"/>
      <c r="C53" s="3"/>
      <c r="I53" s="11"/>
      <c r="J53" s="11"/>
      <c r="K53" s="11"/>
      <c r="L53" s="11"/>
      <c r="S53" s="11"/>
      <c r="U53" s="2"/>
      <c r="X53" s="2"/>
      <c r="Y53" s="2"/>
      <c r="Z53" s="2"/>
      <c r="AA53" s="2"/>
      <c r="AB53" s="2"/>
      <c r="AY53" s="103" t="s">
        <v>244</v>
      </c>
      <c r="AZ53" s="103" t="s">
        <v>466</v>
      </c>
      <c r="BA53" s="103" t="s">
        <v>354</v>
      </c>
      <c r="BB53" s="10">
        <v>230998</v>
      </c>
      <c r="BF53" s="252"/>
    </row>
    <row r="54" spans="1:58" ht="12.75">
      <c r="A54" s="3"/>
      <c r="B54" s="12"/>
      <c r="C54" s="3"/>
      <c r="I54" s="11"/>
      <c r="J54" s="11"/>
      <c r="K54" s="11"/>
      <c r="L54" s="11"/>
      <c r="S54" s="11"/>
      <c r="U54" s="2"/>
      <c r="X54" s="2"/>
      <c r="Y54" s="2"/>
      <c r="Z54" s="2"/>
      <c r="AA54" s="2"/>
      <c r="AB54" s="2"/>
      <c r="AY54" s="103" t="s">
        <v>67</v>
      </c>
      <c r="AZ54" s="103" t="s">
        <v>407</v>
      </c>
      <c r="BA54" s="103" t="s">
        <v>354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453</v>
      </c>
      <c r="BA55" s="103" t="s">
        <v>354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423</v>
      </c>
      <c r="BA56" s="103" t="s">
        <v>354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468</v>
      </c>
      <c r="BA57" s="103" t="s">
        <v>354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413</v>
      </c>
      <c r="BA58" s="103" t="s">
        <v>354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457</v>
      </c>
      <c r="BA61" s="103" t="s">
        <v>535</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535</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446</v>
      </c>
      <c r="BA63" s="103" t="s">
        <v>354</v>
      </c>
      <c r="BB63" s="10">
        <v>318405</v>
      </c>
      <c r="BE63" s="70"/>
      <c r="BF63" s="239"/>
    </row>
    <row r="64" spans="1:58" ht="12.75">
      <c r="A64" s="3"/>
      <c r="B64" s="12"/>
      <c r="C64" s="3"/>
      <c r="I64" s="11"/>
      <c r="V64" s="3"/>
      <c r="AY64" s="103" t="s">
        <v>78</v>
      </c>
      <c r="AZ64" s="103" t="s">
        <v>414</v>
      </c>
      <c r="BA64" s="103" t="s">
        <v>535</v>
      </c>
      <c r="BB64" s="10">
        <v>181285</v>
      </c>
      <c r="BE64" s="70"/>
      <c r="BF64" s="241"/>
    </row>
    <row r="65" spans="1:58" ht="12.75">
      <c r="A65" s="3"/>
      <c r="B65" s="12"/>
      <c r="C65" s="3"/>
      <c r="AY65" s="103" t="s">
        <v>524</v>
      </c>
      <c r="AZ65" s="103" t="s">
        <v>525</v>
      </c>
      <c r="BA65" s="103" t="s">
        <v>354</v>
      </c>
      <c r="BB65" s="10">
        <v>1169302</v>
      </c>
      <c r="BE65" s="70"/>
      <c r="BF65" s="241"/>
    </row>
    <row r="66" spans="1:58" ht="12.75">
      <c r="A66" s="3"/>
      <c r="B66" s="12"/>
      <c r="C66" s="3"/>
      <c r="E66" s="2"/>
      <c r="F66" s="2"/>
      <c r="G66" s="2"/>
      <c r="V66" s="2"/>
      <c r="AY66" s="103" t="s">
        <v>200</v>
      </c>
      <c r="AZ66" s="103" t="s">
        <v>454</v>
      </c>
      <c r="BA66" s="103" t="s">
        <v>354</v>
      </c>
      <c r="BB66" s="10">
        <v>217916</v>
      </c>
      <c r="BE66" s="70"/>
      <c r="BF66" s="239"/>
    </row>
    <row r="67" spans="1:58" ht="12.75">
      <c r="A67" s="3"/>
      <c r="B67" s="12"/>
      <c r="C67" s="3"/>
      <c r="AY67" s="103" t="s">
        <v>69</v>
      </c>
      <c r="AZ67" s="103" t="s">
        <v>70</v>
      </c>
      <c r="BA67" s="103" t="s">
        <v>354</v>
      </c>
      <c r="BB67" s="10">
        <v>270842</v>
      </c>
      <c r="BE67" s="70"/>
      <c r="BF67" s="239"/>
    </row>
    <row r="68" spans="1:58" ht="12.75">
      <c r="A68" s="3"/>
      <c r="B68" s="12"/>
      <c r="C68" s="3"/>
      <c r="AY68" s="103" t="s">
        <v>109</v>
      </c>
      <c r="AZ68" s="103" t="s">
        <v>110</v>
      </c>
      <c r="BA68" s="103" t="s">
        <v>354</v>
      </c>
      <c r="BB68" s="10">
        <v>251613</v>
      </c>
      <c r="BF68" s="252"/>
    </row>
    <row r="69" spans="1:58" ht="12.75">
      <c r="A69" s="3"/>
      <c r="B69" s="12"/>
      <c r="C69" s="3"/>
      <c r="AY69" s="103" t="s">
        <v>209</v>
      </c>
      <c r="AZ69" s="103" t="s">
        <v>210</v>
      </c>
      <c r="BA69" s="103" t="s">
        <v>354</v>
      </c>
      <c r="BB69" s="10">
        <v>283547</v>
      </c>
      <c r="BE69" s="70"/>
      <c r="BF69" s="241"/>
    </row>
    <row r="70" spans="1:58" ht="12.75">
      <c r="A70" s="3"/>
      <c r="B70" s="12"/>
      <c r="C70" s="3"/>
      <c r="AY70" s="103" t="s">
        <v>275</v>
      </c>
      <c r="AZ70" s="103" t="s">
        <v>477</v>
      </c>
      <c r="BA70" s="103" t="s">
        <v>534</v>
      </c>
      <c r="BB70" s="10">
        <v>141474</v>
      </c>
      <c r="BE70" s="70"/>
      <c r="BF70" s="239"/>
    </row>
    <row r="71" spans="1:58" ht="12.75">
      <c r="A71" s="3"/>
      <c r="B71" s="12"/>
      <c r="C71" s="3"/>
      <c r="AY71" s="103" t="s">
        <v>127</v>
      </c>
      <c r="AZ71" s="103" t="s">
        <v>431</v>
      </c>
      <c r="BA71" s="103" t="s">
        <v>354</v>
      </c>
      <c r="BB71" s="10">
        <v>213326</v>
      </c>
      <c r="BE71" s="70"/>
      <c r="BF71" s="239"/>
    </row>
    <row r="72" spans="1:58" ht="12.75">
      <c r="A72" s="3"/>
      <c r="B72" s="12"/>
      <c r="C72" s="3"/>
      <c r="AY72" s="103" t="s">
        <v>136</v>
      </c>
      <c r="AZ72" s="103" t="s">
        <v>137</v>
      </c>
      <c r="BA72" s="103" t="s">
        <v>354</v>
      </c>
      <c r="BB72" s="10">
        <v>183220</v>
      </c>
      <c r="BE72" s="250"/>
      <c r="BF72" s="239"/>
    </row>
    <row r="73" spans="1:58" ht="12.75">
      <c r="A73" s="3"/>
      <c r="B73" s="12"/>
      <c r="C73" s="3"/>
      <c r="AY73" s="103" t="s">
        <v>64</v>
      </c>
      <c r="AZ73" s="103" t="s">
        <v>406</v>
      </c>
      <c r="BA73" s="103" t="s">
        <v>354</v>
      </c>
      <c r="BB73" s="10">
        <v>190143</v>
      </c>
      <c r="BE73" s="70"/>
      <c r="BF73" s="239"/>
    </row>
    <row r="74" spans="1:58" ht="12.75">
      <c r="A74" s="3"/>
      <c r="B74" s="12"/>
      <c r="C74" s="3"/>
      <c r="AY74" s="103" t="s">
        <v>165</v>
      </c>
      <c r="AZ74" s="103" t="s">
        <v>166</v>
      </c>
      <c r="BA74" s="103" t="s">
        <v>535</v>
      </c>
      <c r="BB74" s="10">
        <v>419928</v>
      </c>
      <c r="BE74" s="70"/>
      <c r="BF74" s="241"/>
    </row>
    <row r="75" spans="1:58" ht="12.75">
      <c r="A75" s="3"/>
      <c r="B75" s="12"/>
      <c r="C75" s="3"/>
      <c r="AY75" s="103" t="s">
        <v>113</v>
      </c>
      <c r="AZ75" s="103" t="s">
        <v>425</v>
      </c>
      <c r="BA75" s="103" t="s">
        <v>354</v>
      </c>
      <c r="BB75" s="10">
        <v>158106</v>
      </c>
      <c r="BE75" s="70"/>
      <c r="BF75" s="241"/>
    </row>
    <row r="76" spans="1:58" ht="12.75">
      <c r="A76" s="3"/>
      <c r="B76" s="12"/>
      <c r="C76" s="3"/>
      <c r="AY76" s="103" t="s">
        <v>140</v>
      </c>
      <c r="AZ76" s="103" t="s">
        <v>141</v>
      </c>
      <c r="BA76" s="103" t="s">
        <v>354</v>
      </c>
      <c r="BB76" s="10">
        <v>377807</v>
      </c>
      <c r="BE76" s="70"/>
      <c r="BF76" s="241"/>
    </row>
    <row r="77" spans="1:58" ht="12.75">
      <c r="A77" s="3"/>
      <c r="B77" s="12"/>
      <c r="C77" s="3"/>
      <c r="AY77" s="103" t="s">
        <v>163</v>
      </c>
      <c r="AZ77" s="103" t="s">
        <v>164</v>
      </c>
      <c r="BA77" s="103" t="s">
        <v>535</v>
      </c>
      <c r="BB77" s="10">
        <v>799634</v>
      </c>
      <c r="BE77" s="70"/>
      <c r="BF77" s="249"/>
    </row>
    <row r="78" spans="1:58" ht="12.75">
      <c r="A78" s="3"/>
      <c r="B78" s="12"/>
      <c r="C78" s="3"/>
      <c r="AY78" s="103" t="s">
        <v>224</v>
      </c>
      <c r="AZ78" s="103" t="s">
        <v>225</v>
      </c>
      <c r="BA78" s="103" t="s">
        <v>354</v>
      </c>
      <c r="BB78" s="10">
        <v>362638</v>
      </c>
      <c r="BE78" s="70"/>
      <c r="BF78" s="239"/>
    </row>
    <row r="79" spans="1:58" ht="12.75">
      <c r="A79" s="3"/>
      <c r="B79" s="12"/>
      <c r="C79" s="3"/>
      <c r="AY79" s="103" t="s">
        <v>223</v>
      </c>
      <c r="AZ79" s="103" t="s">
        <v>459</v>
      </c>
      <c r="BA79" s="103" t="s">
        <v>354</v>
      </c>
      <c r="BB79" s="10">
        <v>678998</v>
      </c>
      <c r="BF79" s="239"/>
    </row>
    <row r="80" spans="1:58" ht="12.75">
      <c r="A80" s="3"/>
      <c r="B80" s="12"/>
      <c r="C80" s="3"/>
      <c r="AY80" s="103" t="s">
        <v>144</v>
      </c>
      <c r="AZ80" s="103" t="s">
        <v>145</v>
      </c>
      <c r="BA80" s="103" t="s">
        <v>354</v>
      </c>
      <c r="BB80" s="10">
        <v>290986</v>
      </c>
      <c r="BF80" s="252"/>
    </row>
    <row r="81" spans="1:58" ht="12.75">
      <c r="A81" s="3"/>
      <c r="B81" s="12"/>
      <c r="C81" s="3"/>
      <c r="AY81" s="103" t="s">
        <v>178</v>
      </c>
      <c r="AZ81" s="103" t="s">
        <v>448</v>
      </c>
      <c r="BA81" s="103" t="s">
        <v>535</v>
      </c>
      <c r="BB81" s="10">
        <v>747976</v>
      </c>
      <c r="BF81" s="252"/>
    </row>
    <row r="82" spans="1:58" ht="12.75">
      <c r="A82" s="3"/>
      <c r="B82" s="12"/>
      <c r="C82" s="3"/>
      <c r="AY82" s="103" t="s">
        <v>193</v>
      </c>
      <c r="AZ82" s="103" t="s">
        <v>194</v>
      </c>
      <c r="BA82" s="103" t="s">
        <v>354</v>
      </c>
      <c r="BB82" s="10">
        <v>489140</v>
      </c>
      <c r="BF82" s="252"/>
    </row>
    <row r="83" spans="1:58" ht="12.75">
      <c r="A83" s="3"/>
      <c r="B83" s="12"/>
      <c r="C83" s="3"/>
      <c r="AY83" s="103" t="s">
        <v>98</v>
      </c>
      <c r="AZ83" s="103" t="s">
        <v>422</v>
      </c>
      <c r="BA83" s="103" t="s">
        <v>535</v>
      </c>
      <c r="BB83" s="10">
        <v>208442</v>
      </c>
      <c r="BE83" s="70"/>
      <c r="BF83" s="241"/>
    </row>
    <row r="84" spans="1:58" ht="12.75">
      <c r="A84" s="3"/>
      <c r="B84" s="12"/>
      <c r="C84" s="3"/>
      <c r="AY84" s="103" t="s">
        <v>203</v>
      </c>
      <c r="AZ84" s="103" t="s">
        <v>204</v>
      </c>
      <c r="BA84" s="103" t="s">
        <v>535</v>
      </c>
      <c r="BB84" s="10">
        <v>545543</v>
      </c>
      <c r="BE84" s="70"/>
      <c r="BF84" s="241"/>
    </row>
    <row r="85" spans="1:58" ht="12.75">
      <c r="A85" s="3"/>
      <c r="B85" s="12"/>
      <c r="C85" s="3"/>
      <c r="AY85" s="103" t="s">
        <v>135</v>
      </c>
      <c r="AZ85" s="103" t="s">
        <v>437</v>
      </c>
      <c r="BA85" s="103" t="s">
        <v>535</v>
      </c>
      <c r="BB85" s="10">
        <v>274067</v>
      </c>
      <c r="BE85" s="70"/>
      <c r="BF85" s="241"/>
    </row>
    <row r="86" spans="1:58" ht="12.75">
      <c r="A86" s="3"/>
      <c r="B86" s="12"/>
      <c r="C86" s="3"/>
      <c r="AY86" s="103" t="s">
        <v>251</v>
      </c>
      <c r="AZ86" s="103" t="s">
        <v>252</v>
      </c>
      <c r="BA86" s="103" t="s">
        <v>535</v>
      </c>
      <c r="BB86" s="10">
        <v>374861</v>
      </c>
      <c r="BE86" s="70"/>
      <c r="BF86" s="249"/>
    </row>
    <row r="87" spans="1:58" ht="12.75">
      <c r="A87" s="3"/>
      <c r="B87" s="12"/>
      <c r="C87" s="3"/>
      <c r="AY87" s="103" t="s">
        <v>132</v>
      </c>
      <c r="AZ87" s="103" t="s">
        <v>133</v>
      </c>
      <c r="BA87" s="103" t="s">
        <v>354</v>
      </c>
      <c r="BB87" s="10">
        <v>153833</v>
      </c>
      <c r="BE87" s="70"/>
      <c r="BF87" s="249"/>
    </row>
    <row r="88" spans="1:58" ht="12.75">
      <c r="A88" s="3"/>
      <c r="B88" s="12"/>
      <c r="C88" s="3"/>
      <c r="AY88" s="103" t="s">
        <v>79</v>
      </c>
      <c r="AZ88" s="103" t="s">
        <v>80</v>
      </c>
      <c r="BA88" s="103" t="s">
        <v>535</v>
      </c>
      <c r="BB88" s="10">
        <v>258492</v>
      </c>
      <c r="BE88" s="70"/>
      <c r="BF88" s="241"/>
    </row>
    <row r="89" spans="1:58" ht="12.75">
      <c r="A89" s="3"/>
      <c r="B89" s="12"/>
      <c r="C89" s="3"/>
      <c r="AY89" s="103" t="s">
        <v>81</v>
      </c>
      <c r="AZ89" s="103" t="s">
        <v>415</v>
      </c>
      <c r="BA89" s="103" t="s">
        <v>354</v>
      </c>
      <c r="BB89" s="10">
        <v>283085</v>
      </c>
      <c r="BE89" s="70"/>
      <c r="BF89" s="241"/>
    </row>
    <row r="90" spans="1:58" ht="12.75">
      <c r="A90" s="3"/>
      <c r="B90" s="12"/>
      <c r="C90" s="3"/>
      <c r="AY90" s="103" t="s">
        <v>76</v>
      </c>
      <c r="AZ90" s="103" t="s">
        <v>412</v>
      </c>
      <c r="BA90" s="103" t="s">
        <v>354</v>
      </c>
      <c r="BB90" s="10">
        <v>357346</v>
      </c>
      <c r="BE90" s="70"/>
      <c r="BF90" s="241"/>
    </row>
    <row r="91" spans="1:58" ht="12.75">
      <c r="A91" s="3"/>
      <c r="B91" s="12"/>
      <c r="C91" s="3"/>
      <c r="AY91" s="103" t="s">
        <v>243</v>
      </c>
      <c r="AZ91" s="103" t="s">
        <v>465</v>
      </c>
      <c r="BA91" s="103" t="s">
        <v>535</v>
      </c>
      <c r="BB91" s="10">
        <v>748575</v>
      </c>
      <c r="BE91" s="247"/>
      <c r="BF91" s="249"/>
    </row>
    <row r="92" spans="1:58" ht="12.75">
      <c r="A92" s="3"/>
      <c r="B92" s="12"/>
      <c r="C92" s="3"/>
      <c r="AY92" s="103" t="s">
        <v>249</v>
      </c>
      <c r="AZ92" s="103" t="s">
        <v>250</v>
      </c>
      <c r="BA92" s="103" t="s">
        <v>535</v>
      </c>
      <c r="BB92" s="10">
        <v>322673</v>
      </c>
      <c r="BE92" s="247"/>
      <c r="BF92" s="249"/>
    </row>
    <row r="93" spans="1:58" ht="12.75">
      <c r="A93" s="3"/>
      <c r="B93" s="12"/>
      <c r="C93" s="3"/>
      <c r="AY93" s="103" t="s">
        <v>58</v>
      </c>
      <c r="AZ93" s="103" t="s">
        <v>59</v>
      </c>
      <c r="BA93" s="103" t="s">
        <v>354</v>
      </c>
      <c r="BB93" s="10">
        <v>165284</v>
      </c>
      <c r="BF93" s="252"/>
    </row>
    <row r="94" spans="1:58" ht="12.75">
      <c r="A94" s="3"/>
      <c r="B94" s="12"/>
      <c r="C94" s="3"/>
      <c r="AY94" s="103" t="s">
        <v>186</v>
      </c>
      <c r="AZ94" s="103" t="s">
        <v>450</v>
      </c>
      <c r="BA94" s="103" t="s">
        <v>354</v>
      </c>
      <c r="BB94" s="10">
        <v>339272</v>
      </c>
      <c r="BE94" s="70"/>
      <c r="BF94" s="241"/>
    </row>
    <row r="95" spans="1:58" ht="12.75">
      <c r="A95" s="3"/>
      <c r="B95" s="12"/>
      <c r="C95" s="3"/>
      <c r="AY95" s="103" t="s">
        <v>86</v>
      </c>
      <c r="AZ95" s="103" t="s">
        <v>87</v>
      </c>
      <c r="BA95" s="103" t="s">
        <v>354</v>
      </c>
      <c r="BB95" s="10">
        <v>165642</v>
      </c>
      <c r="BE95" s="247"/>
      <c r="BF95" s="249"/>
    </row>
    <row r="96" spans="1:58" ht="12.75">
      <c r="A96" s="3"/>
      <c r="B96" s="12"/>
      <c r="C96" s="3"/>
      <c r="AY96" s="103" t="s">
        <v>157</v>
      </c>
      <c r="AZ96" s="103" t="s">
        <v>158</v>
      </c>
      <c r="BA96" s="103" t="s">
        <v>354</v>
      </c>
      <c r="BB96" s="10">
        <v>208351</v>
      </c>
      <c r="BE96" s="243"/>
      <c r="BF96" s="238"/>
    </row>
    <row r="97" spans="1:58" ht="12.75">
      <c r="A97" s="3"/>
      <c r="B97" s="12"/>
      <c r="C97" s="3"/>
      <c r="AY97" s="103" t="s">
        <v>231</v>
      </c>
      <c r="AZ97" s="103" t="s">
        <v>232</v>
      </c>
      <c r="BA97" s="103" t="s">
        <v>354</v>
      </c>
      <c r="BB97" s="10">
        <v>203178</v>
      </c>
      <c r="BE97" s="243"/>
      <c r="BF97" s="238"/>
    </row>
    <row r="98" spans="1:58" ht="12.75">
      <c r="A98" s="3"/>
      <c r="B98" s="12"/>
      <c r="C98" s="3"/>
      <c r="AY98" s="103" t="s">
        <v>82</v>
      </c>
      <c r="AZ98" s="103" t="s">
        <v>416</v>
      </c>
      <c r="BA98" s="103" t="s">
        <v>354</v>
      </c>
      <c r="BB98" s="10">
        <v>214052</v>
      </c>
      <c r="BE98" s="248"/>
      <c r="BF98" s="241"/>
    </row>
    <row r="99" spans="1:58" ht="12.75">
      <c r="A99" s="3"/>
      <c r="B99" s="12"/>
      <c r="C99" s="3"/>
      <c r="AY99" s="103" t="s">
        <v>205</v>
      </c>
      <c r="AZ99" s="103" t="s">
        <v>206</v>
      </c>
      <c r="BA99" s="103" t="s">
        <v>535</v>
      </c>
      <c r="BB99" s="10">
        <v>795503</v>
      </c>
      <c r="BE99" s="70"/>
      <c r="BF99" s="249"/>
    </row>
    <row r="100" spans="1:58" ht="12.75">
      <c r="A100" s="3"/>
      <c r="B100" s="12"/>
      <c r="C100" s="3"/>
      <c r="AY100" s="103" t="s">
        <v>226</v>
      </c>
      <c r="AZ100" s="103" t="s">
        <v>460</v>
      </c>
      <c r="BA100" s="103" t="s">
        <v>354</v>
      </c>
      <c r="BB100" s="10">
        <v>648340</v>
      </c>
      <c r="BE100" s="70"/>
      <c r="BF100" s="249"/>
    </row>
    <row r="101" spans="51:58" ht="12.75">
      <c r="AY101" s="103" t="s">
        <v>51</v>
      </c>
      <c r="AZ101" s="103" t="s">
        <v>52</v>
      </c>
      <c r="BA101" s="103" t="s">
        <v>354</v>
      </c>
      <c r="BB101" s="10">
        <v>320818</v>
      </c>
      <c r="BE101" s="237"/>
      <c r="BF101" s="238"/>
    </row>
    <row r="102" spans="51:58" ht="12.75">
      <c r="AY102" s="103" t="s">
        <v>88</v>
      </c>
      <c r="AZ102" s="103" t="s">
        <v>89</v>
      </c>
      <c r="BA102" s="103" t="s">
        <v>354</v>
      </c>
      <c r="BB102" s="10">
        <v>339920</v>
      </c>
      <c r="BE102" s="237"/>
      <c r="BF102" s="238"/>
    </row>
    <row r="103" spans="51:58" ht="12.75">
      <c r="AY103" s="103" t="s">
        <v>177</v>
      </c>
      <c r="AZ103" s="103" t="s">
        <v>447</v>
      </c>
      <c r="BA103" s="103" t="s">
        <v>354</v>
      </c>
      <c r="BB103" s="10">
        <v>656875</v>
      </c>
      <c r="BE103" s="70"/>
      <c r="BF103" s="239"/>
    </row>
    <row r="104" spans="51:58" ht="12.75">
      <c r="AY104" s="103" t="s">
        <v>114</v>
      </c>
      <c r="AZ104" s="103" t="s">
        <v>426</v>
      </c>
      <c r="BA104" s="103" t="s">
        <v>354</v>
      </c>
      <c r="BB104" s="10">
        <v>236592</v>
      </c>
      <c r="BF104" s="252"/>
    </row>
    <row r="105" spans="51:58" ht="12.75">
      <c r="AY105" s="103" t="s">
        <v>259</v>
      </c>
      <c r="AZ105" s="103" t="s">
        <v>469</v>
      </c>
      <c r="BA105" s="103" t="s">
        <v>535</v>
      </c>
      <c r="BB105" s="10">
        <v>671572</v>
      </c>
      <c r="BE105" s="237"/>
      <c r="BF105" s="238"/>
    </row>
    <row r="106" spans="51:58" ht="12.75">
      <c r="AY106" s="103" t="s">
        <v>239</v>
      </c>
      <c r="AZ106" s="103" t="s">
        <v>240</v>
      </c>
      <c r="BA106" s="103" t="s">
        <v>535</v>
      </c>
      <c r="BB106" s="10">
        <v>177882</v>
      </c>
      <c r="BF106" s="252"/>
    </row>
    <row r="107" spans="51:58" ht="12.75">
      <c r="AY107" s="103" t="s">
        <v>91</v>
      </c>
      <c r="AZ107" s="103" t="s">
        <v>419</v>
      </c>
      <c r="BA107" s="103" t="s">
        <v>354</v>
      </c>
      <c r="BB107" s="10">
        <v>274443</v>
      </c>
      <c r="BF107" s="252"/>
    </row>
    <row r="108" spans="51:58" ht="12.75">
      <c r="AY108" s="103" t="s">
        <v>95</v>
      </c>
      <c r="AZ108" s="103" t="s">
        <v>421</v>
      </c>
      <c r="BA108" s="103" t="s">
        <v>354</v>
      </c>
      <c r="BB108" s="10">
        <v>213174</v>
      </c>
      <c r="BE108" s="70"/>
      <c r="BF108" s="239"/>
    </row>
    <row r="109" spans="51:58" ht="12.75">
      <c r="AY109" s="103" t="s">
        <v>179</v>
      </c>
      <c r="AZ109" s="103" t="s">
        <v>180</v>
      </c>
      <c r="BA109" s="103" t="s">
        <v>354</v>
      </c>
      <c r="BB109" s="10">
        <v>278950</v>
      </c>
      <c r="BE109" s="237"/>
      <c r="BF109" s="238"/>
    </row>
    <row r="110" spans="51:58" ht="12.75">
      <c r="AY110" s="103" t="s">
        <v>273</v>
      </c>
      <c r="AZ110" s="103" t="s">
        <v>274</v>
      </c>
      <c r="BA110" s="103" t="s">
        <v>354</v>
      </c>
      <c r="BB110" s="10">
        <v>133304</v>
      </c>
      <c r="BE110" s="70"/>
      <c r="BF110" s="249"/>
    </row>
    <row r="111" spans="51:58" ht="12.75">
      <c r="AY111" s="103" t="s">
        <v>155</v>
      </c>
      <c r="AZ111" s="103" t="s">
        <v>441</v>
      </c>
      <c r="BA111" s="103" t="s">
        <v>354</v>
      </c>
      <c r="BB111" s="10">
        <v>197060</v>
      </c>
      <c r="BE111" s="70"/>
      <c r="BF111" s="239"/>
    </row>
    <row r="112" spans="51:58" ht="12.75">
      <c r="AY112" s="103" t="s">
        <v>100</v>
      </c>
      <c r="AZ112" s="103" t="s">
        <v>101</v>
      </c>
      <c r="BA112" s="103" t="s">
        <v>354</v>
      </c>
      <c r="BB112" s="10">
        <v>253140</v>
      </c>
      <c r="BE112" s="250"/>
      <c r="BF112" s="249"/>
    </row>
    <row r="113" spans="51:58" ht="12.75">
      <c r="AY113" s="103" t="s">
        <v>92</v>
      </c>
      <c r="AZ113" s="103" t="s">
        <v>93</v>
      </c>
      <c r="BA113" s="103" t="s">
        <v>354</v>
      </c>
      <c r="BB113" s="10">
        <v>240983</v>
      </c>
      <c r="BE113" s="70"/>
      <c r="BF113" s="241"/>
    </row>
    <row r="114" spans="51:58" ht="12.75">
      <c r="AY114" s="103" t="s">
        <v>228</v>
      </c>
      <c r="AZ114" s="103" t="s">
        <v>462</v>
      </c>
      <c r="BA114" s="103" t="s">
        <v>354</v>
      </c>
      <c r="BB114" s="10">
        <v>340451</v>
      </c>
      <c r="BF114" s="241"/>
    </row>
    <row r="115" spans="51:58" ht="12.75">
      <c r="AY115" s="103" t="s">
        <v>189</v>
      </c>
      <c r="AZ115" s="103" t="s">
        <v>190</v>
      </c>
      <c r="BA115" s="103" t="s">
        <v>354</v>
      </c>
      <c r="BB115" s="10">
        <v>280673</v>
      </c>
      <c r="BE115" s="248"/>
      <c r="BF115" s="241"/>
    </row>
    <row r="116" spans="51:58" ht="12.75">
      <c r="AY116" s="103" t="s">
        <v>169</v>
      </c>
      <c r="AZ116" s="103" t="s">
        <v>170</v>
      </c>
      <c r="BA116" s="103" t="s">
        <v>354</v>
      </c>
      <c r="BB116" s="10">
        <v>565874</v>
      </c>
      <c r="BE116" s="70"/>
      <c r="BF116" s="239"/>
    </row>
    <row r="117" spans="51:58" ht="12.75">
      <c r="AY117" s="103" t="s">
        <v>152</v>
      </c>
      <c r="AZ117" s="103" t="s">
        <v>440</v>
      </c>
      <c r="BA117" s="103" t="s">
        <v>535</v>
      </c>
      <c r="BB117" s="10">
        <v>295379</v>
      </c>
      <c r="BE117" s="237"/>
      <c r="BF117" s="238"/>
    </row>
    <row r="118" spans="51:58" ht="12.75">
      <c r="AY118" s="103" t="s">
        <v>56</v>
      </c>
      <c r="AZ118" s="103" t="s">
        <v>57</v>
      </c>
      <c r="BA118" s="103" t="s">
        <v>354</v>
      </c>
      <c r="BB118" s="10">
        <v>217094</v>
      </c>
      <c r="BE118" s="70"/>
      <c r="BF118" s="239"/>
    </row>
    <row r="119" spans="51:58" ht="12.75">
      <c r="AY119" s="103" t="s">
        <v>268</v>
      </c>
      <c r="AZ119" s="103" t="s">
        <v>472</v>
      </c>
      <c r="BA119" s="103" t="s">
        <v>354</v>
      </c>
      <c r="BB119" s="10">
        <v>538131</v>
      </c>
      <c r="BE119" s="70"/>
      <c r="BF119" s="239"/>
    </row>
    <row r="120" spans="51:58" ht="12.75">
      <c r="AY120" s="103" t="s">
        <v>150</v>
      </c>
      <c r="AZ120" s="103" t="s">
        <v>151</v>
      </c>
      <c r="BA120" s="103" t="s">
        <v>535</v>
      </c>
      <c r="BB120" s="10">
        <v>389725</v>
      </c>
      <c r="BE120" s="70"/>
      <c r="BF120" s="239"/>
    </row>
    <row r="121" spans="51:58" ht="12.75">
      <c r="AY121" s="103" t="s">
        <v>212</v>
      </c>
      <c r="AZ121" s="103" t="s">
        <v>213</v>
      </c>
      <c r="BA121" s="103" t="s">
        <v>535</v>
      </c>
      <c r="BB121" s="10">
        <v>356812</v>
      </c>
      <c r="BE121" s="237"/>
      <c r="BF121" s="238"/>
    </row>
    <row r="122" spans="51:58" ht="12.75">
      <c r="AY122" s="103" t="s">
        <v>60</v>
      </c>
      <c r="AZ122" s="103" t="s">
        <v>61</v>
      </c>
      <c r="BA122" s="103" t="s">
        <v>354</v>
      </c>
      <c r="BB122" s="10">
        <v>256321</v>
      </c>
      <c r="BE122" s="70"/>
      <c r="BF122" s="249"/>
    </row>
    <row r="123" spans="51:58" ht="12.75">
      <c r="AY123" s="103" t="s">
        <v>234</v>
      </c>
      <c r="AZ123" s="103" t="s">
        <v>464</v>
      </c>
      <c r="BA123" s="103" t="s">
        <v>535</v>
      </c>
      <c r="BB123" s="10">
        <v>615835</v>
      </c>
      <c r="BF123" s="252"/>
    </row>
    <row r="124" spans="51:58" ht="12.75">
      <c r="AY124" s="103" t="s">
        <v>130</v>
      </c>
      <c r="AZ124" s="103" t="s">
        <v>434</v>
      </c>
      <c r="BA124" s="103" t="s">
        <v>354</v>
      </c>
      <c r="BB124" s="10">
        <v>150179</v>
      </c>
      <c r="BF124" s="252"/>
    </row>
    <row r="125" spans="51:58" ht="12.75">
      <c r="AY125" s="103" t="s">
        <v>253</v>
      </c>
      <c r="AZ125" s="103" t="s">
        <v>254</v>
      </c>
      <c r="BA125" s="103" t="s">
        <v>354</v>
      </c>
      <c r="BB125" s="10">
        <v>420503</v>
      </c>
      <c r="BE125" s="70"/>
      <c r="BF125" s="249"/>
    </row>
    <row r="126" spans="51:58" ht="12.75">
      <c r="AY126" s="103" t="s">
        <v>134</v>
      </c>
      <c r="AZ126" s="103" t="s">
        <v>436</v>
      </c>
      <c r="BA126" s="103" t="s">
        <v>354</v>
      </c>
      <c r="BB126" s="10">
        <v>263936</v>
      </c>
      <c r="BE126" s="70"/>
      <c r="BF126" s="239"/>
    </row>
    <row r="127" spans="51:58" ht="12.75">
      <c r="AY127" s="103" t="s">
        <v>142</v>
      </c>
      <c r="AZ127" s="103" t="s">
        <v>143</v>
      </c>
      <c r="BA127" s="103" t="s">
        <v>354</v>
      </c>
      <c r="BB127" s="10">
        <v>308593</v>
      </c>
      <c r="BF127" s="252"/>
    </row>
    <row r="128" spans="51:58" ht="12.75">
      <c r="AY128" s="103" t="s">
        <v>94</v>
      </c>
      <c r="AZ128" s="103" t="s">
        <v>420</v>
      </c>
      <c r="BA128" s="103" t="s">
        <v>535</v>
      </c>
      <c r="BB128" s="10">
        <v>298190</v>
      </c>
      <c r="BE128" s="250"/>
      <c r="BF128" s="249"/>
    </row>
    <row r="129" spans="51:58" ht="12.75">
      <c r="AY129" s="103" t="s">
        <v>85</v>
      </c>
      <c r="AZ129" s="103" t="s">
        <v>417</v>
      </c>
      <c r="BA129" s="103" t="s">
        <v>354</v>
      </c>
      <c r="BB129" s="10">
        <v>191885</v>
      </c>
      <c r="BE129" s="70"/>
      <c r="BF129" s="249"/>
    </row>
    <row r="130" spans="51:58" ht="12.75">
      <c r="AY130" s="103" t="s">
        <v>233</v>
      </c>
      <c r="AZ130" s="103" t="s">
        <v>463</v>
      </c>
      <c r="BA130" s="103" t="s">
        <v>354</v>
      </c>
      <c r="BB130" s="10">
        <v>268223</v>
      </c>
      <c r="BE130" s="70"/>
      <c r="BF130" s="249"/>
    </row>
    <row r="131" spans="51:58" ht="12.75">
      <c r="AY131" s="103" t="s">
        <v>245</v>
      </c>
      <c r="AZ131" s="103" t="s">
        <v>246</v>
      </c>
      <c r="BA131" s="103" t="s">
        <v>535</v>
      </c>
      <c r="BB131" s="10">
        <v>616983</v>
      </c>
      <c r="BE131" s="247"/>
      <c r="BF131" s="249"/>
    </row>
    <row r="132" spans="51:58" ht="12.75">
      <c r="AY132" s="103" t="s">
        <v>131</v>
      </c>
      <c r="AZ132" s="103" t="s">
        <v>435</v>
      </c>
      <c r="BA132" s="103" t="s">
        <v>354</v>
      </c>
      <c r="BB132" s="10">
        <v>283991</v>
      </c>
      <c r="BE132" s="247"/>
      <c r="BF132" s="249"/>
    </row>
    <row r="133" spans="51:58" ht="12.75">
      <c r="AY133" s="103" t="s">
        <v>216</v>
      </c>
      <c r="AZ133" s="103" t="s">
        <v>217</v>
      </c>
      <c r="BA133" s="103" t="s">
        <v>354</v>
      </c>
      <c r="BB133" s="10">
        <v>1156805</v>
      </c>
      <c r="BE133" s="247"/>
      <c r="BF133" s="251"/>
    </row>
    <row r="134" spans="51:58" ht="12.75">
      <c r="AY134" s="103" t="s">
        <v>156</v>
      </c>
      <c r="AZ134" s="103" t="s">
        <v>442</v>
      </c>
      <c r="BA134" s="103" t="s">
        <v>354</v>
      </c>
      <c r="BB134" s="10">
        <v>390971</v>
      </c>
      <c r="BE134" s="243"/>
      <c r="BF134" s="238"/>
    </row>
    <row r="135" spans="51:58" ht="12.75">
      <c r="AY135" s="103" t="s">
        <v>121</v>
      </c>
      <c r="AZ135" s="103" t="s">
        <v>122</v>
      </c>
      <c r="BA135" s="103" t="s">
        <v>534</v>
      </c>
      <c r="BB135" s="10">
        <v>218182</v>
      </c>
      <c r="BE135" s="250"/>
      <c r="BF135" s="249"/>
    </row>
    <row r="136" spans="51:58" ht="12.75">
      <c r="AY136" s="103" t="s">
        <v>148</v>
      </c>
      <c r="AZ136" s="103" t="s">
        <v>438</v>
      </c>
      <c r="BA136" s="103" t="s">
        <v>535</v>
      </c>
      <c r="BB136" s="10">
        <v>236598</v>
      </c>
      <c r="BE136" s="237"/>
      <c r="BF136" s="238"/>
    </row>
    <row r="137" spans="51:58" ht="12.75">
      <c r="AY137" s="103" t="s">
        <v>160</v>
      </c>
      <c r="AZ137" s="103" t="s">
        <v>444</v>
      </c>
      <c r="BA137" s="103" t="s">
        <v>535</v>
      </c>
      <c r="BB137" s="10">
        <v>165993</v>
      </c>
      <c r="BF137" s="252"/>
    </row>
    <row r="138" spans="51:58" ht="12.75">
      <c r="AY138" s="103" t="s">
        <v>54</v>
      </c>
      <c r="AZ138" s="103" t="s">
        <v>55</v>
      </c>
      <c r="BA138" s="103" t="s">
        <v>354</v>
      </c>
      <c r="BB138" s="10">
        <v>145889</v>
      </c>
      <c r="BE138" s="70"/>
      <c r="BF138" s="239"/>
    </row>
    <row r="139" spans="51:58" ht="12.75">
      <c r="AY139" s="103" t="s">
        <v>75</v>
      </c>
      <c r="AZ139" s="103" t="s">
        <v>411</v>
      </c>
      <c r="BA139" s="103" t="s">
        <v>354</v>
      </c>
      <c r="BB139" s="10">
        <v>267393</v>
      </c>
      <c r="BE139" s="237"/>
      <c r="BF139" s="238"/>
    </row>
    <row r="140" spans="51:58" ht="12.75">
      <c r="AY140" s="103" t="s">
        <v>201</v>
      </c>
      <c r="AZ140" s="103" t="s">
        <v>202</v>
      </c>
      <c r="BA140" s="103" t="s">
        <v>535</v>
      </c>
      <c r="BB140" s="10">
        <v>232551</v>
      </c>
      <c r="BE140" s="70"/>
      <c r="BF140" s="239"/>
    </row>
    <row r="141" spans="51:58" ht="12.75">
      <c r="AY141" s="103" t="s">
        <v>167</v>
      </c>
      <c r="AZ141" s="103" t="s">
        <v>168</v>
      </c>
      <c r="BA141" s="103" t="s">
        <v>535</v>
      </c>
      <c r="BB141" s="10">
        <v>350958</v>
      </c>
      <c r="BE141" s="70"/>
      <c r="BF141" s="239"/>
    </row>
    <row r="142" spans="51:58" ht="12.75">
      <c r="AY142" s="103" t="s">
        <v>153</v>
      </c>
      <c r="AZ142" s="103" t="s">
        <v>154</v>
      </c>
      <c r="BA142" s="103" t="s">
        <v>354</v>
      </c>
      <c r="BB142" s="10">
        <v>265654</v>
      </c>
      <c r="BE142" s="70"/>
      <c r="BF142" s="241"/>
    </row>
    <row r="143" spans="51:58" ht="12.75">
      <c r="AY143" s="103" t="s">
        <v>181</v>
      </c>
      <c r="AZ143" s="103" t="s">
        <v>182</v>
      </c>
      <c r="BA143" s="103" t="s">
        <v>354</v>
      </c>
      <c r="BB143" s="10">
        <v>284466</v>
      </c>
      <c r="BE143" s="70"/>
      <c r="BF143" s="249"/>
    </row>
    <row r="144" spans="51:58" ht="12.75">
      <c r="AY144" s="103" t="s">
        <v>146</v>
      </c>
      <c r="AZ144" s="103" t="s">
        <v>147</v>
      </c>
      <c r="BA144" s="103" t="s">
        <v>354</v>
      </c>
      <c r="BB144" s="10">
        <v>319933</v>
      </c>
      <c r="BE144" s="70"/>
      <c r="BF144" s="241"/>
    </row>
    <row r="145" spans="51:58" ht="12.75">
      <c r="AY145" s="103" t="s">
        <v>111</v>
      </c>
      <c r="AZ145" s="103" t="s">
        <v>112</v>
      </c>
      <c r="BA145" s="103" t="s">
        <v>354</v>
      </c>
      <c r="BB145" s="10">
        <v>192336</v>
      </c>
      <c r="BE145" s="248"/>
      <c r="BF145" s="249"/>
    </row>
    <row r="146" spans="51:58" ht="12.75">
      <c r="AY146" s="103" t="s">
        <v>237</v>
      </c>
      <c r="AZ146" s="103" t="s">
        <v>238</v>
      </c>
      <c r="BA146" s="103" t="s">
        <v>354</v>
      </c>
      <c r="BB146" s="10">
        <v>548313</v>
      </c>
      <c r="BF146" s="252"/>
    </row>
    <row r="147" spans="51:58" ht="12.75">
      <c r="AY147" s="103" t="s">
        <v>247</v>
      </c>
      <c r="AZ147" s="103" t="s">
        <v>248</v>
      </c>
      <c r="BA147" s="103" t="s">
        <v>354</v>
      </c>
      <c r="BB147" s="10">
        <v>287229</v>
      </c>
      <c r="BF147" s="252"/>
    </row>
    <row r="148" spans="51:58" ht="12.75">
      <c r="AY148" s="103" t="s">
        <v>222</v>
      </c>
      <c r="AZ148" s="103" t="s">
        <v>458</v>
      </c>
      <c r="BA148" s="103" t="s">
        <v>535</v>
      </c>
      <c r="BB148" s="10">
        <v>707573</v>
      </c>
      <c r="BF148" s="252"/>
    </row>
    <row r="149" spans="51:58" ht="12.75">
      <c r="AY149" s="103" t="s">
        <v>218</v>
      </c>
      <c r="AZ149" s="103" t="s">
        <v>219</v>
      </c>
      <c r="BA149" s="103" t="s">
        <v>535</v>
      </c>
      <c r="BB149" s="10">
        <v>825533</v>
      </c>
      <c r="BE149" s="248"/>
      <c r="BF149" s="249"/>
    </row>
    <row r="150" spans="51:58" ht="12.75">
      <c r="AY150" s="103" t="s">
        <v>196</v>
      </c>
      <c r="AZ150" s="103" t="s">
        <v>197</v>
      </c>
      <c r="BA150" s="103" t="s">
        <v>354</v>
      </c>
      <c r="BB150" s="10">
        <v>259945</v>
      </c>
      <c r="BF150" s="252"/>
    </row>
    <row r="151" spans="51:58" ht="12.75">
      <c r="AY151" s="103" t="s">
        <v>138</v>
      </c>
      <c r="AZ151" s="103" t="s">
        <v>139</v>
      </c>
      <c r="BA151" s="103" t="s">
        <v>354</v>
      </c>
      <c r="BB151" s="10">
        <v>246573</v>
      </c>
      <c r="BF151" s="252"/>
    </row>
    <row r="152" spans="51:58" ht="12.75">
      <c r="AY152" s="103" t="s">
        <v>266</v>
      </c>
      <c r="AZ152" s="103" t="s">
        <v>267</v>
      </c>
      <c r="BA152" s="103" t="s">
        <v>535</v>
      </c>
      <c r="BB152" s="10">
        <v>462395</v>
      </c>
      <c r="BE152" s="250"/>
      <c r="BF152" s="239"/>
    </row>
    <row r="153" spans="51:58" ht="12.75">
      <c r="AY153" s="103" t="s">
        <v>191</v>
      </c>
      <c r="AZ153" s="103" t="s">
        <v>192</v>
      </c>
      <c r="BA153" s="103" t="s">
        <v>354</v>
      </c>
      <c r="BB153" s="10">
        <v>332176</v>
      </c>
      <c r="BF153" s="252"/>
    </row>
    <row r="154" spans="51:58" ht="12.75">
      <c r="AY154" s="103" t="s">
        <v>161</v>
      </c>
      <c r="AZ154" s="103" t="s">
        <v>445</v>
      </c>
      <c r="BA154" s="103" t="s">
        <v>354</v>
      </c>
      <c r="BB154" s="10">
        <v>246213</v>
      </c>
      <c r="BE154" s="237"/>
      <c r="BF154" s="238"/>
    </row>
    <row r="155" spans="51:58" ht="12.75">
      <c r="AY155" s="103" t="s">
        <v>235</v>
      </c>
      <c r="AZ155" s="103" t="s">
        <v>236</v>
      </c>
      <c r="BA155" s="103" t="s">
        <v>535</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582</v>
      </c>
      <c r="B3" s="56" t="s">
        <v>166</v>
      </c>
      <c r="C3" s="56" t="s">
        <v>24</v>
      </c>
    </row>
    <row r="4" spans="1:2" ht="12.75">
      <c r="A4" s="76">
        <v>1</v>
      </c>
      <c r="B4" s="78" t="s">
        <v>165</v>
      </c>
    </row>
    <row r="5" ht="12.75">
      <c r="A5" s="280" t="s">
        <v>582</v>
      </c>
    </row>
    <row r="6" ht="12.75">
      <c r="A6" s="280" t="s">
        <v>543</v>
      </c>
    </row>
    <row r="7" ht="12.75">
      <c r="A7" s="280" t="s">
        <v>557</v>
      </c>
    </row>
    <row r="8" ht="12.75">
      <c r="A8" s="280" t="s">
        <v>547</v>
      </c>
    </row>
    <row r="9" ht="12.75">
      <c r="A9" s="280" t="s">
        <v>585</v>
      </c>
    </row>
    <row r="10" ht="12.75">
      <c r="A10" s="280" t="s">
        <v>597</v>
      </c>
    </row>
    <row r="11" ht="12.75">
      <c r="A11" s="280" t="s">
        <v>545</v>
      </c>
    </row>
    <row r="12" ht="12.75">
      <c r="A12" s="280" t="s">
        <v>544</v>
      </c>
    </row>
    <row r="13" ht="12.75">
      <c r="A13" s="280" t="s">
        <v>540</v>
      </c>
    </row>
    <row r="14" ht="12.75">
      <c r="A14" s="280" t="s">
        <v>551</v>
      </c>
    </row>
    <row r="15" ht="12.75">
      <c r="A15" s="280" t="s">
        <v>562</v>
      </c>
    </row>
    <row r="16" ht="12.75">
      <c r="A16" s="280" t="s">
        <v>565</v>
      </c>
    </row>
    <row r="17" ht="12.75">
      <c r="A17" s="280" t="s">
        <v>616</v>
      </c>
    </row>
    <row r="18" ht="12.75">
      <c r="A18" s="280" t="s">
        <v>612</v>
      </c>
    </row>
    <row r="19" ht="12.75">
      <c r="A19" s="280" t="s">
        <v>575</v>
      </c>
    </row>
    <row r="20" ht="12.75">
      <c r="A20" s="280" t="s">
        <v>587</v>
      </c>
    </row>
    <row r="21" ht="12.75">
      <c r="A21" s="280" t="s">
        <v>566</v>
      </c>
    </row>
    <row r="22" ht="12.75">
      <c r="A22" s="280" t="s">
        <v>615</v>
      </c>
    </row>
    <row r="23" ht="12.75">
      <c r="A23" s="280" t="s">
        <v>618</v>
      </c>
    </row>
    <row r="24" ht="12.75">
      <c r="A24" s="280" t="s">
        <v>611</v>
      </c>
    </row>
    <row r="25" ht="12.75">
      <c r="A25" s="280" t="s">
        <v>617</v>
      </c>
    </row>
    <row r="26" ht="12.75">
      <c r="A26" s="280" t="s">
        <v>589</v>
      </c>
    </row>
    <row r="27" ht="12.75">
      <c r="A27" s="280" t="s">
        <v>588</v>
      </c>
    </row>
    <row r="28" ht="12.75">
      <c r="A28" s="280" t="s">
        <v>613</v>
      </c>
    </row>
    <row r="29" ht="12.75">
      <c r="A29" s="280" t="s">
        <v>614</v>
      </c>
    </row>
    <row r="30" ht="12.75">
      <c r="A30" s="280" t="s">
        <v>552</v>
      </c>
    </row>
    <row r="31" ht="12.75">
      <c r="A31" s="280" t="s">
        <v>572</v>
      </c>
    </row>
    <row r="32" ht="12.75">
      <c r="A32" s="280" t="s">
        <v>584</v>
      </c>
    </row>
    <row r="33" ht="12.75">
      <c r="A33" s="280" t="s">
        <v>550</v>
      </c>
    </row>
    <row r="34" ht="12.75">
      <c r="A34" s="280" t="s">
        <v>541</v>
      </c>
    </row>
    <row r="35" ht="12.75">
      <c r="A35" s="280" t="s">
        <v>554</v>
      </c>
    </row>
    <row r="36" ht="12.75">
      <c r="A36" s="280" t="s">
        <v>558</v>
      </c>
    </row>
    <row r="37" ht="12.75">
      <c r="A37" s="280" t="s">
        <v>591</v>
      </c>
    </row>
    <row r="38" ht="12.75">
      <c r="A38" s="280" t="s">
        <v>581</v>
      </c>
    </row>
    <row r="39" ht="12.75">
      <c r="A39" s="280" t="s">
        <v>619</v>
      </c>
    </row>
    <row r="40" ht="12.75">
      <c r="A40" s="280" t="s">
        <v>573</v>
      </c>
    </row>
    <row r="41" ht="12.75">
      <c r="A41" s="280" t="s">
        <v>586</v>
      </c>
    </row>
    <row r="42" ht="12.75">
      <c r="A42" s="280" t="s">
        <v>563</v>
      </c>
    </row>
    <row r="43" ht="12.75">
      <c r="A43" s="280" t="s">
        <v>549</v>
      </c>
    </row>
    <row r="44" ht="12.75">
      <c r="A44" s="280" t="s">
        <v>592</v>
      </c>
    </row>
    <row r="45" ht="12.75">
      <c r="A45" s="280" t="s">
        <v>568</v>
      </c>
    </row>
    <row r="46" ht="12.75">
      <c r="A46" s="280" t="s">
        <v>580</v>
      </c>
    </row>
    <row r="47" ht="12.75">
      <c r="A47" s="280" t="s">
        <v>569</v>
      </c>
    </row>
    <row r="48" ht="12.75">
      <c r="A48" s="280" t="s">
        <v>539</v>
      </c>
    </row>
    <row r="49" ht="12.75">
      <c r="A49" s="280" t="s">
        <v>595</v>
      </c>
    </row>
    <row r="50" ht="12.75">
      <c r="A50" s="280" t="s">
        <v>593</v>
      </c>
    </row>
    <row r="51" ht="12.75">
      <c r="A51" s="280" t="s">
        <v>561</v>
      </c>
    </row>
    <row r="52" ht="12.75">
      <c r="A52" s="280" t="s">
        <v>542</v>
      </c>
    </row>
    <row r="53" ht="12.75">
      <c r="A53" s="280" t="s">
        <v>577</v>
      </c>
    </row>
    <row r="54" ht="12.75">
      <c r="A54" s="280" t="s">
        <v>576</v>
      </c>
    </row>
    <row r="55" ht="12.75">
      <c r="A55" s="280" t="s">
        <v>579</v>
      </c>
    </row>
    <row r="56" ht="12.75">
      <c r="A56" s="280" t="s">
        <v>553</v>
      </c>
    </row>
    <row r="57" ht="12.75">
      <c r="A57" s="280" t="s">
        <v>594</v>
      </c>
    </row>
    <row r="58" ht="12.75">
      <c r="A58" s="280" t="s">
        <v>555</v>
      </c>
    </row>
    <row r="59" ht="12.75">
      <c r="A59" s="280" t="s">
        <v>560</v>
      </c>
    </row>
    <row r="60" ht="12.75">
      <c r="A60" s="280" t="s">
        <v>599</v>
      </c>
    </row>
    <row r="61" ht="12.75">
      <c r="A61" s="280" t="s">
        <v>559</v>
      </c>
    </row>
    <row r="62" ht="12.75">
      <c r="A62" s="280" t="s">
        <v>564</v>
      </c>
    </row>
    <row r="63" ht="12.75">
      <c r="A63" s="280" t="s">
        <v>596</v>
      </c>
    </row>
    <row r="64" ht="12.75">
      <c r="A64" s="280" t="s">
        <v>567</v>
      </c>
    </row>
    <row r="65" ht="12.75">
      <c r="A65" s="280" t="s">
        <v>556</v>
      </c>
    </row>
    <row r="66" ht="12.75">
      <c r="A66" s="280" t="s">
        <v>598</v>
      </c>
    </row>
    <row r="67" ht="12.75">
      <c r="A67" s="280" t="s">
        <v>570</v>
      </c>
    </row>
    <row r="68" ht="12.75">
      <c r="A68" s="280" t="s">
        <v>546</v>
      </c>
    </row>
    <row r="69" ht="12.75">
      <c r="A69" s="280" t="s">
        <v>578</v>
      </c>
    </row>
    <row r="70" ht="12.75">
      <c r="A70" s="280" t="s">
        <v>600</v>
      </c>
    </row>
    <row r="71" ht="12.75">
      <c r="A71" s="280" t="s">
        <v>548</v>
      </c>
    </row>
    <row r="72" ht="12.75">
      <c r="A72" s="280" t="s">
        <v>574</v>
      </c>
    </row>
    <row r="73" ht="12.75">
      <c r="A73" s="280" t="s">
        <v>590</v>
      </c>
    </row>
    <row r="74" ht="12.75">
      <c r="A74" s="280" t="s">
        <v>583</v>
      </c>
    </row>
    <row r="75" ht="12.75">
      <c r="A75" s="280" t="s">
        <v>571</v>
      </c>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