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<sst xmlns="http://schemas.openxmlformats.org/spreadsheetml/2006/main" count="2059" uniqueCount="667">
  <si>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</si>
  <si>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</si>
  <si>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</si>
  <si>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</si>
  <si>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</si>
  <si>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</si>
  <si>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</si>
  <si>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</si>
  <si>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</si>
  <si>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</si>
  <si>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</si>
  <si>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</si>
  <si>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</si>
  <si>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</si>
  <si>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</si>
  <si>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</si>
  <si>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</si>
  <si>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</si>
  <si>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</si>
  <si>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</si>
  <si>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</si>
  <si>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</si>
  <si>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</si>
  <si>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</si>
  <si>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</si>
  <si>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</si>
  <si>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</si>
  <si>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</si>
  <si>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</si>
  <si>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</si>
  <si>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</si>
  <si>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</si>
  <si>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</si>
  <si>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</si>
  <si>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</si>
  <si>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</si>
  <si>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</si>
  <si>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</si>
  <si>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</si>
  <si>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</si>
  <si>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</si>
  <si>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</si>
  <si>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</si>
  <si>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</si>
  <si>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</si>
  <si>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</si>
  <si>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</si>
  <si>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</si>
  <si>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</si>
  <si>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</si>
  <si>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</si>
  <si>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</si>
  <si>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</si>
  <si>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</si>
  <si>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</si>
  <si>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</si>
  <si>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</si>
  <si>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</si>
  <si>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</si>
  <si>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</si>
  <si>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</si>
  <si>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</si>
  <si>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</si>
  <si>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</si>
  <si>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</si>
  <si>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</si>
  <si>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</si>
  <si>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</si>
  <si>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</si>
  <si>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</si>
  <si>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</si>
  <si>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</si>
  <si>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</si>
  <si>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</si>
  <si>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</si>
  <si>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</si>
  <si>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</si>
  <si>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</si>
  <si>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</si>
  <si>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</si>
  <si>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</si>
  <si>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</si>
  <si>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</si>
  <si>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</si>
  <si>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</si>
  <si>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</si>
  <si>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</si>
  <si>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</si>
  <si>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</si>
  <si>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</si>
  <si>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</si>
  <si>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</si>
  <si>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</si>
  <si>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</si>
  <si>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</si>
  <si>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</si>
  <si>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</si>
  <si>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</si>
  <si>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</si>
  <si>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</si>
  <si>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</si>
  <si>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</si>
  <si>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</si>
  <si>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</si>
  <si>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</si>
  <si>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</si>
  <si>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</si>
  <si>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</si>
  <si>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</si>
  <si>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</si>
  <si>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</si>
  <si>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</si>
  <si>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</si>
  <si>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</si>
  <si>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</si>
  <si>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</si>
  <si>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</si>
  <si>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</si>
  <si>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</si>
  <si>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</si>
  <si>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</si>
  <si>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</si>
  <si>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</si>
  <si>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</si>
  <si>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</si>
  <si>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</si>
  <si>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</si>
  <si>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</si>
  <si>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</si>
  <si>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</si>
  <si>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</si>
  <si>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</si>
  <si>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</si>
  <si>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</si>
  <si>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</si>
  <si>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</si>
  <si>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</si>
  <si>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</si>
  <si>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</si>
  <si>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</si>
  <si>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</si>
  <si>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</si>
  <si>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</si>
  <si>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</si>
  <si>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</si>
  <si>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</si>
  <si>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</si>
  <si>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</si>
  <si>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</si>
  <si>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</si>
  <si>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</si>
  <si>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</si>
  <si>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</si>
  <si>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</si>
  <si>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</si>
  <si>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</si>
  <si>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</si>
  <si>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</si>
  <si>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</si>
  <si>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</si>
  <si>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</si>
  <si>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</si>
  <si>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</si>
  <si>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</si>
  <si>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</si>
  <si>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</si>
  <si>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</si>
  <si>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</si>
  <si>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</si>
  <si>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</si>
  <si>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</si>
  <si>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</si>
  <si>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</si>
  <si>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</si>
  <si>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</si>
  <si>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</si>
  <si>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</si>
  <si>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</si>
  <si>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</si>
  <si>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</si>
  <si>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</si>
  <si>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</si>
  <si>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</si>
  <si>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</si>
  <si>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</si>
  <si>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</si>
  <si>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</si>
  <si>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</si>
  <si>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</si>
  <si>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</si>
  <si>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</si>
  <si>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</si>
  <si>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</si>
  <si>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</si>
  <si>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</si>
  <si>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</si>
  <si>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</si>
  <si>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</si>
  <si>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</si>
  <si>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</si>
  <si>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</si>
  <si>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</si>
  <si>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</si>
  <si>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</si>
  <si>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</si>
  <si>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</si>
  <si>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</si>
  <si>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</si>
  <si>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</si>
  <si>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</si>
  <si>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</si>
  <si>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</si>
  <si>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</si>
  <si>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</si>
  <si>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</si>
  <si>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</si>
  <si>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</si>
  <si>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</si>
  <si>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</si>
  <si>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</si>
  <si>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</si>
  <si>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</si>
  <si>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</si>
  <si>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</si>
  <si>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</si>
  <si>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</si>
  <si>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</si>
  <si>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</si>
  <si>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</si>
  <si>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</si>
  <si>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</si>
  <si>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</si>
  <si>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</si>
  <si>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</si>
  <si>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</si>
  <si>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</si>
  <si>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</si>
  <si>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</si>
  <si>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</si>
  <si>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</si>
  <si>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</si>
  <si>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</si>
  <si>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</si>
  <si>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</si>
  <si>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</si>
  <si>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</si>
  <si>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</si>
  <si>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</si>
  <si>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</si>
  <si>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</si>
  <si>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</si>
  <si>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</si>
  <si>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</si>
  <si>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</si>
  <si>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</si>
  <si>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</si>
  <si>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</si>
  <si>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</si>
  <si>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</si>
  <si>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</si>
  <si>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</si>
  <si>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</si>
  <si>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</si>
  <si>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</si>
  <si>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</si>
  <si>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</si>
  <si>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</si>
  <si>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</si>
  <si>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</si>
  <si>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</si>
  <si>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</si>
  <si>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</si>
  <si>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</si>
  <si>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</si>
  <si>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</si>
  <si>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</si>
  <si>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</si>
  <si>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</si>
  <si>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</si>
  <si>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</si>
  <si>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</si>
  <si>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</si>
  <si>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C81001</t>
  </si>
  <si>
    <t>C81002</t>
  </si>
  <si>
    <t>C81003</t>
  </si>
  <si>
    <t>C81004</t>
  </si>
  <si>
    <t>C81005</t>
  </si>
  <si>
    <t>C81008</t>
  </si>
  <si>
    <t>C81010</t>
  </si>
  <si>
    <t>C81011</t>
  </si>
  <si>
    <t>C81012</t>
  </si>
  <si>
    <t>C81013</t>
  </si>
  <si>
    <t>C81015</t>
  </si>
  <si>
    <t>C81016</t>
  </si>
  <si>
    <t>C81017</t>
  </si>
  <si>
    <t>C81020</t>
  </si>
  <si>
    <t>C81021</t>
  </si>
  <si>
    <t>C81022</t>
  </si>
  <si>
    <t>C81023</t>
  </si>
  <si>
    <t>C81024</t>
  </si>
  <si>
    <t>C81025</t>
  </si>
  <si>
    <t>C81026</t>
  </si>
  <si>
    <t>C81027</t>
  </si>
  <si>
    <t>C81028</t>
  </si>
  <si>
    <t>C81029</t>
  </si>
  <si>
    <t>C81030</t>
  </si>
  <si>
    <t>C81031</t>
  </si>
  <si>
    <t>C81032</t>
  </si>
  <si>
    <t>C81033</t>
  </si>
  <si>
    <t>C81034</t>
  </si>
  <si>
    <t>C81037</t>
  </si>
  <si>
    <t>C81038</t>
  </si>
  <si>
    <t>C81039</t>
  </si>
  <si>
    <t>C81041</t>
  </si>
  <si>
    <t>C81043</t>
  </si>
  <si>
    <t>C81044</t>
  </si>
  <si>
    <t>C81045</t>
  </si>
  <si>
    <t>C81046</t>
  </si>
  <si>
    <t>C81048</t>
  </si>
  <si>
    <t>C81049</t>
  </si>
  <si>
    <t>C81050</t>
  </si>
  <si>
    <t>C81052</t>
  </si>
  <si>
    <t>C81053</t>
  </si>
  <si>
    <t>C81055</t>
  </si>
  <si>
    <t>C81056</t>
  </si>
  <si>
    <t>C81057</t>
  </si>
  <si>
    <t>C81058</t>
  </si>
  <si>
    <t>C81059</t>
  </si>
  <si>
    <t>C81060</t>
  </si>
  <si>
    <t>C81061</t>
  </si>
  <si>
    <t>C81062</t>
  </si>
  <si>
    <t>C81063</t>
  </si>
  <si>
    <t>C81065</t>
  </si>
  <si>
    <t>C81067</t>
  </si>
  <si>
    <t>C81069</t>
  </si>
  <si>
    <t>C81070</t>
  </si>
  <si>
    <t>C81074</t>
  </si>
  <si>
    <t>C81075</t>
  </si>
  <si>
    <t>C81076</t>
  </si>
  <si>
    <t>C81079</t>
  </si>
  <si>
    <t>C81080</t>
  </si>
  <si>
    <t>C81082</t>
  </si>
  <si>
    <t>C81083</t>
  </si>
  <si>
    <t>C81084</t>
  </si>
  <si>
    <t>C81086</t>
  </si>
  <si>
    <t>C81089</t>
  </si>
  <si>
    <t>C81090</t>
  </si>
  <si>
    <t>C81091</t>
  </si>
  <si>
    <t>C81092</t>
  </si>
  <si>
    <t>C81094</t>
  </si>
  <si>
    <t>C81095</t>
  </si>
  <si>
    <t>C81096</t>
  </si>
  <si>
    <t>C81097</t>
  </si>
  <si>
    <t>C81099</t>
  </si>
  <si>
    <t>C81101</t>
  </si>
  <si>
    <t>C81104</t>
  </si>
  <si>
    <t>C81110</t>
  </si>
  <si>
    <t>C81114</t>
  </si>
  <si>
    <t>C81115</t>
  </si>
  <si>
    <t>C81116</t>
  </si>
  <si>
    <t>C81604</t>
  </si>
  <si>
    <t>C81611</t>
  </si>
  <si>
    <t>C81617</t>
  </si>
  <si>
    <t>C81627</t>
  </si>
  <si>
    <t>C81633</t>
  </si>
  <si>
    <t>C81634</t>
  </si>
  <si>
    <t>C81638</t>
  </si>
  <si>
    <t>C81642</t>
  </si>
  <si>
    <t>C81647</t>
  </si>
  <si>
    <t>C81649</t>
  </si>
  <si>
    <t>C81654</t>
  </si>
  <si>
    <t>C81655</t>
  </si>
  <si>
    <t>C81658</t>
  </si>
  <si>
    <t>C81661</t>
  </si>
  <si>
    <t>C81662</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</si>
  <si>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</si>
  <si>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</si>
  <si>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</si>
  <si>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</si>
  <si>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</si>
  <si>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</si>
  <si>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</si>
  <si>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</si>
  <si>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</si>
  <si>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</si>
  <si>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</si>
  <si>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</si>
  <si>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</si>
  <si>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</si>
  <si>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</si>
  <si>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</si>
  <si>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</si>
  <si>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</si>
  <si>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</si>
  <si>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</si>
  <si>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</si>
  <si>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</si>
  <si>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</si>
  <si>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</si>
  <si>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</si>
  <si>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</si>
  <si>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</si>
  <si>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</si>
  <si>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</si>
  <si>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</si>
  <si>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</si>
  <si>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</si>
  <si>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</si>
  <si>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</si>
  <si>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</si>
  <si>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</si>
  <si>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</si>
  <si>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</si>
  <si>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</si>
  <si>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</si>
  <si>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</si>
  <si>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</si>
  <si>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</si>
  <si>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</si>
  <si>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</si>
  <si>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</si>
  <si>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</si>
  <si>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</si>
  <si>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</si>
  <si>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</si>
  <si>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</si>
  <si>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</si>
  <si>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</si>
  <si>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</si>
  <si>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</si>
  <si>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</si>
  <si>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</si>
  <si>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</si>
  <si>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</si>
  <si>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</si>
  <si>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</si>
  <si>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</si>
  <si>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</si>
  <si>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</si>
  <si>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</si>
  <si>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</si>
  <si>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</si>
  <si>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</si>
  <si>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</si>
  <si>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</si>
  <si>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</si>
  <si>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</si>
  <si>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</si>
  <si>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</si>
  <si>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</si>
  <si>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</si>
  <si>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</si>
  <si>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</si>
  <si>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</si>
  <si>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</si>
  <si>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</si>
  <si>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</si>
  <si>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</si>
  <si>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</si>
  <si>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</si>
  <si>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</si>
  <si>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</si>
  <si>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</si>
  <si>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</si>
  <si>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</si>
  <si>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</si>
  <si>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</si>
  <si>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</si>
  <si>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</si>
  <si>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</si>
  <si>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</si>
  <si>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</si>
  <si>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</si>
  <si>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</si>
  <si>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</si>
  <si>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</si>
  <si>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</si>
  <si>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</si>
  <si>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</si>
  <si>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</si>
  <si>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</si>
  <si>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</si>
  <si>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</si>
  <si>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</si>
  <si>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</si>
  <si>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</si>
  <si>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</si>
  <si>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</si>
  <si>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</si>
  <si>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</si>
  <si>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</si>
  <si>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</si>
  <si>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</si>
  <si>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</si>
  <si>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</si>
  <si>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</si>
  <si>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</si>
  <si>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</si>
  <si>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</si>
  <si>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</si>
  <si>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</si>
  <si>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</si>
  <si>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</si>
  <si>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</si>
  <si>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</si>
  <si>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</si>
  <si>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</si>
  <si>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</si>
  <si>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</si>
  <si>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</si>
  <si>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</si>
  <si>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</si>
  <si>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</si>
  <si>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</si>
  <si>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</si>
  <si>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</si>
  <si>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</si>
  <si>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</si>
  <si>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</si>
  <si>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</si>
  <si>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</si>
  <si>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</si>
  <si>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</si>
  <si>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</si>
  <si>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</si>
  <si>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</si>
  <si>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</si>
  <si>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</si>
  <si>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</si>
  <si>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</si>
  <si>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</si>
  <si>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</si>
  <si>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</si>
  <si>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</si>
  <si>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</si>
  <si>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</si>
  <si>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</si>
  <si>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</si>
  <si>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</si>
  <si>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</si>
  <si>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</si>
  <si>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</si>
  <si>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</si>
  <si>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</si>
  <si>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</si>
  <si>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</si>
  <si>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</si>
  <si>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</si>
  <si>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</si>
  <si>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</si>
  <si>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</si>
  <si>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</si>
  <si>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</si>
  <si>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</si>
  <si>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</si>
  <si>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</si>
  <si>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</si>
  <si>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Y01812</t>
  </si>
  <si>
    <t>2010/11</t>
  </si>
  <si>
    <t>2008/09-2010/11</t>
  </si>
  <si>
    <t>2005/06-2010/11</t>
  </si>
  <si>
    <t>(C81001) DR DJ COLLINS' PRACTICE</t>
  </si>
  <si>
    <t>(C81002) DR SA KINGHORN'S PRACTICE</t>
  </si>
  <si>
    <t>(C81003) SETT VALLEY MEDICAL CENTRE</t>
  </si>
  <si>
    <t>(C81004) IVY GROVE SURGERY</t>
  </si>
  <si>
    <t>(C81005) JESSOP MEDICAL PRACTICE</t>
  </si>
  <si>
    <t>(C81008) BLUE DYKES SURGERY</t>
  </si>
  <si>
    <t>(C81010) THE MOIR MEDICAL CENTRE</t>
  </si>
  <si>
    <t>(C81011) CRESWELL MEDICAL CENTRE</t>
  </si>
  <si>
    <t>(C81012) DR IR SERRELL'S PRACTICE</t>
  </si>
  <si>
    <t>(C81013) ASHENFELL SURGERY</t>
  </si>
  <si>
    <t>(C81015) NEWBOLD SURGERY</t>
  </si>
  <si>
    <t>(C81016) BAKEWELL MEDICAL CENTRE</t>
  </si>
  <si>
    <t>(C81017) ARTHUR MEDICAL CENTRE</t>
  </si>
  <si>
    <t>(C81020) NEWHALL SURGERY</t>
  </si>
  <si>
    <t>(C81021) OLD STATION SURGERY</t>
  </si>
  <si>
    <t>(C81022) DR WEBB AND PARTNERS</t>
  </si>
  <si>
    <t>(C81023) THE AITUNE MEDICAL PRACTICE</t>
  </si>
  <si>
    <t>(C81024) HOLYWELL MEDICAL GROUP</t>
  </si>
  <si>
    <t>(C81025) DRONFIELD MEDICAL PRACTICE</t>
  </si>
  <si>
    <t>(C81026) ADAM HOUSE MEDICAL CENTRE</t>
  </si>
  <si>
    <t>(C81027) SOMERCOTES MEDICAL CENTRE</t>
  </si>
  <si>
    <t>(C81028) IMPERIAL ROAD SURGERY</t>
  </si>
  <si>
    <t>(C81029) STAFFA HEALTH</t>
  </si>
  <si>
    <t>(C81030) DARLEY DALE MEDICAL CENTRE</t>
  </si>
  <si>
    <t>(C81031) PARK SURGERY</t>
  </si>
  <si>
    <t>(C81032) SWADLINCOTE SURGERY</t>
  </si>
  <si>
    <t>(C81033) SHIRES HEALTHCARE</t>
  </si>
  <si>
    <t>(C81034) STEWART MEDICAL CENTRE</t>
  </si>
  <si>
    <t>(C81037) ASHBOURNE MEDICAL PRACTICE</t>
  </si>
  <si>
    <t>(C81038) WHITEMOOR MEDICAL CENTRE</t>
  </si>
  <si>
    <t>(C81039) EYAM SURGERY</t>
  </si>
  <si>
    <t>(C81041) DR MR SPENCER'S PRACTICE</t>
  </si>
  <si>
    <t>(C81043) RECTORY ROAD MEDICAL CENTRE</t>
  </si>
  <si>
    <t>(C81044) WHITTINGTON MOOR SURGERY</t>
  </si>
  <si>
    <t>(C81045) DR S LANGAN'S PRACTICE</t>
  </si>
  <si>
    <t>(C81046) WEST HALLAM MEDICAL CENTRE</t>
  </si>
  <si>
    <t>(C81048) APPLETREE MEDICAL PRACTICE</t>
  </si>
  <si>
    <t>(C81049) KELVINGROVE MEDICAL CENTRE</t>
  </si>
  <si>
    <t>(C81050) THE VILLAGE SURGERY</t>
  </si>
  <si>
    <t>(C81052) BROOKLYN MEDICAL PRACTICE</t>
  </si>
  <si>
    <t>(C81053) PARKSIDE SURGERY</t>
  </si>
  <si>
    <t>(C81055) DR CSK SINGH'S PRACTICE</t>
  </si>
  <si>
    <t>(C81056) DR PC JACKSON'S PRACTICE</t>
  </si>
  <si>
    <t>(C81057) WILLINGTON SURGERY</t>
  </si>
  <si>
    <t>(C81058) DR RR LIVINGS' PRACTICE</t>
  </si>
  <si>
    <t>(C81059) RIPLEY MEDICAL CENTRE</t>
  </si>
  <si>
    <t>(C81060) WOODVILLE SURGERY</t>
  </si>
  <si>
    <t>(C81061) LITTLEWICK MEDICAL CENTRE</t>
  </si>
  <si>
    <t>(C81062) HANNAGE BROOK MEDICAL CENTRE</t>
  </si>
  <si>
    <t>(C81063) THORNBROOK SURGERY</t>
  </si>
  <si>
    <t>(C81065) BUXTON MEDICAL PRACTICE</t>
  </si>
  <si>
    <t>(C81067) DR DA PRICE'S PRACTICE</t>
  </si>
  <si>
    <t>(C81069) RIVERSDALE</t>
  </si>
  <si>
    <t>(C81070) DR AJ PARK'S PRACTICE</t>
  </si>
  <si>
    <t>(C81074) ELMWOOD MEDICAL CENTRE</t>
  </si>
  <si>
    <t>(C81076) TIDESWELL SURGERY</t>
  </si>
  <si>
    <t>(C81079) LEABROOKS MEDICAL CENTRE</t>
  </si>
  <si>
    <t>(C81080) GOYT VALLEY MEDICAL PRACTICE</t>
  </si>
  <si>
    <t>(C81082) HARTINGTON SURGERY</t>
  </si>
  <si>
    <t>(C81083) THE GOLDEN BROOK PRACTICE</t>
  </si>
  <si>
    <t>(C81084) DR DI ANDERSON'S PRACTICE</t>
  </si>
  <si>
    <t>(C81086) THE SURGERY CLIFTON ROAD</t>
  </si>
  <si>
    <t>(C81089) STUBLEY MEDICAL CENTRE</t>
  </si>
  <si>
    <t>(C81091) DR JA SUTHERLAND'S PRACTICE</t>
  </si>
  <si>
    <t>(C81092) EVELYN MEDICAL CENTRE</t>
  </si>
  <si>
    <t>(C81094) CRICH MEDICAL PRACTICE</t>
  </si>
  <si>
    <t>(C81095) DR HR MCMURRAY'S PRACTICE</t>
  </si>
  <si>
    <t>(C81096) DR WS RIDDELL'S PRACTICE</t>
  </si>
  <si>
    <t>(C81097) COLLEGE STREET MEDICAL PRACTICE</t>
  </si>
  <si>
    <t>(C81099) LIMES MEDICAL CENTRE</t>
  </si>
  <si>
    <t>(C81101) LIME GROVE MEDICAL CENTRE</t>
  </si>
  <si>
    <t>(C81104) OVERSEAL SURGERY</t>
  </si>
  <si>
    <t>(C81110) WELLBROOK MEDICAL CENTRE</t>
  </si>
  <si>
    <t>(C81114) GRESLEYDALE HEALTHCARE CENTRE</t>
  </si>
  <si>
    <t>(C81115) GLADSTONE HOUSE SURGERY</t>
  </si>
  <si>
    <t>(C81116) DR CE KEMP'S PRACTICE</t>
  </si>
  <si>
    <t>(C81604) EDEN SURGERY</t>
  </si>
  <si>
    <t>(C81611) DR GI JONES' PRACTICE</t>
  </si>
  <si>
    <t>(C81617) DR WAK JONES' PRACTICE</t>
  </si>
  <si>
    <t>(C81627) GOSFORTH VALLEY MEDICAL PRACTICE</t>
  </si>
  <si>
    <t>(C81633) DR KA AHMED'S PRACTICE</t>
  </si>
  <si>
    <t>(C81634) ARDEN HOUSE MEDICAL PRACTICE</t>
  </si>
  <si>
    <t>(C81638) CASTLE STREET MEDICAL CENTRE</t>
  </si>
  <si>
    <t>(C81642) PARK VIEW MEDICAL CENTRE</t>
  </si>
  <si>
    <t>(C81647) DR AL NATT'S PRACTICE</t>
  </si>
  <si>
    <t>(C81649) CALOW AND BRIMINGTON PRACTICE</t>
  </si>
  <si>
    <t>(C81654) DR AD CHAND'S PRACTICE</t>
  </si>
  <si>
    <t>(C81655) DR ME HEHIR-STRELLEY'S PRACTICE</t>
  </si>
  <si>
    <t>(C81658) DR V CHAWLA'S PRACTICE</t>
  </si>
  <si>
    <t>(C81661) BLACKWELL MEDICAL CENTRE</t>
  </si>
  <si>
    <t>(C81662) DR A PALMER'S PRACTICE</t>
  </si>
  <si>
    <t>(Y01812) HEARTWOOD MEDICAL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</si>
  <si>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</si>
  <si>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</si>
  <si>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</si>
  <si>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</si>
  <si>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</si>
  <si>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</si>
  <si>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</si>
  <si>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</si>
  <si>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</si>
  <si>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</si>
  <si>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(C81090) DRS MILLER, PURNELL, BAILEY</t>
  </si>
  <si>
    <t>(C81075) BRAILSFORD + HULLAND MEDICAL PRACTICE</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</si>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</sst>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0.96735734859635</c:v>
                </c:pt>
                <c:pt idx="5">
                  <c:v>1</c:v>
                </c:pt>
                <c:pt idx="6">
                  <c:v>1</c:v>
                </c:pt>
                <c:pt idx="7">
                  <c:v>1</c:v>
                </c:pt>
                <c:pt idx="8">
                  <c:v>0.6263537066468351</c:v>
                </c:pt>
                <c:pt idx="9">
                  <c:v>0.9276258225870072</c:v>
                </c:pt>
                <c:pt idx="10">
                  <c:v>0.9236994998594679</c:v>
                </c:pt>
                <c:pt idx="11">
                  <c:v>0.9275703460278681</c:v>
                </c:pt>
                <c:pt idx="12">
                  <c:v>1</c:v>
                </c:pt>
                <c:pt idx="13">
                  <c:v>0</c:v>
                </c:pt>
                <c:pt idx="14">
                  <c:v>1</c:v>
                </c:pt>
                <c:pt idx="15">
                  <c:v>0.8586010110395639</c:v>
                </c:pt>
                <c:pt idx="16">
                  <c:v>1</c:v>
                </c:pt>
                <c:pt idx="17">
                  <c:v>1</c:v>
                </c:pt>
                <c:pt idx="18">
                  <c:v>1</c:v>
                </c:pt>
                <c:pt idx="19">
                  <c:v>1</c:v>
                </c:pt>
                <c:pt idx="20">
                  <c:v>1</c:v>
                </c:pt>
                <c:pt idx="21">
                  <c:v>1</c:v>
                </c:pt>
                <c:pt idx="22">
                  <c:v>0.9752727609756067</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0.5775332373572373</c:v>
                </c:pt>
                <c:pt idx="3">
                  <c:v>0.6818181664244212</c:v>
                </c:pt>
                <c:pt idx="4">
                  <c:v>0.597156166522573</c:v>
                </c:pt>
                <c:pt idx="5">
                  <c:v>0.5709726508765541</c:v>
                </c:pt>
                <c:pt idx="6">
                  <c:v>0.6145833495021304</c:v>
                </c:pt>
                <c:pt idx="7">
                  <c:v>0.6326933375294724</c:v>
                </c:pt>
                <c:pt idx="8">
                  <c:v>0.5191936840525463</c:v>
                </c:pt>
                <c:pt idx="9">
                  <c:v>0.567590237451794</c:v>
                </c:pt>
                <c:pt idx="10">
                  <c:v>0.6345428084103694</c:v>
                </c:pt>
                <c:pt idx="11">
                  <c:v>0.6249057243900877</c:v>
                </c:pt>
                <c:pt idx="12">
                  <c:v>0.5945514737208848</c:v>
                </c:pt>
                <c:pt idx="13">
                  <c:v>0</c:v>
                </c:pt>
                <c:pt idx="14">
                  <c:v>0.5190700776994058</c:v>
                </c:pt>
                <c:pt idx="15">
                  <c:v>0.5886939387679667</c:v>
                </c:pt>
                <c:pt idx="16">
                  <c:v>0.6487305084909251</c:v>
                </c:pt>
                <c:pt idx="17">
                  <c:v>0.6008488353782048</c:v>
                </c:pt>
                <c:pt idx="18">
                  <c:v>0.5588730026786187</c:v>
                </c:pt>
                <c:pt idx="19">
                  <c:v>0.6378479704623397</c:v>
                </c:pt>
                <c:pt idx="20">
                  <c:v>0.5998328252106981</c:v>
                </c:pt>
                <c:pt idx="21">
                  <c:v>0.5836301423786091</c:v>
                </c:pt>
                <c:pt idx="22">
                  <c:v>0.6425214356646688</c:v>
                </c:pt>
                <c:pt idx="23">
                  <c:v>0.5996200956303666</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0.4212159523622399</c:v>
                </c:pt>
                <c:pt idx="3">
                  <c:v>0.3636364005813891</c:v>
                </c:pt>
                <c:pt idx="4">
                  <c:v>0.4403720841199771</c:v>
                </c:pt>
                <c:pt idx="5">
                  <c:v>0.3727069435916024</c:v>
                </c:pt>
                <c:pt idx="6">
                  <c:v>0.4166666019914784</c:v>
                </c:pt>
                <c:pt idx="7">
                  <c:v>0.3699116526612066</c:v>
                </c:pt>
                <c:pt idx="8">
                  <c:v>0.47648667022829116</c:v>
                </c:pt>
                <c:pt idx="9">
                  <c:v>0.40589637744836987</c:v>
                </c:pt>
                <c:pt idx="10">
                  <c:v>0.3662526421973842</c:v>
                </c:pt>
                <c:pt idx="11">
                  <c:v>0.3863027829079047</c:v>
                </c:pt>
                <c:pt idx="12">
                  <c:v>0.3882439162546946</c:v>
                </c:pt>
                <c:pt idx="13">
                  <c:v>0</c:v>
                </c:pt>
                <c:pt idx="14">
                  <c:v>0.4862206976632248</c:v>
                </c:pt>
                <c:pt idx="15">
                  <c:v>0.40055716972779926</c:v>
                </c:pt>
                <c:pt idx="16">
                  <c:v>0.3893489794040289</c:v>
                </c:pt>
                <c:pt idx="17">
                  <c:v>0.4046476352222939</c:v>
                </c:pt>
                <c:pt idx="18">
                  <c:v>0.4157310993355533</c:v>
                </c:pt>
                <c:pt idx="19">
                  <c:v>0.42412121919551143</c:v>
                </c:pt>
                <c:pt idx="20">
                  <c:v>0.38162246027767016</c:v>
                </c:pt>
                <c:pt idx="21">
                  <c:v>0.42168380757597435</c:v>
                </c:pt>
                <c:pt idx="22">
                  <c:v>0.388721983965542</c:v>
                </c:pt>
                <c:pt idx="23">
                  <c:v>0.41521614441895754</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0.090701628067215</c:v>
                </c:pt>
                <c:pt idx="3">
                  <c:v>0.1818182172238312</c:v>
                </c:pt>
                <c:pt idx="4">
                  <c:v>0</c:v>
                </c:pt>
                <c:pt idx="5">
                  <c:v>0.08355512810162326</c:v>
                </c:pt>
                <c:pt idx="6">
                  <c:v>0.041666563186365434</c:v>
                </c:pt>
                <c:pt idx="7">
                  <c:v>0.004615837548507282</c:v>
                </c:pt>
                <c:pt idx="8">
                  <c:v>0</c:v>
                </c:pt>
                <c:pt idx="9">
                  <c:v>0</c:v>
                </c:pt>
                <c:pt idx="10">
                  <c:v>0</c:v>
                </c:pt>
                <c:pt idx="11">
                  <c:v>0</c:v>
                </c:pt>
                <c:pt idx="12">
                  <c:v>0.06109025199659256</c:v>
                </c:pt>
                <c:pt idx="13">
                  <c:v>0</c:v>
                </c:pt>
                <c:pt idx="14">
                  <c:v>0.44012287035857756</c:v>
                </c:pt>
                <c:pt idx="15">
                  <c:v>0</c:v>
                </c:pt>
                <c:pt idx="16">
                  <c:v>0.060721941963942386</c:v>
                </c:pt>
                <c:pt idx="17">
                  <c:v>0.18978297618041576</c:v>
                </c:pt>
                <c:pt idx="18">
                  <c:v>0.3101474800673206</c:v>
                </c:pt>
                <c:pt idx="19">
                  <c:v>0.268351030423601</c:v>
                </c:pt>
                <c:pt idx="20">
                  <c:v>0.15426276494465502</c:v>
                </c:pt>
                <c:pt idx="21">
                  <c:v>0.26014009155550966</c:v>
                </c:pt>
                <c:pt idx="22">
                  <c:v>0</c:v>
                </c:pt>
                <c:pt idx="23">
                  <c:v>0.010286040375375382</c:v>
                </c:pt>
                <c:pt idx="24">
                  <c:v>0</c:v>
                </c:pt>
                <c:pt idx="25">
                  <c:v>0</c:v>
                </c:pt>
                <c:pt idx="26">
                  <c:v>0</c:v>
                </c:pt>
              </c:numCache>
            </c:numRef>
          </c:val>
        </c:ser>
        <c:overlap val="100"/>
        <c:gapWidth val="100"/>
        <c:axId val="61437393"/>
        <c:axId val="1606562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0.38366192026562673</c:v>
                </c:pt>
                <c:pt idx="3">
                  <c:v>0.6368604715069227</c:v>
                </c:pt>
                <c:pt idx="4">
                  <c:v>0.41668570586411613</c:v>
                </c:pt>
                <c:pt idx="5">
                  <c:v>0.43107105932243817</c:v>
                </c:pt>
                <c:pt idx="6">
                  <c:v>0.45586355264341416</c:v>
                </c:pt>
                <c:pt idx="7">
                  <c:v>0.29297063903009385</c:v>
                </c:pt>
                <c:pt idx="8">
                  <c:v>0.4677241289590215</c:v>
                </c:pt>
                <c:pt idx="9">
                  <c:v>0.22394259873631917</c:v>
                </c:pt>
                <c:pt idx="10">
                  <c:v>0.2530871480582217</c:v>
                </c:pt>
                <c:pt idx="11">
                  <c:v>0.37885655674584784</c:v>
                </c:pt>
                <c:pt idx="12">
                  <c:v>0.479360090776232</c:v>
                </c:pt>
                <c:pt idx="13">
                  <c:v>0.5</c:v>
                </c:pt>
                <c:pt idx="14">
                  <c:v>0.4907132757744295</c:v>
                </c:pt>
                <c:pt idx="15">
                  <c:v>0.4984948892548189</c:v>
                </c:pt>
                <c:pt idx="16">
                  <c:v>0.5110052618737698</c:v>
                </c:pt>
                <c:pt idx="17">
                  <c:v>0.5122994532155485</c:v>
                </c:pt>
                <c:pt idx="18">
                  <c:v>0.473032239879939</c:v>
                </c:pt>
                <c:pt idx="19">
                  <c:v>0.5479627056232641</c:v>
                </c:pt>
                <c:pt idx="20">
                  <c:v>0.3910064697372173</c:v>
                </c:pt>
                <c:pt idx="21">
                  <c:v>0.5314193884735864</c:v>
                </c:pt>
                <c:pt idx="22">
                  <c:v>0.42413232056882927</c:v>
                </c:pt>
                <c:pt idx="23">
                  <c:v>0.40185402929067876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0.5415097218805691</c:v>
                </c:pt>
                <c:pt idx="3">
                  <c:v>-999</c:v>
                </c:pt>
                <c:pt idx="4">
                  <c:v>0.7768060265240182</c:v>
                </c:pt>
                <c:pt idx="5">
                  <c:v>0.6184202324351467</c:v>
                </c:pt>
                <c:pt idx="6">
                  <c:v>0.6249999798213413</c:v>
                </c:pt>
                <c:pt idx="7">
                  <c:v>-999</c:v>
                </c:pt>
                <c:pt idx="8">
                  <c:v>0.5580241544350252</c:v>
                </c:pt>
                <c:pt idx="9">
                  <c:v>0.4788773546301822</c:v>
                </c:pt>
                <c:pt idx="10">
                  <c:v>0.5258080481284836</c:v>
                </c:pt>
                <c:pt idx="11">
                  <c:v>0.5240233813158421</c:v>
                </c:pt>
                <c:pt idx="12">
                  <c:v>-999</c:v>
                </c:pt>
                <c:pt idx="13">
                  <c:v>-999</c:v>
                </c:pt>
                <c:pt idx="14">
                  <c:v>0.4747666798849399</c:v>
                </c:pt>
                <c:pt idx="15">
                  <c:v>0.5990871014400967</c:v>
                </c:pt>
                <c:pt idx="16">
                  <c:v>0.6366224105921147</c:v>
                </c:pt>
                <c:pt idx="17">
                  <c:v>0.6098412616154062</c:v>
                </c:pt>
                <c:pt idx="18">
                  <c:v>0.6786503456357883</c:v>
                </c:pt>
                <c:pt idx="19">
                  <c:v>-999</c:v>
                </c:pt>
                <c:pt idx="20">
                  <c:v>0.3213728251898543</c:v>
                </c:pt>
                <c:pt idx="21">
                  <c:v>0.7069358258605143</c:v>
                </c:pt>
                <c:pt idx="22">
                  <c:v>0.6744172089709276</c:v>
                </c:pt>
                <c:pt idx="23">
                  <c:v>0.6269136513742587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0.6363636400581388</c:v>
                </c:pt>
                <c:pt idx="4">
                  <c:v>-999</c:v>
                </c:pt>
                <c:pt idx="5">
                  <c:v>-999</c:v>
                </c:pt>
                <c:pt idx="6">
                  <c:v>-999</c:v>
                </c:pt>
                <c:pt idx="7">
                  <c:v>0.99999993130785</c:v>
                </c:pt>
                <c:pt idx="8">
                  <c:v>-999</c:v>
                </c:pt>
                <c:pt idx="9">
                  <c:v>-999</c:v>
                </c:pt>
                <c:pt idx="10">
                  <c:v>-999</c:v>
                </c:pt>
                <c:pt idx="11">
                  <c:v>-999</c:v>
                </c:pt>
                <c:pt idx="12">
                  <c:v>0.8909170168864076</c:v>
                </c:pt>
                <c:pt idx="13">
                  <c:v>0.87426968078602</c:v>
                </c:pt>
                <c:pt idx="14">
                  <c:v>-999</c:v>
                </c:pt>
                <c:pt idx="15">
                  <c:v>-999</c:v>
                </c:pt>
                <c:pt idx="16">
                  <c:v>-999</c:v>
                </c:pt>
                <c:pt idx="17">
                  <c:v>-999</c:v>
                </c:pt>
                <c:pt idx="18">
                  <c:v>-999</c:v>
                </c:pt>
                <c:pt idx="19">
                  <c:v>0.8295827151801992</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0372907"/>
        <c:axId val="26247300"/>
      </c:scatterChart>
      <c:catAx>
        <c:axId val="61437393"/>
        <c:scaling>
          <c:orientation val="maxMin"/>
        </c:scaling>
        <c:axPos val="l"/>
        <c:delete val="0"/>
        <c:numFmt formatCode="General" sourceLinked="1"/>
        <c:majorTickMark val="out"/>
        <c:minorTickMark val="none"/>
        <c:tickLblPos val="none"/>
        <c:spPr>
          <a:ln w="3175">
            <a:noFill/>
          </a:ln>
        </c:spPr>
        <c:crossAx val="16065626"/>
        <c:crosses val="autoZero"/>
        <c:auto val="1"/>
        <c:lblOffset val="100"/>
        <c:tickLblSkip val="1"/>
        <c:noMultiLvlLbl val="0"/>
      </c:catAx>
      <c:valAx>
        <c:axId val="16065626"/>
        <c:scaling>
          <c:orientation val="minMax"/>
          <c:max val="1"/>
          <c:min val="0"/>
        </c:scaling>
        <c:axPos val="t"/>
        <c:delete val="0"/>
        <c:numFmt formatCode="General" sourceLinked="1"/>
        <c:majorTickMark val="none"/>
        <c:minorTickMark val="none"/>
        <c:tickLblPos val="none"/>
        <c:spPr>
          <a:ln w="3175">
            <a:noFill/>
          </a:ln>
        </c:spPr>
        <c:crossAx val="61437393"/>
        <c:crossesAt val="1"/>
        <c:crossBetween val="between"/>
        <c:dispUnits/>
        <c:majorUnit val="1"/>
      </c:valAx>
      <c:valAx>
        <c:axId val="10372907"/>
        <c:scaling>
          <c:orientation val="minMax"/>
          <c:max val="1"/>
          <c:min val="0"/>
        </c:scaling>
        <c:axPos val="t"/>
        <c:delete val="0"/>
        <c:numFmt formatCode="General" sourceLinked="1"/>
        <c:majorTickMark val="none"/>
        <c:minorTickMark val="none"/>
        <c:tickLblPos val="none"/>
        <c:spPr>
          <a:ln w="3175">
            <a:noFill/>
          </a:ln>
        </c:spPr>
        <c:crossAx val="26247300"/>
        <c:crosses val="max"/>
        <c:crossBetween val="midCat"/>
        <c:dispUnits/>
        <c:majorUnit val="0.1"/>
        <c:minorUnit val="0.020000000000000004"/>
      </c:valAx>
      <c:valAx>
        <c:axId val="26247300"/>
        <c:scaling>
          <c:orientation val="maxMin"/>
          <c:max val="29"/>
          <c:min val="0"/>
        </c:scaling>
        <c:axPos val="l"/>
        <c:delete val="0"/>
        <c:numFmt formatCode="General" sourceLinked="1"/>
        <c:majorTickMark val="none"/>
        <c:minorTickMark val="none"/>
        <c:tickLblPos val="none"/>
        <c:spPr>
          <a:ln w="3175">
            <a:noFill/>
          </a:ln>
        </c:spPr>
        <c:crossAx val="10372907"/>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(C81090) DRS MILLER, PURNELL, BAILEY, DERBYSHIRE COUNTY PCT (5N6)</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529</v>
      </c>
      <c r="Q3" s="65"/>
      <c r="R3" s="66"/>
      <c r="S3" s="66"/>
      <c r="T3" s="66"/>
      <c r="U3" s="66"/>
      <c r="V3" s="66"/>
      <c r="W3" s="66"/>
      <c r="X3" s="66"/>
      <c r="Y3" s="66"/>
      <c r="Z3" s="66"/>
      <c r="AA3" s="66"/>
      <c r="AB3" s="66"/>
      <c r="AC3" s="66"/>
    </row>
    <row r="4" spans="2:29" ht="18" customHeight="1">
      <c r="B4" s="319" t="s">
        <v>656</v>
      </c>
      <c r="C4" s="320"/>
      <c r="D4" s="320"/>
      <c r="E4" s="320"/>
      <c r="F4" s="320"/>
      <c r="G4" s="321"/>
      <c r="H4" s="112"/>
      <c r="I4" s="112"/>
      <c r="J4" s="112"/>
      <c r="K4" s="112"/>
      <c r="L4" s="113"/>
      <c r="M4" s="65"/>
      <c r="N4" s="65"/>
      <c r="O4" s="65"/>
      <c r="P4" s="134" t="s">
        <v>530</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531</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426</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655</v>
      </c>
      <c r="C8" s="115"/>
      <c r="D8" s="115"/>
      <c r="E8" s="128">
        <f>VLOOKUP('Hide - Control'!A$3,'All practice data'!A:CA,4,FALSE)</f>
        <v>3863</v>
      </c>
      <c r="F8" s="310" t="str">
        <f>VLOOKUP('Hide - Control'!B4,'Hide - Calculation'!AY:BA,3,FALSE)</f>
        <v> </v>
      </c>
      <c r="G8" s="310"/>
      <c r="H8" s="310"/>
      <c r="I8" s="115"/>
      <c r="J8" s="115"/>
      <c r="K8" s="115"/>
      <c r="L8" s="115"/>
      <c r="M8" s="109"/>
      <c r="N8" s="314" t="s">
        <v>539</v>
      </c>
      <c r="O8" s="314"/>
      <c r="P8" s="314"/>
      <c r="Q8" s="314" t="s">
        <v>32</v>
      </c>
      <c r="R8" s="314"/>
      <c r="S8" s="314"/>
      <c r="T8" s="314" t="s">
        <v>659</v>
      </c>
      <c r="U8" s="314"/>
      <c r="V8" s="314" t="s">
        <v>33</v>
      </c>
      <c r="W8" s="314"/>
      <c r="X8" s="314"/>
      <c r="Y8" s="135"/>
      <c r="Z8" s="314" t="s">
        <v>532</v>
      </c>
      <c r="AA8" s="314"/>
      <c r="AB8" s="161"/>
      <c r="AC8" s="109"/>
    </row>
    <row r="9" spans="2:29" s="61" customFormat="1" ht="19.5" customHeight="1" thickBot="1">
      <c r="B9" s="114" t="s">
        <v>524</v>
      </c>
      <c r="C9" s="114"/>
      <c r="D9" s="114"/>
      <c r="E9" s="129">
        <f>VLOOKUP('Hide - Control'!B4,'Hide - Calculation'!AY:BB,4,FALSE)</f>
        <v>714731</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521</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502</v>
      </c>
      <c r="E11" s="317"/>
      <c r="F11" s="318"/>
      <c r="G11" s="263" t="s">
        <v>500</v>
      </c>
      <c r="H11" s="255" t="s">
        <v>501</v>
      </c>
      <c r="I11" s="255" t="s">
        <v>512</v>
      </c>
      <c r="J11" s="255" t="s">
        <v>513</v>
      </c>
      <c r="K11" s="255" t="s">
        <v>385</v>
      </c>
      <c r="L11" s="256" t="s">
        <v>426</v>
      </c>
      <c r="M11" s="257" t="s">
        <v>522</v>
      </c>
      <c r="N11" s="334" t="s">
        <v>520</v>
      </c>
      <c r="O11" s="334"/>
      <c r="P11" s="334"/>
      <c r="Q11" s="334"/>
      <c r="R11" s="334"/>
      <c r="S11" s="334"/>
      <c r="T11" s="334"/>
      <c r="U11" s="334"/>
      <c r="V11" s="334"/>
      <c r="W11" s="334"/>
      <c r="X11" s="334"/>
      <c r="Y11" s="334"/>
      <c r="Z11" s="334"/>
      <c r="AA11" s="258" t="s">
        <v>523</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383</v>
      </c>
      <c r="C13" s="163">
        <v>1</v>
      </c>
      <c r="D13" s="312" t="s">
        <v>379</v>
      </c>
      <c r="E13" s="313"/>
      <c r="F13" s="313"/>
      <c r="G13" s="166">
        <f>IF(VLOOKUP('Hide - Control'!A$3,'All practice data'!A:CA,C13+4,FALSE)=" "," ",VLOOKUP('Hide - Control'!A$3,'All practice data'!A:CA,C13+4,FALSE))</f>
        <v>757</v>
      </c>
      <c r="H13" s="190">
        <f>IF(VLOOKUP('Hide - Control'!A$3,'All practice data'!A:CA,C13+30,FALSE)=" "," ",VLOOKUP('Hide - Control'!A$3,'All practice data'!A:CA,C13+30,FALSE))</f>
        <v>0.19596168780740358</v>
      </c>
      <c r="I13" s="191">
        <f>IF(LEFT(G13,1)=" "," n/a",+((2*G13+1.96^2-1.96*SQRT(1.96^2+4*G13*(1-G13/E$8)))/(2*(E$8+1.96^2))))</f>
        <v>0.18374881310664823</v>
      </c>
      <c r="J13" s="191">
        <f>IF(LEFT(G13,1)=" "," n/a",+((2*G13+1.96^2+1.96*SQRT(1.96^2+4*G13*(1-G13/E$8)))/(2*(E$8+1.96^2))))</f>
        <v>0.20877866978791873</v>
      </c>
      <c r="K13" s="190">
        <f>IF('Hide - Calculation'!N7="","",'Hide - Calculation'!N7)</f>
        <v>0.18631345219390233</v>
      </c>
      <c r="L13" s="192">
        <f>'Hide - Calculation'!O7</f>
        <v>0.1599882305185145</v>
      </c>
      <c r="M13" s="208">
        <f>IF(ISBLANK('Hide - Calculation'!K7),"",'Hide - Calculation'!U7)</f>
        <v>0.09322268515825272</v>
      </c>
      <c r="N13" s="173"/>
      <c r="O13" s="173"/>
      <c r="P13" s="173"/>
      <c r="Q13" s="173"/>
      <c r="R13" s="173"/>
      <c r="S13" s="173"/>
      <c r="T13" s="173"/>
      <c r="U13" s="173"/>
      <c r="V13" s="173"/>
      <c r="W13" s="173"/>
      <c r="X13" s="173"/>
      <c r="Y13" s="173"/>
      <c r="Z13" s="173"/>
      <c r="AA13" s="226">
        <f>IF(ISBLANK('Hide - Calculation'!K7),"",'Hide - Calculation'!T7)</f>
        <v>0.30045145750045776</v>
      </c>
      <c r="AB13" s="233" t="s">
        <v>653</v>
      </c>
      <c r="AC13" s="209" t="s">
        <v>654</v>
      </c>
    </row>
    <row r="14" spans="2:29" ht="33.75" customHeight="1">
      <c r="B14" s="306"/>
      <c r="C14" s="137">
        <v>2</v>
      </c>
      <c r="D14" s="132" t="s">
        <v>533</v>
      </c>
      <c r="E14" s="85"/>
      <c r="F14" s="85"/>
      <c r="G14" s="118" t="str">
        <f>IF(VLOOKUP('Hide - Control'!A$3,'All practice data'!A:CA,C14+4,FALSE)=" "," ",VLOOKUP('Hide - Control'!A$3,'All practice data'!A:CA,C14+4,FALSE))</f>
        <v>Quintile 3</v>
      </c>
      <c r="H14" s="119">
        <f>IF(VLOOKUP('Hide - Control'!A$3,'All practice data'!A:CA,C14+30,FALSE)=" "," ",VLOOKUP('Hide - Control'!A$3,'All practice data'!A:CA,C14+30,FALSE))</f>
        <v>0.15</v>
      </c>
      <c r="I14" s="120">
        <f>IF(LEFT(G14,1)=" "," n/a",+((2*H14*E8+1.96^2-1.96*SQRT(1.96^2+4*H14*E8*(1-H14*E8/E$8)))/(2*(E$8+1.96^2))))</f>
        <v>0.13908766985115462</v>
      </c>
      <c r="J14" s="120">
        <f>IF(LEFT(G14,1)=" "," n/a",+((2*H14*E8+1.96^2+1.96*SQRT(1.96^2+4*H14*E8*(1-H14*E8/E$8)))/(2*(E$8+1.96^2))))</f>
        <v>0.16160776075557098</v>
      </c>
      <c r="K14" s="119">
        <f>IF('Hide - Calculation'!N8="","",'Hide - Calculation'!N8)</f>
        <v>0.12621682842915724</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0.23000000417232513</v>
      </c>
      <c r="AB14" s="234" t="s">
        <v>39</v>
      </c>
      <c r="AC14" s="130" t="s">
        <v>654</v>
      </c>
    </row>
    <row r="15" spans="2:39" s="63" customFormat="1" ht="33.75" customHeight="1">
      <c r="B15" s="306"/>
      <c r="C15" s="137">
        <v>3</v>
      </c>
      <c r="D15" s="132" t="s">
        <v>388</v>
      </c>
      <c r="E15" s="85"/>
      <c r="F15" s="85"/>
      <c r="G15" s="121">
        <f>IF(VLOOKUP('Hide - Control'!A$3,'All practice data'!A:CA,C15+4,FALSE)=" "," ",VLOOKUP('Hide - Control'!A$3,'All practice data'!A:CA,C15+4,FALSE))</f>
        <v>29</v>
      </c>
      <c r="H15" s="122">
        <f>IF(VLOOKUP('Hide - Control'!A$3,'All practice data'!A:CA,C15+30,FALSE)=" "," ",VLOOKUP('Hide - Control'!A$3,'All practice data'!A:CA,C15+30,FALSE))</f>
        <v>750.7118819570283</v>
      </c>
      <c r="I15" s="123">
        <f>IF(LEFT(G15,1)=" "," n/a",IF(G15&lt;5,100000*VLOOKUP(G15,'Hide - Calculation'!AQ:AR,2,FALSE)/$E$8,100000*(G15*(1-1/(9*G15)-1.96/(3*SQRT(G15)))^3)/$E$8))</f>
        <v>502.6556237449365</v>
      </c>
      <c r="J15" s="123">
        <f>IF(LEFT(G15,1)=" "," n/a",IF(G15&lt;5,100000*VLOOKUP(G15,'Hide - Calculation'!AQ:AS,3,FALSE)/$E$8,100000*((G15+1)*(1-1/(9*(G15+1))+1.96/(3*SQRT(G15+1)))^3)/$E$8))</f>
        <v>1078.192940450248</v>
      </c>
      <c r="K15" s="122">
        <f>IF('Hide - Calculation'!N9="","",'Hide - Calculation'!N9)</f>
        <v>532.0882961561763</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912.1459350585938</v>
      </c>
      <c r="AB15" s="234" t="s">
        <v>503</v>
      </c>
      <c r="AC15" s="131">
        <v>2009</v>
      </c>
      <c r="AD15" s="64"/>
      <c r="AE15" s="64"/>
      <c r="AF15" s="64"/>
      <c r="AG15" s="64"/>
      <c r="AH15" s="64"/>
      <c r="AI15" s="64"/>
      <c r="AJ15" s="64"/>
      <c r="AK15" s="64"/>
      <c r="AL15" s="64"/>
      <c r="AM15" s="64"/>
    </row>
    <row r="16" spans="2:29" s="63" customFormat="1" ht="33.75" customHeight="1">
      <c r="B16" s="306"/>
      <c r="C16" s="137">
        <v>4</v>
      </c>
      <c r="D16" s="132" t="s">
        <v>525</v>
      </c>
      <c r="E16" s="85"/>
      <c r="F16" s="85"/>
      <c r="G16" s="121">
        <f>IF(VLOOKUP('Hide - Control'!A$3,'All practice data'!A:CA,C16+4,FALSE)=" "," ",VLOOKUP('Hide - Control'!A$3,'All practice data'!A:CA,C16+4,FALSE))</f>
        <v>13</v>
      </c>
      <c r="H16" s="122">
        <f>IF(VLOOKUP('Hide - Control'!A$3,'All practice data'!A:CA,C16+30,FALSE)=" "," ",VLOOKUP('Hide - Control'!A$3,'All practice data'!A:CA,C16+30,FALSE))</f>
        <v>336.5260160497023</v>
      </c>
      <c r="I16" s="123">
        <f>IF(LEFT(G16,1)=" "," n/a",IF(G16&lt;5,100000*VLOOKUP(G16,'Hide - Calculation'!AQ:AR,2,FALSE)/$E$8,100000*(G16*(1-1/(9*G16)-1.96/(3*SQRT(G16)))^3)/$E$8))</f>
        <v>179.00998429367144</v>
      </c>
      <c r="J16" s="123">
        <f>IF(LEFT(G16,1)=" "," n/a",IF(G16&lt;5,100000*VLOOKUP(G16,'Hide - Calculation'!AQ:AS,3,FALSE)/$E$8,100000*((G16+1)*(1-1/(9*(G16+1))+1.96/(3*SQRT(G16+1)))^3)/$E$8))</f>
        <v>575.5089420463986</v>
      </c>
      <c r="K16" s="122">
        <f>IF('Hide - Calculation'!N10="","",'Hide - Calculation'!N10)</f>
        <v>266.9535811375189</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545.0941772460938</v>
      </c>
      <c r="AB16" s="234" t="s">
        <v>382</v>
      </c>
      <c r="AC16" s="131" t="s">
        <v>558</v>
      </c>
    </row>
    <row r="17" spans="2:29" s="63" customFormat="1" ht="33.75" customHeight="1" thickBot="1">
      <c r="B17" s="309"/>
      <c r="C17" s="180">
        <v>5</v>
      </c>
      <c r="D17" s="195" t="s">
        <v>387</v>
      </c>
      <c r="E17" s="182"/>
      <c r="F17" s="182"/>
      <c r="G17" s="140">
        <f>IF(VLOOKUP('Hide - Control'!A$3,'All practice data'!A:CA,C17+4,FALSE)=" "," ",VLOOKUP('Hide - Control'!A$3,'All practice data'!A:CA,C17+4,FALSE))</f>
        <v>76</v>
      </c>
      <c r="H17" s="141">
        <f>IF(VLOOKUP('Hide - Control'!A$3,'All practice data'!A:CA,C17+30,FALSE)=" "," ",VLOOKUP('Hide - Control'!A$3,'All practice data'!A:CA,C17+30,FALSE))</f>
        <v>0.02</v>
      </c>
      <c r="I17" s="142">
        <f>IF(LEFT(G17,1)=" "," n/a",+((2*G17+1.96^2-1.96*SQRT(1.96^2+4*G17*(1-G17/E$8)))/(2*(E$8+1.96^2))))</f>
        <v>0.015747772643931828</v>
      </c>
      <c r="J17" s="142">
        <f>IF(LEFT(G17,1)=" "," n/a",+((2*G17+1.96^2+1.96*SQRT(1.96^2+4*G17*(1-G17/E$8)))/(2*(E$8+1.96^2))))</f>
        <v>0.024554266105211657</v>
      </c>
      <c r="K17" s="141">
        <f>IF('Hide - Calculation'!N11="","",'Hide - Calculation'!N11)</f>
        <v>0.01701479297805748</v>
      </c>
      <c r="L17" s="157">
        <f>'Hide - Calculation'!O11</f>
        <v>0.015940726342527432</v>
      </c>
      <c r="M17" s="210">
        <f>IF(ISBLANK('Hide - Calculation'!K11),"",'Hide - Calculation'!U11)</f>
        <v>0.006000000052154064</v>
      </c>
      <c r="N17" s="91"/>
      <c r="O17" s="91"/>
      <c r="P17" s="91"/>
      <c r="Q17" s="91"/>
      <c r="R17" s="91"/>
      <c r="S17" s="91"/>
      <c r="T17" s="91"/>
      <c r="U17" s="91"/>
      <c r="V17" s="91"/>
      <c r="W17" s="91"/>
      <c r="X17" s="91"/>
      <c r="Y17" s="91"/>
      <c r="Z17" s="91"/>
      <c r="AA17" s="229">
        <f>IF(ISBLANK('Hide - Calculation'!K11),"",'Hide - Calculation'!T11)</f>
        <v>0.028999999165534973</v>
      </c>
      <c r="AB17" s="235" t="s">
        <v>526</v>
      </c>
      <c r="AC17" s="189" t="s">
        <v>558</v>
      </c>
    </row>
    <row r="18" spans="2:29" s="63" customFormat="1" ht="33.75" customHeight="1">
      <c r="B18" s="308" t="s">
        <v>13</v>
      </c>
      <c r="C18" s="163">
        <v>6</v>
      </c>
      <c r="D18" s="164" t="s">
        <v>534</v>
      </c>
      <c r="E18" s="165"/>
      <c r="F18" s="165"/>
      <c r="G18" s="219">
        <f>IF(OR(VLOOKUP('Hide - Control'!A$3,'All practice data'!A:CA,C18+4,FALSE)=" ",VLOOKUP('Hide - Control'!A$3,'All practice data'!A:CA,C18+52,FALSE)=0)," n/a",VLOOKUP('Hide - Control'!A$3,'All practice data'!A:CA,C18+4,FALSE))</f>
        <v>49</v>
      </c>
      <c r="H18" s="220">
        <f>IF(OR(VLOOKUP('Hide - Control'!A$3,'All practice data'!A:CA,C18+30,FALSE)=" ",VLOOKUP('Hide - Control'!A$3,'All practice data'!A:CA,C18+52,FALSE)=0)," n/a",VLOOKUP('Hide - Control'!A$3,'All practice data'!A:CA,C18+30,FALSE))</f>
        <v>0.890909</v>
      </c>
      <c r="I18" s="191">
        <f>IF(OR(LEFT(H18,1)=" ",VLOOKUP('Hide - Control'!A$3,'All practice data'!A:CA,C18+52,FALSE)=0)," n/a",+((2*G18+1.96^2-1.96*SQRT(1.96^2+4*G18*(1-G18/(VLOOKUP('Hide - Control'!A$3,'All practice data'!A:CA,C18+52,FALSE)))))/(2*(((VLOOKUP('Hide - Control'!A$3,'All practice data'!A:CA,C18+52,FALSE)))+1.96^2))))</f>
        <v>0.7817420620476805</v>
      </c>
      <c r="J18" s="191">
        <f>IF(OR(LEFT(H18,1)=" ",VLOOKUP('Hide - Control'!A$3,'All practice data'!A:CA,C18+52,FALSE)=0)," n/a",+((2*G18+1.96^2+1.96*SQRT(1.96^2+4*G18*(1-G18/(VLOOKUP('Hide - Control'!A$3,'All practice data'!A:CA,C18+52,FALSE)))))/(2*((VLOOKUP('Hide - Control'!A$3,'All practice data'!A:CA,C18+52,FALSE))+1.96^2))))</f>
        <v>0.9490334437169486</v>
      </c>
      <c r="K18" s="220">
        <f>IF('Hide - Calculation'!N12="","",'Hide - Calculation'!N12)</f>
        <v>0.7706344848534411</v>
      </c>
      <c r="L18" s="192">
        <f>'Hide - Calculation'!O12</f>
        <v>0.7248631360507991</v>
      </c>
      <c r="M18" s="193">
        <f>IF(ISBLANK('Hide - Calculation'!K12),"",'Hide - Calculation'!U12)</f>
        <v>0.6571429967880249</v>
      </c>
      <c r="N18" s="194"/>
      <c r="O18" s="173"/>
      <c r="P18" s="173"/>
      <c r="Q18" s="173"/>
      <c r="R18" s="173"/>
      <c r="S18" s="173"/>
      <c r="T18" s="173"/>
      <c r="U18" s="173"/>
      <c r="V18" s="173"/>
      <c r="W18" s="173"/>
      <c r="X18" s="173"/>
      <c r="Y18" s="173"/>
      <c r="Z18" s="174"/>
      <c r="AA18" s="193">
        <f>IF(ISBLANK('Hide - Calculation'!K12),"",'Hide - Calculation'!T12)</f>
        <v>0.8909090161323547</v>
      </c>
      <c r="AB18" s="233" t="s">
        <v>48</v>
      </c>
      <c r="AC18" s="175" t="s">
        <v>559</v>
      </c>
    </row>
    <row r="19" spans="2:29" s="63" customFormat="1" ht="33.75" customHeight="1">
      <c r="B19" s="306"/>
      <c r="C19" s="137">
        <v>7</v>
      </c>
      <c r="D19" s="132" t="s">
        <v>535</v>
      </c>
      <c r="E19" s="85"/>
      <c r="F19" s="85"/>
      <c r="G19" s="221">
        <f>IF(OR(VLOOKUP('Hide - Control'!A$3,'All practice data'!A:CA,C19+4,FALSE)=" ",VLOOKUP('Hide - Control'!A$3,'All practice data'!A:CA,C19+52,FALSE)=0)," n/a",VLOOKUP('Hide - Control'!A$3,'All practice data'!A:CA,C19+4,FALSE))</f>
        <v>49</v>
      </c>
      <c r="H19" s="218">
        <f>IF(OR(VLOOKUP('Hide - Control'!A$3,'All practice data'!A:CA,C19+30,FALSE)=" ",VLOOKUP('Hide - Control'!A$3,'All practice data'!A:CA,C19+52,FALSE)=0)," n/a",VLOOKUP('Hide - Control'!A$3,'All practice data'!A:CA,C19+30,FALSE))</f>
        <v>0.890909</v>
      </c>
      <c r="I19" s="120">
        <f>IF(OR(LEFT(H19,1)=" ",VLOOKUP('Hide - Control'!A$3,'All practice data'!A:CA,C19+52,FALSE)=0)," n/a",+((2*G19+1.96^2-1.96*SQRT(1.96^2+4*G19*(1-G19/(VLOOKUP('Hide - Control'!A$3,'All practice data'!A:CA,C19+52,FALSE)))))/(2*(((VLOOKUP('Hide - Control'!A$3,'All practice data'!A:CA,C19+52,FALSE)))+1.96^2))))</f>
        <v>0.7817420620476805</v>
      </c>
      <c r="J19" s="120">
        <f>IF(OR(LEFT(H19,1)=" ",VLOOKUP('Hide - Control'!A$3,'All practice data'!A:CA,C19+52,FALSE)=0)," n/a",+((2*G19+1.96^2+1.96*SQRT(1.96^2+4*G19*(1-G19/(VLOOKUP('Hide - Control'!A$3,'All practice data'!A:CA,C19+52,FALSE)))))/(2*((VLOOKUP('Hide - Control'!A$3,'All practice data'!A:CA,C19+52,FALSE))+1.96^2))))</f>
        <v>0.9490334437169486</v>
      </c>
      <c r="K19" s="218">
        <f>IF('Hide - Calculation'!N13="","",'Hide - Calculation'!N13)</f>
        <v>0.7981336479673925</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558</v>
      </c>
    </row>
    <row r="20" spans="2:29" s="63" customFormat="1" ht="33.75" customHeight="1">
      <c r="B20" s="306"/>
      <c r="C20" s="137">
        <v>8</v>
      </c>
      <c r="D20" s="132" t="s">
        <v>536</v>
      </c>
      <c r="E20" s="85"/>
      <c r="F20" s="85"/>
      <c r="G20" s="221">
        <f>IF(OR(VLOOKUP('Hide - Control'!A$3,'All practice data'!A:CA,C20+4,FALSE)=" ",VLOOKUP('Hide - Control'!A$3,'All practice data'!A:CA,C20+52,FALSE)=0)," n/a",VLOOKUP('Hide - Control'!A$3,'All practice data'!A:CA,C20+4,FALSE))</f>
        <v>73</v>
      </c>
      <c r="H20" s="218">
        <f>IF(OR(VLOOKUP('Hide - Control'!A$3,'All practice data'!A:CA,C20+30,FALSE)=" ",VLOOKUP('Hide - Control'!A$3,'All practice data'!A:CA,C20+52,FALSE)=0)," n/a",VLOOKUP('Hide - Control'!A$3,'All practice data'!A:CA,C20+30,FALSE))</f>
        <v>0.820225</v>
      </c>
      <c r="I20" s="120">
        <f>IF(OR(LEFT(H20,1)=" ",VLOOKUP('Hide - Control'!A$3,'All practice data'!A:CA,C20+52,FALSE)=0)," n/a",+((2*G20+1.96^2-1.96*SQRT(1.96^2+4*G20*(1-G20/(VLOOKUP('Hide - Control'!A$3,'All practice data'!A:CA,C20+52,FALSE)))))/(2*(((VLOOKUP('Hide - Control'!A$3,'All practice data'!A:CA,C20+52,FALSE)))+1.96^2))))</f>
        <v>0.7277468791243101</v>
      </c>
      <c r="J20" s="120">
        <f>IF(OR(LEFT(H20,1)=" ",VLOOKUP('Hide - Control'!A$3,'All practice data'!A:CA,C20+52,FALSE)=0)," n/a",+((2*G20+1.96^2+1.96*SQRT(1.96^2+4*G20*(1-G20/(VLOOKUP('Hide - Control'!A$3,'All practice data'!A:CA,C20+52,FALSE)))))/(2*((VLOOKUP('Hide - Control'!A$3,'All practice data'!A:CA,C20+52,FALSE))+1.96^2))))</f>
        <v>0.8862020403255917</v>
      </c>
      <c r="K20" s="218">
        <f>IF('Hide - Calculation'!N14="","",'Hide - Calculation'!N14)</f>
        <v>0.8145515339401957</v>
      </c>
      <c r="L20" s="155">
        <f>'Hide - Calculation'!O14</f>
        <v>0.7559681673907895</v>
      </c>
      <c r="M20" s="152">
        <f>IF(ISBLANK('Hide - Calculation'!K14),"",'Hide - Calculation'!U14)</f>
        <v>0.6995229721069336</v>
      </c>
      <c r="N20" s="160"/>
      <c r="O20" s="84"/>
      <c r="P20" s="84"/>
      <c r="Q20" s="84"/>
      <c r="R20" s="84"/>
      <c r="S20" s="84"/>
      <c r="T20" s="84"/>
      <c r="U20" s="84"/>
      <c r="V20" s="84"/>
      <c r="W20" s="84"/>
      <c r="X20" s="84"/>
      <c r="Y20" s="84"/>
      <c r="Z20" s="88"/>
      <c r="AA20" s="152">
        <f>IF(ISBLANK('Hide - Calculation'!K14),"",'Hide - Calculation'!T14)</f>
        <v>0.9333329796791077</v>
      </c>
      <c r="AB20" s="234" t="s">
        <v>48</v>
      </c>
      <c r="AC20" s="131" t="s">
        <v>560</v>
      </c>
    </row>
    <row r="21" spans="2:29" s="63" customFormat="1" ht="33.75" customHeight="1">
      <c r="B21" s="306"/>
      <c r="C21" s="137">
        <v>9</v>
      </c>
      <c r="D21" s="132" t="s">
        <v>537</v>
      </c>
      <c r="E21" s="85"/>
      <c r="F21" s="85"/>
      <c r="G21" s="221">
        <f>IF(OR(VLOOKUP('Hide - Control'!A$3,'All practice data'!A:CA,C21+4,FALSE)=" ",VLOOKUP('Hide - Control'!A$3,'All practice data'!A:CA,C21+52,FALSE)=0)," n/a",VLOOKUP('Hide - Control'!A$3,'All practice data'!A:CA,C21+4,FALSE))</f>
        <v>274</v>
      </c>
      <c r="H21" s="218">
        <f>IF(OR(VLOOKUP('Hide - Control'!A$3,'All practice data'!A:CA,C21+30,FALSE)=" ",VLOOKUP('Hide - Control'!A$3,'All practice data'!A:CA,C21+52,FALSE)=0)," n/a",VLOOKUP('Hide - Control'!A$3,'All practice data'!A:CA,C21+30,FALSE))</f>
        <v>0.578059</v>
      </c>
      <c r="I21" s="120">
        <f>IF(OR(LEFT(H21,1)=" ",VLOOKUP('Hide - Control'!A$3,'All practice data'!A:CA,C21+52,FALSE)=0)," n/a",+((2*G21+1.96^2-1.96*SQRT(1.96^2+4*G21*(1-G21/(VLOOKUP('Hide - Control'!A$3,'All practice data'!A:CA,C21+52,FALSE)))))/(2*(((VLOOKUP('Hide - Control'!A$3,'All practice data'!A:CA,C21+52,FALSE)))+1.96^2))))</f>
        <v>0.5331451924955302</v>
      </c>
      <c r="J21" s="120">
        <f>IF(OR(LEFT(H21,1)=" ",VLOOKUP('Hide - Control'!A$3,'All practice data'!A:CA,C21+52,FALSE)=0)," n/a",+((2*G21+1.96^2+1.96*SQRT(1.96^2+4*G21*(1-G21/(VLOOKUP('Hide - Control'!A$3,'All practice data'!A:CA,C21+52,FALSE)))))/(2*((VLOOKUP('Hide - Control'!A$3,'All practice data'!A:CA,C21+52,FALSE))+1.96^2))))</f>
        <v>0.6217178416145179</v>
      </c>
      <c r="K21" s="218">
        <f>IF('Hide - Calculation'!N15="","",'Hide - Calculation'!N15)</f>
        <v>0.5740128699001926</v>
      </c>
      <c r="L21" s="155">
        <f>'Hide - Calculation'!O15</f>
        <v>0.5147293797466616</v>
      </c>
      <c r="M21" s="152">
        <f>IF(ISBLANK('Hide - Calculation'!K15),"",'Hide - Calculation'!U15)</f>
        <v>0.4559589922428131</v>
      </c>
      <c r="N21" s="160"/>
      <c r="O21" s="84"/>
      <c r="P21" s="84"/>
      <c r="Q21" s="84"/>
      <c r="R21" s="84"/>
      <c r="S21" s="84"/>
      <c r="T21" s="84"/>
      <c r="U21" s="84"/>
      <c r="V21" s="84"/>
      <c r="W21" s="84"/>
      <c r="X21" s="84"/>
      <c r="Y21" s="84"/>
      <c r="Z21" s="88"/>
      <c r="AA21" s="152">
        <f>IF(ISBLANK('Hide - Calculation'!K15),"",'Hide - Calculation'!T15)</f>
        <v>0.6704549789428711</v>
      </c>
      <c r="AB21" s="234" t="s">
        <v>48</v>
      </c>
      <c r="AC21" s="131" t="s">
        <v>559</v>
      </c>
    </row>
    <row r="22" spans="2:29" s="63" customFormat="1" ht="33.75" customHeight="1" thickBot="1">
      <c r="B22" s="309"/>
      <c r="C22" s="180">
        <v>10</v>
      </c>
      <c r="D22" s="195" t="s">
        <v>538</v>
      </c>
      <c r="E22" s="182"/>
      <c r="F22" s="182"/>
      <c r="G22" s="222">
        <f>IF(OR(VLOOKUP('Hide - Control'!A$3,'All practice data'!A:CA,C22+4,FALSE)=" ",VLOOKUP('Hide - Control'!A$3,'All practice data'!A:CA,C22+52,FALSE)=0)," n/a",VLOOKUP('Hide - Control'!A$3,'All practice data'!A:CA,C22+4,FALSE))</f>
        <v>124</v>
      </c>
      <c r="H22" s="223">
        <f>IF(OR(VLOOKUP('Hide - Control'!A$3,'All practice data'!A:CA,C22+30,FALSE)=" ",VLOOKUP('Hide - Control'!A$3,'All practice data'!A:CA,C22+52,FALSE)=0)," n/a",VLOOKUP('Hide - Control'!A$3,'All practice data'!A:CA,C22+30,FALSE))</f>
        <v>0.616915</v>
      </c>
      <c r="I22" s="196">
        <f>IF(OR(LEFT(H22,1)=" ",VLOOKUP('Hide - Control'!A$3,'All practice data'!A:CA,C22+52,FALSE)=0)," n/a",+((2*G22+1.96^2-1.96*SQRT(1.96^2+4*G22*(1-G22/(VLOOKUP('Hide - Control'!A$3,'All practice data'!A:CA,C22+52,FALSE)))))/(2*(((VLOOKUP('Hide - Control'!A$3,'All practice data'!A:CA,C22+52,FALSE)))+1.96^2))))</f>
        <v>0.5481123118672987</v>
      </c>
      <c r="J22" s="196">
        <f>IF(OR(LEFT(H22,1)=" ",VLOOKUP('Hide - Control'!A$3,'All practice data'!A:CA,C22+52,FALSE)=0)," n/a",+((2*G22+1.96^2+1.96*SQRT(1.96^2+4*G22*(1-G22/(VLOOKUP('Hide - Control'!A$3,'All practice data'!A:CA,C22+52,FALSE)))))/(2*((VLOOKUP('Hide - Control'!A$3,'All practice data'!A:CA,C22+52,FALSE))+1.96^2))))</f>
        <v>0.6813332694989863</v>
      </c>
      <c r="K22" s="223">
        <f>IF('Hide - Calculation'!N16="","",'Hide - Calculation'!N16)</f>
        <v>0.6114420420268181</v>
      </c>
      <c r="L22" s="197">
        <f>'Hide - Calculation'!O16</f>
        <v>0.5752927626212945</v>
      </c>
      <c r="M22" s="198">
        <f>IF(ISBLANK('Hide - Calculation'!K16),"",'Hide - Calculation'!U16)</f>
        <v>0.4666669964790344</v>
      </c>
      <c r="N22" s="199"/>
      <c r="O22" s="91"/>
      <c r="P22" s="91"/>
      <c r="Q22" s="91"/>
      <c r="R22" s="91"/>
      <c r="S22" s="91"/>
      <c r="T22" s="91"/>
      <c r="U22" s="91"/>
      <c r="V22" s="91"/>
      <c r="W22" s="91"/>
      <c r="X22" s="91"/>
      <c r="Y22" s="91"/>
      <c r="Z22" s="188"/>
      <c r="AA22" s="198">
        <f>IF(ISBLANK('Hide - Calculation'!K16),"",'Hide - Calculation'!T16)</f>
        <v>0.7326200008392334</v>
      </c>
      <c r="AB22" s="235" t="s">
        <v>48</v>
      </c>
      <c r="AC22" s="189" t="s">
        <v>558</v>
      </c>
    </row>
    <row r="23" spans="2:29" s="63" customFormat="1" ht="33.75" customHeight="1">
      <c r="B23" s="308" t="s">
        <v>377</v>
      </c>
      <c r="C23" s="163">
        <v>11</v>
      </c>
      <c r="D23" s="179" t="s">
        <v>389</v>
      </c>
      <c r="E23" s="165"/>
      <c r="F23" s="165"/>
      <c r="G23" s="118">
        <f>IF(VLOOKUP('Hide - Control'!A$3,'All practice data'!A:CA,C23+4,FALSE)=" "," ",VLOOKUP('Hide - Control'!A$3,'All practice data'!A:CA,C23+4,FALSE))</f>
        <v>123</v>
      </c>
      <c r="H23" s="216">
        <f>IF(VLOOKUP('Hide - Control'!A$3,'All practice data'!A:CA,C23+30,FALSE)=" "," ",VLOOKUP('Hide - Control'!A$3,'All practice data'!A:CA,C23+30,FALSE))</f>
        <v>3184.053844162568</v>
      </c>
      <c r="I23" s="215">
        <f>IF(LEFT(G23,1)=" "," n/a",IF(G23&lt;5,100000*VLOOKUP(G23,'Hide - Calculation'!AQ:AR,2,FALSE)/$E$8,100000*(G23*(1-1/(9*G23)-1.96/(3*SQRT(G23)))^3)/$E$8))</f>
        <v>2646.207680032799</v>
      </c>
      <c r="J23" s="215">
        <f>IF(LEFT(G23,1)=" "," n/a",IF(G23&lt;5,100000*VLOOKUP(G23,'Hide - Calculation'!AQ:AS,3,FALSE)/$E$8,100000*((G23+1)*(1-1/(9*(G23+1))+1.96/(3*SQRT(G23+1)))^3)/$E$8))</f>
        <v>3799.0663827726257</v>
      </c>
      <c r="K23" s="216">
        <f>IF('Hide - Calculation'!N17="","",'Hide - Calculation'!N17)</f>
        <v>1967.4534894946491</v>
      </c>
      <c r="L23" s="217">
        <f>'Hide - Calculation'!O17</f>
        <v>1812.1669120472948</v>
      </c>
      <c r="M23" s="170">
        <f>IF(ISBLANK('Hide - Calculation'!K17),"",'Hide - Calculation'!U17)</f>
        <v>417.9031066894531</v>
      </c>
      <c r="N23" s="171"/>
      <c r="O23" s="172"/>
      <c r="P23" s="172"/>
      <c r="Q23" s="172"/>
      <c r="R23" s="173"/>
      <c r="S23" s="173"/>
      <c r="T23" s="173"/>
      <c r="U23" s="173"/>
      <c r="V23" s="173"/>
      <c r="W23" s="173"/>
      <c r="X23" s="173"/>
      <c r="Y23" s="173"/>
      <c r="Z23" s="174"/>
      <c r="AA23" s="170">
        <f>IF(ISBLANK('Hide - Calculation'!K17),"",'Hide - Calculation'!T17)</f>
        <v>3547.671875</v>
      </c>
      <c r="AB23" s="233" t="s">
        <v>26</v>
      </c>
      <c r="AC23" s="175" t="s">
        <v>558</v>
      </c>
    </row>
    <row r="24" spans="2:29" s="63" customFormat="1" ht="33.75" customHeight="1">
      <c r="B24" s="306"/>
      <c r="C24" s="137">
        <v>12</v>
      </c>
      <c r="D24" s="147" t="s">
        <v>544</v>
      </c>
      <c r="E24" s="85"/>
      <c r="F24" s="85"/>
      <c r="G24" s="118">
        <f>IF(VLOOKUP('Hide - Control'!A$3,'All practice data'!A:CA,C24+4,FALSE)=" "," ",VLOOKUP('Hide - Control'!A$3,'All practice data'!A:CA,C24+4,FALSE))</f>
        <v>123</v>
      </c>
      <c r="H24" s="119">
        <f>IF(VLOOKUP('Hide - Control'!A$3,'All practice data'!A:CA,C24+30,FALSE)=" "," ",VLOOKUP('Hide - Control'!A$3,'All practice data'!A:CA,C24+30,FALSE))</f>
        <v>1.5727230829999999</v>
      </c>
      <c r="I24" s="212">
        <f>IF(LEFT(VLOOKUP('Hide - Control'!A$3,'All practice data'!A:CA,C24+44,FALSE),1)=" "," n/a",VLOOKUP('Hide - Control'!A$3,'All practice data'!A:CA,C24+44,FALSE))</f>
        <v>1.307086639</v>
      </c>
      <c r="J24" s="212">
        <f>IF(LEFT(VLOOKUP('Hide - Control'!A$3,'All practice data'!A:CA,C24+45,FALSE),1)=" "," n/a",VLOOKUP('Hide - Control'!A$3,'All practice data'!A:CA,C24+45,FALSE))</f>
        <v>1.876481323</v>
      </c>
      <c r="K24" s="152" t="s">
        <v>658</v>
      </c>
      <c r="L24" s="213">
        <v>1</v>
      </c>
      <c r="M24" s="152">
        <f>IF(ISBLANK('Hide - Calculation'!K18),"",'Hide - Calculation'!U18)</f>
        <v>0.2566588222980499</v>
      </c>
      <c r="N24" s="86"/>
      <c r="O24" s="87"/>
      <c r="P24" s="87"/>
      <c r="Q24" s="87"/>
      <c r="R24" s="84"/>
      <c r="S24" s="84"/>
      <c r="T24" s="84"/>
      <c r="U24" s="84"/>
      <c r="V24" s="84"/>
      <c r="W24" s="84"/>
      <c r="X24" s="84"/>
      <c r="Y24" s="84"/>
      <c r="Z24" s="88"/>
      <c r="AA24" s="152">
        <f>IF(ISBLANK('Hide - Calculation'!K18),"",'Hide - Calculation'!T18)</f>
        <v>1.7651208639144897</v>
      </c>
      <c r="AB24" s="234" t="s">
        <v>26</v>
      </c>
      <c r="AC24" s="131" t="s">
        <v>558</v>
      </c>
    </row>
    <row r="25" spans="2:29" s="63" customFormat="1" ht="33.75" customHeight="1">
      <c r="B25" s="306"/>
      <c r="C25" s="137">
        <v>13</v>
      </c>
      <c r="D25" s="147" t="s">
        <v>384</v>
      </c>
      <c r="E25" s="85"/>
      <c r="F25" s="85"/>
      <c r="G25" s="118">
        <f>IF(VLOOKUP('Hide - Control'!A$3,'All practice data'!A:CA,C25+4,FALSE)=" "," ",VLOOKUP('Hide - Control'!A$3,'All practice data'!A:CA,C25+4,FALSE))</f>
        <v>10</v>
      </c>
      <c r="H25" s="119">
        <f>IF(VLOOKUP('Hide - Control'!A$3,'All practice data'!A:CA,C25+30,FALSE)=" "," ",VLOOKUP('Hide - Control'!A$3,'All practice data'!A:CA,C25+30,FALSE))</f>
        <v>0.08130081300813008</v>
      </c>
      <c r="I25" s="120">
        <f>IF(LEFT(G25,1)=" "," n/a",IF(G25=0," n/a",+((2*G25+1.96^2-1.96*SQRT(1.96^2+4*G25*(1-G25/G23)))/(2*(G23+1.96^2)))))</f>
        <v>0.04475838884502018</v>
      </c>
      <c r="J25" s="120">
        <f>IF(LEFT(G25,1)=" "," n/a",IF(G25=0," n/a",+((2*G25+1.96^2+1.96*SQRT(1.96^2+4*G25*(1-G25/G23)))/(2*(G23+1.96^2)))))</f>
        <v>0.14320518146629724</v>
      </c>
      <c r="K25" s="125">
        <f>IF('Hide - Calculation'!N19="","",'Hide - Calculation'!N19)</f>
        <v>0.12139098279049922</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1</v>
      </c>
      <c r="AB25" s="234" t="s">
        <v>26</v>
      </c>
      <c r="AC25" s="131" t="s">
        <v>558</v>
      </c>
    </row>
    <row r="26" spans="2:29" s="63" customFormat="1" ht="33.75" customHeight="1">
      <c r="B26" s="306"/>
      <c r="C26" s="137">
        <v>14</v>
      </c>
      <c r="D26" s="147" t="s">
        <v>527</v>
      </c>
      <c r="E26" s="85"/>
      <c r="F26" s="85"/>
      <c r="G26" s="121">
        <f>IF(VLOOKUP('Hide - Control'!A$3,'All practice data'!A:CA,C26+4,FALSE)=" "," ",VLOOKUP('Hide - Control'!A$3,'All practice data'!A:CA,C26+4,FALSE))</f>
        <v>19</v>
      </c>
      <c r="H26" s="119">
        <f>IF(VLOOKUP('Hide - Control'!A$3,'All practice data'!A:CA,C26+30,FALSE)=" "," ",VLOOKUP('Hide - Control'!A$3,'All practice data'!A:CA,C26+30,FALSE))</f>
        <v>0.5263157894736842</v>
      </c>
      <c r="I26" s="120">
        <f>IF(OR(LEFT(G26,1)=" ",LEFT(G25,1)=" ")," n/a",IF(G26=0," n/a",+((2*G25+1.96^2-1.96*SQRT(1.96^2+4*G25*(1-G25/G26)))/(2*(G26+1.96^2)))))</f>
        <v>0.3170748251182512</v>
      </c>
      <c r="J26" s="120">
        <f>IF(OR(LEFT(G26,1)=" ",LEFT(G25,1)=" ")," n/a",IF(G26=0," n/a",+((2*G25+1.96^2+1.96*SQRT(1.96^2+4*G25*(1-G25/G26)))/(2*(G26+1.96^2)))))</f>
        <v>0.7267049451255146</v>
      </c>
      <c r="K26" s="125">
        <f>IF('Hide - Calculation'!N20="","",'Hide - Calculation'!N20)</f>
        <v>0.4550786456944815</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0.7142857313156128</v>
      </c>
      <c r="AB26" s="234" t="s">
        <v>26</v>
      </c>
      <c r="AC26" s="131" t="s">
        <v>558</v>
      </c>
    </row>
    <row r="27" spans="2:29" s="63" customFormat="1" ht="33.75" customHeight="1">
      <c r="B27" s="306"/>
      <c r="C27" s="137">
        <v>15</v>
      </c>
      <c r="D27" s="147" t="s">
        <v>514</v>
      </c>
      <c r="E27" s="85"/>
      <c r="F27" s="85"/>
      <c r="G27" s="121">
        <f>IF(VLOOKUP('Hide - Control'!A$3,'All practice data'!A:CA,C27+4,FALSE)=" "," ",VLOOKUP('Hide - Control'!A$3,'All practice data'!A:CA,C27+4,FALSE))</f>
        <v>18</v>
      </c>
      <c r="H27" s="122">
        <f>IF(VLOOKUP('Hide - Control'!A$3,'All practice data'!A:CA,C27+30,FALSE)=" "," ",VLOOKUP('Hide - Control'!A$3,'All practice data'!A:CA,C27+30,FALSE))</f>
        <v>465.9590991457417</v>
      </c>
      <c r="I27" s="123">
        <f>IF(LEFT(G27,1)=" "," n/a",IF(G27&lt;5,100000*VLOOKUP(G27,'Hide - Calculation'!AQ:AR,2,FALSE)/$E$8,100000*(G27*(1-1/(9*G27)-1.96/(3*SQRT(G27)))^3)/$E$8))</f>
        <v>276.0131241957208</v>
      </c>
      <c r="J27" s="123">
        <f>IF(LEFT(G27,1)=" "," n/a",IF(G27&lt;5,100000*VLOOKUP(G27,'Hide - Calculation'!AQ:AS,3,FALSE)/$E$8,100000*((G27+1)*(1-1/(9*(G27+1))+1.96/(3*SQRT(G27+1)))^3)/$E$8))</f>
        <v>736.4598856002985</v>
      </c>
      <c r="K27" s="122">
        <f>IF('Hide - Calculation'!N21="","",'Hide - Calculation'!N21)</f>
        <v>390.07682610660515</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721.184814453125</v>
      </c>
      <c r="AB27" s="234" t="s">
        <v>26</v>
      </c>
      <c r="AC27" s="131" t="s">
        <v>558</v>
      </c>
    </row>
    <row r="28" spans="2:29" s="63" customFormat="1" ht="33.75" customHeight="1">
      <c r="B28" s="306"/>
      <c r="C28" s="137">
        <v>16</v>
      </c>
      <c r="D28" s="147" t="s">
        <v>515</v>
      </c>
      <c r="E28" s="85"/>
      <c r="F28" s="85"/>
      <c r="G28" s="121">
        <f>IF(VLOOKUP('Hide - Control'!A$3,'All practice data'!A:CA,C28+4,FALSE)=" "," ",VLOOKUP('Hide - Control'!A$3,'All practice data'!A:CA,C28+4,FALSE))</f>
        <v>14</v>
      </c>
      <c r="H28" s="122">
        <f>IF(VLOOKUP('Hide - Control'!A$3,'All practice data'!A:CA,C28+30,FALSE)=" "," ",VLOOKUP('Hide - Control'!A$3,'All practice data'!A:CA,C28+30,FALSE))</f>
        <v>362.4126326689102</v>
      </c>
      <c r="I28" s="123">
        <f>IF(LEFT(G28,1)=" "," n/a",IF(G28&lt;5,100000*VLOOKUP(G28,'Hide - Calculation'!AQ:AR,2,FALSE)/$E$8,100000*(G28*(1-1/(9*G28)-1.96/(3*SQRT(G28)))^3)/$E$8))</f>
        <v>197.9663642439607</v>
      </c>
      <c r="J28" s="123">
        <f>IF(LEFT(G28,1)=" "," n/a",IF(G28&lt;5,100000*VLOOKUP(G28,'Hide - Calculation'!AQ:AS,3,FALSE)/$E$8,100000*((G28+1)*(1-1/(9*(G28+1))+1.96/(3*SQRT(G28+1)))^3)/$E$8))</f>
        <v>608.1073229982592</v>
      </c>
      <c r="K28" s="122">
        <f>IF('Hide - Calculation'!N22="","",'Hide - Calculation'!N22)</f>
        <v>296.4751773744248</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682.2445678710938</v>
      </c>
      <c r="AB28" s="234" t="s">
        <v>26</v>
      </c>
      <c r="AC28" s="131" t="s">
        <v>558</v>
      </c>
    </row>
    <row r="29" spans="2:29" s="63" customFormat="1" ht="33.75" customHeight="1">
      <c r="B29" s="306"/>
      <c r="C29" s="137">
        <v>17</v>
      </c>
      <c r="D29" s="147" t="s">
        <v>516</v>
      </c>
      <c r="E29" s="85"/>
      <c r="F29" s="85"/>
      <c r="G29" s="121">
        <f>IF(VLOOKUP('Hide - Control'!A$3,'All practice data'!A:CA,C29+4,FALSE)=" "," ",VLOOKUP('Hide - Control'!A$3,'All practice data'!A:CA,C29+4,FALSE))</f>
        <v>6</v>
      </c>
      <c r="H29" s="122">
        <f>IF(VLOOKUP('Hide - Control'!A$3,'All practice data'!A:CA,C29+30,FALSE)=" "," ",VLOOKUP('Hide - Control'!A$3,'All practice data'!A:CA,C29+30,FALSE))</f>
        <v>155.31969971524722</v>
      </c>
      <c r="I29" s="123">
        <f>IF(LEFT(G29,1)=" "," n/a",IF(G29&lt;5,100000*VLOOKUP(G29,'Hide - Calculation'!AQ:AR,2,FALSE)/$E$8,100000*(G29*(1-1/(9*G29)-1.96/(3*SQRT(G29)))^3)/$E$8))</f>
        <v>56.716042989481736</v>
      </c>
      <c r="J29" s="123">
        <f>IF(LEFT(G29,1)=" "," n/a",IF(G29&lt;5,100000*VLOOKUP(G29,'Hide - Calculation'!AQ:AS,3,FALSE)/$E$8,100000*((G29+1)*(1-1/(9*(G29+1))+1.96/(3*SQRT(G29+1)))^3)/$E$8))</f>
        <v>338.0765019072679</v>
      </c>
      <c r="K29" s="122">
        <f>IF('Hide - Calculation'!N23="","",'Hide - Calculation'!N23)</f>
        <v>84.92705647299474</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287.931884765625</v>
      </c>
      <c r="AB29" s="234" t="s">
        <v>26</v>
      </c>
      <c r="AC29" s="131" t="s">
        <v>558</v>
      </c>
    </row>
    <row r="30" spans="2:29" s="63" customFormat="1" ht="33.75" customHeight="1" thickBot="1">
      <c r="B30" s="309"/>
      <c r="C30" s="180">
        <v>18</v>
      </c>
      <c r="D30" s="181" t="s">
        <v>517</v>
      </c>
      <c r="E30" s="182"/>
      <c r="F30" s="182"/>
      <c r="G30" s="183">
        <f>IF(VLOOKUP('Hide - Control'!A$3,'All practice data'!A:CA,C30+4,FALSE)=" "," ",VLOOKUP('Hide - Control'!A$3,'All practice data'!A:CA,C30+4,FALSE))</f>
        <v>24</v>
      </c>
      <c r="H30" s="184">
        <f>IF(VLOOKUP('Hide - Control'!A$3,'All practice data'!A:CA,C30+30,FALSE)=" "," ",VLOOKUP('Hide - Control'!A$3,'All practice data'!A:CA,C30+30,FALSE))</f>
        <v>621.2787988609889</v>
      </c>
      <c r="I30" s="185">
        <f>IF(LEFT(G30,1)=" "," n/a",IF(G30&lt;5,100000*VLOOKUP(G30,'Hide - Calculation'!AQ:AR,2,FALSE)/$E$8,100000*(G30*(1-1/(9*G30)-1.96/(3*SQRT(G30)))^3)/$E$8))</f>
        <v>397.94433846128896</v>
      </c>
      <c r="J30" s="185">
        <f>IF(LEFT(G30,1)=" "," n/a",IF(G30&lt;5,100000*VLOOKUP(G30,'Hide - Calculation'!AQ:AS,3,FALSE)/$E$8,100000*((G30+1)*(1-1/(9*(G30+1))+1.96/(3*SQRT(G30+1)))^3)/$E$8))</f>
        <v>924.4588360681175</v>
      </c>
      <c r="K30" s="184">
        <f>IF('Hide - Calculation'!N24="","",'Hide - Calculation'!N24)</f>
        <v>313.82436189279605</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801.6373901367188</v>
      </c>
      <c r="AB30" s="235" t="s">
        <v>26</v>
      </c>
      <c r="AC30" s="189" t="s">
        <v>558</v>
      </c>
    </row>
    <row r="31" spans="2:29" s="63" customFormat="1" ht="33.75" customHeight="1">
      <c r="B31" s="304" t="s">
        <v>386</v>
      </c>
      <c r="C31" s="163">
        <v>19</v>
      </c>
      <c r="D31" s="164" t="s">
        <v>390</v>
      </c>
      <c r="E31" s="165"/>
      <c r="F31" s="165"/>
      <c r="G31" s="166">
        <f>IF(VLOOKUP('Hide - Control'!A$3,'All practice data'!A:CA,C31+4,FALSE)=" "," ",VLOOKUP('Hide - Control'!A$3,'All practice data'!A:CA,C31+4,FALSE))</f>
        <v>19</v>
      </c>
      <c r="H31" s="167">
        <f>IF(VLOOKUP('Hide - Control'!A$3,'All practice data'!A:CA,C31+30,FALSE)=" "," ",VLOOKUP('Hide - Control'!A$3,'All practice data'!A:CA,C31+30,FALSE))</f>
        <v>491.84571576494955</v>
      </c>
      <c r="I31" s="168">
        <f>IF(LEFT(G31,1)=" "," n/a",IF(G31&lt;5,100000*VLOOKUP(G31,'Hide - Calculation'!AQ:AR,2,FALSE)/$E$8,100000*(G31*(1-1/(9*G31)-1.96/(3*SQRT(G31)))^3)/$E$8))</f>
        <v>295.9841743983453</v>
      </c>
      <c r="J31" s="168">
        <f>IF(LEFT(G31,1)=" "," n/a",IF(G31&lt;5,100000*VLOOKUP(G31,'Hide - Calculation'!AQ:AS,3,FALSE)/$E$8,100000*((G31+1)*(1-1/(9*(G31+1))+1.96/(3*SQRT(G31+1)))^3)/$E$8))</f>
        <v>768.1220756528462</v>
      </c>
      <c r="K31" s="167">
        <f>IF('Hide - Calculation'!N25="","",'Hide - Calculation'!N25)</f>
        <v>679.6962773407058</v>
      </c>
      <c r="L31" s="169">
        <f>'Hide - Calculation'!O25</f>
        <v>562.6134400960308</v>
      </c>
      <c r="M31" s="170">
        <f>IF(ISBLANK('Hide - Calculation'!K25),"",'Hide - Calculation'!U25)</f>
        <v>322.0140380859375</v>
      </c>
      <c r="N31" s="171"/>
      <c r="O31" s="172"/>
      <c r="P31" s="172"/>
      <c r="Q31" s="172"/>
      <c r="R31" s="173"/>
      <c r="S31" s="173"/>
      <c r="T31" s="173"/>
      <c r="U31" s="173"/>
      <c r="V31" s="173"/>
      <c r="W31" s="173"/>
      <c r="X31" s="173"/>
      <c r="Y31" s="173"/>
      <c r="Z31" s="174"/>
      <c r="AA31" s="170">
        <f>IF(ISBLANK('Hide - Calculation'!K25),"",'Hide - Calculation'!T25)</f>
        <v>1181.5252685546875</v>
      </c>
      <c r="AB31" s="233" t="s">
        <v>47</v>
      </c>
      <c r="AC31" s="175" t="s">
        <v>558</v>
      </c>
    </row>
    <row r="32" spans="2:29" s="63" customFormat="1" ht="33.75" customHeight="1">
      <c r="B32" s="305"/>
      <c r="C32" s="137">
        <v>20</v>
      </c>
      <c r="D32" s="132" t="s">
        <v>391</v>
      </c>
      <c r="E32" s="85"/>
      <c r="F32" s="85"/>
      <c r="G32" s="121">
        <f>IF(VLOOKUP('Hide - Control'!A$3,'All practice data'!A:CA,C32+4,FALSE)=" "," ",VLOOKUP('Hide - Control'!A$3,'All practice data'!A:CA,C32+4,FALSE))</f>
        <v>23</v>
      </c>
      <c r="H32" s="122">
        <f>IF(VLOOKUP('Hide - Control'!A$3,'All practice data'!A:CA,C32+30,FALSE)=" "," ",VLOOKUP('Hide - Control'!A$3,'All practice data'!A:CA,C32+30,FALSE))</f>
        <v>595.392182241781</v>
      </c>
      <c r="I32" s="123">
        <f>IF(LEFT(G32,1)=" "," n/a",IF(G32&lt;5,100000*VLOOKUP(G32,'Hide - Calculation'!AQ:AR,2,FALSE)/$E$8,100000*(G32*(1-1/(9*G32)-1.96/(3*SQRT(G32)))^3)/$E$8))</f>
        <v>377.30373404944584</v>
      </c>
      <c r="J32" s="123">
        <f>IF(LEFT(G32,1)=" "," n/a",IF(G32&lt;5,100000*VLOOKUP(G32,'Hide - Calculation'!AQ:AS,3,FALSE)/$E$8,100000*((G32+1)*(1-1/(9*(G32+1))+1.96/(3*SQRT(G32+1)))^3)/$E$8))</f>
        <v>893.4257072709447</v>
      </c>
      <c r="K32" s="122">
        <f>IF('Hide - Calculation'!N26="","",'Hide - Calculation'!N26)</f>
        <v>397.07246502530325</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912.3412475585938</v>
      </c>
      <c r="AB32" s="234" t="s">
        <v>47</v>
      </c>
      <c r="AC32" s="131" t="s">
        <v>558</v>
      </c>
    </row>
    <row r="33" spans="2:29" s="63" customFormat="1" ht="33.75" customHeight="1">
      <c r="B33" s="305"/>
      <c r="C33" s="137">
        <v>21</v>
      </c>
      <c r="D33" s="132" t="s">
        <v>393</v>
      </c>
      <c r="E33" s="85"/>
      <c r="F33" s="85"/>
      <c r="G33" s="121">
        <f>IF(VLOOKUP('Hide - Control'!A$3,'All practice data'!A:CA,C33+4,FALSE)=" "," ",VLOOKUP('Hide - Control'!A$3,'All practice data'!A:CA,C33+4,FALSE))</f>
        <v>56</v>
      </c>
      <c r="H33" s="122">
        <f>IF(VLOOKUP('Hide - Control'!A$3,'All practice data'!A:CA,C33+30,FALSE)=" "," ",VLOOKUP('Hide - Control'!A$3,'All practice data'!A:CA,C33+30,FALSE))</f>
        <v>1449.6505306756408</v>
      </c>
      <c r="I33" s="123">
        <f>IF(LEFT(G33,1)=" "," n/a",IF(G33&lt;5,100000*VLOOKUP(G33,'Hide - Calculation'!AQ:AR,2,FALSE)/$E$8,100000*(G33*(1-1/(9*G33)-1.96/(3*SQRT(G33)))^3)/$E$8))</f>
        <v>1094.9754921081922</v>
      </c>
      <c r="J33" s="123">
        <f>IF(LEFT(G33,1)=" "," n/a",IF(G33&lt;5,100000*VLOOKUP(G33,'Hide - Calculation'!AQ:AS,3,FALSE)/$E$8,100000*((G33+1)*(1-1/(9*(G33+1))+1.96/(3*SQRT(G33+1)))^3)/$E$8))</f>
        <v>1882.5351183742516</v>
      </c>
      <c r="K33" s="122">
        <f>IF('Hide - Calculation'!N27="","",'Hide - Calculation'!N27)</f>
        <v>1211.36483516176</v>
      </c>
      <c r="L33" s="156">
        <f>'Hide - Calculation'!O27</f>
        <v>1059.3522061277838</v>
      </c>
      <c r="M33" s="148">
        <f>IF(ISBLANK('Hide - Calculation'!K27),"",'Hide - Calculation'!U27)</f>
        <v>397.953369140625</v>
      </c>
      <c r="N33" s="86"/>
      <c r="O33" s="87"/>
      <c r="P33" s="87"/>
      <c r="Q33" s="87"/>
      <c r="R33" s="84"/>
      <c r="S33" s="84"/>
      <c r="T33" s="84"/>
      <c r="U33" s="84"/>
      <c r="V33" s="84"/>
      <c r="W33" s="84"/>
      <c r="X33" s="84"/>
      <c r="Y33" s="84"/>
      <c r="Z33" s="88"/>
      <c r="AA33" s="148">
        <f>IF(ISBLANK('Hide - Calculation'!K27),"",'Hide - Calculation'!T27)</f>
        <v>1918.8095703125</v>
      </c>
      <c r="AB33" s="234" t="s">
        <v>47</v>
      </c>
      <c r="AC33" s="131" t="s">
        <v>558</v>
      </c>
    </row>
    <row r="34" spans="2:29" s="63" customFormat="1" ht="33.75" customHeight="1">
      <c r="B34" s="305"/>
      <c r="C34" s="137">
        <v>22</v>
      </c>
      <c r="D34" s="132" t="s">
        <v>392</v>
      </c>
      <c r="E34" s="85"/>
      <c r="F34" s="85"/>
      <c r="G34" s="118">
        <f>IF(VLOOKUP('Hide - Control'!A$3,'All practice data'!A:CA,C34+4,FALSE)=" "," ",VLOOKUP('Hide - Control'!A$3,'All practice data'!A:CA,C34+4,FALSE))</f>
        <v>32</v>
      </c>
      <c r="H34" s="122">
        <f>IF(VLOOKUP('Hide - Control'!A$3,'All practice data'!A:CA,C34+30,FALSE)=" "," ",VLOOKUP('Hide - Control'!A$3,'All practice data'!A:CA,C34+30,FALSE))</f>
        <v>828.3717318146519</v>
      </c>
      <c r="I34" s="123">
        <f>IF(LEFT(G34,1)=" "," n/a",IF(G34&lt;5,100000*VLOOKUP(G34,'Hide - Calculation'!AQ:AR,2,FALSE)/$E$8,100000*(G34*(1-1/(9*G34)-1.96/(3*SQRT(G34)))^3)/$E$8))</f>
        <v>566.503748959752</v>
      </c>
      <c r="J34" s="123">
        <f>IF(LEFT(G34,1)=" "," n/a",IF(G34&lt;5,100000*VLOOKUP(G34,'Hide - Calculation'!AQ:AS,3,FALSE)/$E$8,100000*((G34+1)*(1-1/(9*(G34+1))+1.96/(3*SQRT(G34+1)))^3)/$E$8))</f>
        <v>1169.459093664432</v>
      </c>
      <c r="K34" s="122">
        <f>IF('Hide - Calculation'!N28="","",'Hide - Calculation'!N28)</f>
        <v>700.5432813184261</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1235.23095703125</v>
      </c>
      <c r="AB34" s="234" t="s">
        <v>47</v>
      </c>
      <c r="AC34" s="131" t="s">
        <v>558</v>
      </c>
    </row>
    <row r="35" spans="2:29" s="63" customFormat="1" ht="33.75" customHeight="1">
      <c r="B35" s="305"/>
      <c r="C35" s="137">
        <v>23</v>
      </c>
      <c r="D35" s="138" t="s">
        <v>518</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378</v>
      </c>
      <c r="AC35" s="131">
        <v>2008</v>
      </c>
    </row>
    <row r="36" spans="2:29" ht="33.75" customHeight="1">
      <c r="B36" s="306"/>
      <c r="C36" s="137">
        <v>24</v>
      </c>
      <c r="D36" s="224" t="s">
        <v>519</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378</v>
      </c>
      <c r="AC36" s="131">
        <v>2008</v>
      </c>
    </row>
    <row r="37" spans="2:29" ht="33.75" customHeight="1" thickBot="1">
      <c r="B37" s="307"/>
      <c r="C37" s="176">
        <v>25</v>
      </c>
      <c r="D37" s="177" t="s">
        <v>394</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378</v>
      </c>
      <c r="AC37" s="149">
        <v>2008</v>
      </c>
    </row>
    <row r="38" spans="2:29" ht="16.5" customHeight="1">
      <c r="B38" s="69"/>
      <c r="C38" s="69"/>
      <c r="D38" s="65" t="s">
        <v>376</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657</v>
      </c>
      <c r="C39" s="244"/>
      <c r="D39" s="244"/>
      <c r="E39" s="303" t="s">
        <v>661</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543</v>
      </c>
      <c r="BE2" s="341"/>
      <c r="BF2" s="341"/>
      <c r="BG2" s="341"/>
      <c r="BH2" s="341"/>
      <c r="BI2" s="341"/>
      <c r="BJ2" s="342"/>
    </row>
    <row r="3" spans="1:82" s="72" customFormat="1" ht="76.5" customHeight="1">
      <c r="A3" s="266" t="s">
        <v>276</v>
      </c>
      <c r="B3" s="275" t="s">
        <v>277</v>
      </c>
      <c r="C3" s="276" t="s">
        <v>49</v>
      </c>
      <c r="D3" s="274" t="s">
        <v>528</v>
      </c>
      <c r="E3" s="267" t="s">
        <v>400</v>
      </c>
      <c r="F3" s="267" t="s">
        <v>511</v>
      </c>
      <c r="G3" s="267" t="s">
        <v>402</v>
      </c>
      <c r="H3" s="267" t="s">
        <v>403</v>
      </c>
      <c r="I3" s="267" t="s">
        <v>404</v>
      </c>
      <c r="J3" s="267" t="s">
        <v>552</v>
      </c>
      <c r="K3" s="267" t="s">
        <v>553</v>
      </c>
      <c r="L3" s="267" t="s">
        <v>554</v>
      </c>
      <c r="M3" s="267" t="s">
        <v>405</v>
      </c>
      <c r="N3" s="267" t="s">
        <v>406</v>
      </c>
      <c r="O3" s="267" t="s">
        <v>407</v>
      </c>
      <c r="P3" s="267" t="s">
        <v>542</v>
      </c>
      <c r="Q3" s="267" t="s">
        <v>408</v>
      </c>
      <c r="R3" s="267" t="s">
        <v>409</v>
      </c>
      <c r="S3" s="267" t="s">
        <v>410</v>
      </c>
      <c r="T3" s="267" t="s">
        <v>411</v>
      </c>
      <c r="U3" s="267" t="s">
        <v>412</v>
      </c>
      <c r="V3" s="267" t="s">
        <v>413</v>
      </c>
      <c r="W3" s="267" t="s">
        <v>414</v>
      </c>
      <c r="X3" s="267" t="s">
        <v>415</v>
      </c>
      <c r="Y3" s="267" t="s">
        <v>416</v>
      </c>
      <c r="Z3" s="267" t="s">
        <v>417</v>
      </c>
      <c r="AA3" s="267" t="s">
        <v>418</v>
      </c>
      <c r="AB3" s="267" t="s">
        <v>419</v>
      </c>
      <c r="AC3" s="267" t="s">
        <v>420</v>
      </c>
      <c r="AD3" s="268" t="s">
        <v>421</v>
      </c>
      <c r="AE3" s="268" t="s">
        <v>400</v>
      </c>
      <c r="AF3" s="269" t="s">
        <v>401</v>
      </c>
      <c r="AG3" s="268" t="s">
        <v>402</v>
      </c>
      <c r="AH3" s="268" t="s">
        <v>403</v>
      </c>
      <c r="AI3" s="268" t="s">
        <v>404</v>
      </c>
      <c r="AJ3" s="268" t="s">
        <v>552</v>
      </c>
      <c r="AK3" s="268" t="s">
        <v>553</v>
      </c>
      <c r="AL3" s="268" t="s">
        <v>554</v>
      </c>
      <c r="AM3" s="268" t="s">
        <v>405</v>
      </c>
      <c r="AN3" s="268" t="s">
        <v>406</v>
      </c>
      <c r="AO3" s="268" t="s">
        <v>407</v>
      </c>
      <c r="AP3" s="268" t="s">
        <v>542</v>
      </c>
      <c r="AQ3" s="268" t="s">
        <v>408</v>
      </c>
      <c r="AR3" s="268" t="s">
        <v>409</v>
      </c>
      <c r="AS3" s="268" t="s">
        <v>410</v>
      </c>
      <c r="AT3" s="268" t="s">
        <v>411</v>
      </c>
      <c r="AU3" s="268" t="s">
        <v>412</v>
      </c>
      <c r="AV3" s="268" t="s">
        <v>413</v>
      </c>
      <c r="AW3" s="268" t="s">
        <v>414</v>
      </c>
      <c r="AX3" s="268" t="s">
        <v>415</v>
      </c>
      <c r="AY3" s="270" t="s">
        <v>416</v>
      </c>
      <c r="AZ3" s="271" t="s">
        <v>417</v>
      </c>
      <c r="BA3" s="271" t="s">
        <v>418</v>
      </c>
      <c r="BB3" s="271" t="s">
        <v>419</v>
      </c>
      <c r="BC3" s="272" t="s">
        <v>420</v>
      </c>
      <c r="BD3" s="273" t="s">
        <v>540</v>
      </c>
      <c r="BE3" s="273" t="s">
        <v>541</v>
      </c>
      <c r="BF3" s="273" t="s">
        <v>548</v>
      </c>
      <c r="BG3" s="273" t="s">
        <v>549</v>
      </c>
      <c r="BH3" s="273" t="s">
        <v>547</v>
      </c>
      <c r="BI3" s="273" t="s">
        <v>550</v>
      </c>
      <c r="BJ3" s="273" t="s">
        <v>551</v>
      </c>
      <c r="BK3" s="73"/>
      <c r="BL3" s="73"/>
      <c r="BM3" s="73"/>
      <c r="BN3" s="73"/>
      <c r="BO3" s="73"/>
      <c r="BP3" s="73"/>
      <c r="BQ3" s="73"/>
      <c r="BR3" s="73"/>
      <c r="BS3" s="73"/>
      <c r="BT3" s="73"/>
      <c r="BU3" s="73"/>
      <c r="BV3" s="73"/>
      <c r="BW3" s="73"/>
      <c r="BX3" s="73"/>
      <c r="BY3" s="73"/>
      <c r="BZ3" s="73"/>
      <c r="CA3" s="73"/>
      <c r="CB3" s="73"/>
      <c r="CC3" s="73"/>
      <c r="CD3" s="73"/>
    </row>
    <row r="4" spans="1:66" ht="12.75">
      <c r="A4" s="79" t="s">
        <v>663</v>
      </c>
      <c r="B4" s="79" t="s">
        <v>346</v>
      </c>
      <c r="C4" s="79" t="s">
        <v>173</v>
      </c>
      <c r="D4" s="99">
        <v>3863</v>
      </c>
      <c r="E4" s="99">
        <v>757</v>
      </c>
      <c r="F4" s="99" t="s">
        <v>398</v>
      </c>
      <c r="G4" s="99">
        <v>29</v>
      </c>
      <c r="H4" s="99">
        <v>13</v>
      </c>
      <c r="I4" s="99">
        <v>76</v>
      </c>
      <c r="J4" s="99">
        <v>49</v>
      </c>
      <c r="K4" s="99">
        <v>49</v>
      </c>
      <c r="L4" s="99">
        <v>73</v>
      </c>
      <c r="M4" s="99">
        <v>274</v>
      </c>
      <c r="N4" s="99">
        <v>124</v>
      </c>
      <c r="O4" s="99">
        <v>123</v>
      </c>
      <c r="P4" s="159">
        <v>123</v>
      </c>
      <c r="Q4" s="99">
        <v>10</v>
      </c>
      <c r="R4" s="99">
        <v>19</v>
      </c>
      <c r="S4" s="99">
        <v>18</v>
      </c>
      <c r="T4" s="99">
        <v>14</v>
      </c>
      <c r="U4" s="99">
        <v>6</v>
      </c>
      <c r="V4" s="99">
        <v>24</v>
      </c>
      <c r="W4" s="99">
        <v>19</v>
      </c>
      <c r="X4" s="99">
        <v>23</v>
      </c>
      <c r="Y4" s="99">
        <v>56</v>
      </c>
      <c r="Z4" s="99">
        <v>32</v>
      </c>
      <c r="AA4" s="99" t="s">
        <v>660</v>
      </c>
      <c r="AB4" s="99" t="s">
        <v>660</v>
      </c>
      <c r="AC4" s="99" t="s">
        <v>660</v>
      </c>
      <c r="AD4" s="98" t="s">
        <v>376</v>
      </c>
      <c r="AE4" s="100">
        <v>0.19596168780740358</v>
      </c>
      <c r="AF4" s="100">
        <v>0.15</v>
      </c>
      <c r="AG4" s="98">
        <v>750.7118819570283</v>
      </c>
      <c r="AH4" s="98">
        <v>336.5260160497023</v>
      </c>
      <c r="AI4" s="100">
        <v>0.02</v>
      </c>
      <c r="AJ4" s="100">
        <v>0.890909</v>
      </c>
      <c r="AK4" s="100">
        <v>0.890909</v>
      </c>
      <c r="AL4" s="100">
        <v>0.820225</v>
      </c>
      <c r="AM4" s="100">
        <v>0.578059</v>
      </c>
      <c r="AN4" s="100">
        <v>0.616915</v>
      </c>
      <c r="AO4" s="98">
        <v>3184.053844162568</v>
      </c>
      <c r="AP4" s="158">
        <v>1.5727230829999999</v>
      </c>
      <c r="AQ4" s="100">
        <v>0.08130081300813008</v>
      </c>
      <c r="AR4" s="100">
        <v>0.5263157894736842</v>
      </c>
      <c r="AS4" s="98">
        <v>465.9590991457417</v>
      </c>
      <c r="AT4" s="98">
        <v>362.4126326689102</v>
      </c>
      <c r="AU4" s="98">
        <v>155.31969971524722</v>
      </c>
      <c r="AV4" s="98">
        <v>621.2787988609889</v>
      </c>
      <c r="AW4" s="98">
        <v>491.84571576494955</v>
      </c>
      <c r="AX4" s="98">
        <v>595.392182241781</v>
      </c>
      <c r="AY4" s="98">
        <v>1449.6505306756408</v>
      </c>
      <c r="AZ4" s="98">
        <v>828.3717318146519</v>
      </c>
      <c r="BA4" s="100" t="s">
        <v>660</v>
      </c>
      <c r="BB4" s="100" t="s">
        <v>660</v>
      </c>
      <c r="BC4" s="100" t="s">
        <v>660</v>
      </c>
      <c r="BD4" s="158">
        <v>1.307086639</v>
      </c>
      <c r="BE4" s="158">
        <v>1.876481323</v>
      </c>
      <c r="BF4" s="162">
        <v>55</v>
      </c>
      <c r="BG4" s="162">
        <v>55</v>
      </c>
      <c r="BH4" s="162">
        <v>89</v>
      </c>
      <c r="BI4" s="162">
        <v>474</v>
      </c>
      <c r="BJ4" s="162">
        <v>201</v>
      </c>
      <c r="BK4" s="97"/>
      <c r="BL4" s="97"/>
      <c r="BM4" s="97"/>
      <c r="BN4" s="97"/>
    </row>
    <row r="5" spans="1:66" ht="12.75">
      <c r="A5" s="79" t="s">
        <v>580</v>
      </c>
      <c r="B5" s="79" t="s">
        <v>301</v>
      </c>
      <c r="C5" s="79" t="s">
        <v>173</v>
      </c>
      <c r="D5" s="99">
        <v>7765</v>
      </c>
      <c r="E5" s="99">
        <v>1326</v>
      </c>
      <c r="F5" s="99" t="s">
        <v>397</v>
      </c>
      <c r="G5" s="99">
        <v>41</v>
      </c>
      <c r="H5" s="99">
        <v>33</v>
      </c>
      <c r="I5" s="99">
        <v>141</v>
      </c>
      <c r="J5" s="99">
        <v>246</v>
      </c>
      <c r="K5" s="99" t="s">
        <v>660</v>
      </c>
      <c r="L5" s="99">
        <v>499</v>
      </c>
      <c r="M5" s="99">
        <v>517</v>
      </c>
      <c r="N5" s="99">
        <v>231</v>
      </c>
      <c r="O5" s="99">
        <v>216</v>
      </c>
      <c r="P5" s="159">
        <v>216</v>
      </c>
      <c r="Q5" s="99">
        <v>21</v>
      </c>
      <c r="R5" s="99">
        <v>43</v>
      </c>
      <c r="S5" s="99">
        <v>56</v>
      </c>
      <c r="T5" s="99">
        <v>29</v>
      </c>
      <c r="U5" s="99" t="s">
        <v>660</v>
      </c>
      <c r="V5" s="99">
        <v>62</v>
      </c>
      <c r="W5" s="99">
        <v>84</v>
      </c>
      <c r="X5" s="99">
        <v>47</v>
      </c>
      <c r="Y5" s="99">
        <v>142</v>
      </c>
      <c r="Z5" s="99">
        <v>76</v>
      </c>
      <c r="AA5" s="99" t="s">
        <v>660</v>
      </c>
      <c r="AB5" s="99" t="s">
        <v>660</v>
      </c>
      <c r="AC5" s="99" t="s">
        <v>660</v>
      </c>
      <c r="AD5" s="98" t="s">
        <v>376</v>
      </c>
      <c r="AE5" s="100">
        <v>0.1707662588538313</v>
      </c>
      <c r="AF5" s="100">
        <v>0.11</v>
      </c>
      <c r="AG5" s="98">
        <v>528.0103026400515</v>
      </c>
      <c r="AH5" s="98">
        <v>424.9839021249195</v>
      </c>
      <c r="AI5" s="100">
        <v>0.018000000000000002</v>
      </c>
      <c r="AJ5" s="100">
        <v>0.745455</v>
      </c>
      <c r="AK5" s="100" t="s">
        <v>660</v>
      </c>
      <c r="AL5" s="100">
        <v>0.847199</v>
      </c>
      <c r="AM5" s="100">
        <v>0.573807</v>
      </c>
      <c r="AN5" s="100">
        <v>0.6</v>
      </c>
      <c r="AO5" s="98">
        <v>2781.712813908564</v>
      </c>
      <c r="AP5" s="158">
        <v>1.430002747</v>
      </c>
      <c r="AQ5" s="100">
        <v>0.09722222222222222</v>
      </c>
      <c r="AR5" s="100">
        <v>0.4883720930232558</v>
      </c>
      <c r="AS5" s="98">
        <v>721.184803605924</v>
      </c>
      <c r="AT5" s="98">
        <v>373.4707018673535</v>
      </c>
      <c r="AU5" s="98" t="s">
        <v>660</v>
      </c>
      <c r="AV5" s="98">
        <v>798.4546039922731</v>
      </c>
      <c r="AW5" s="98">
        <v>1081.777205408886</v>
      </c>
      <c r="AX5" s="98">
        <v>605.2801030264005</v>
      </c>
      <c r="AY5" s="98">
        <v>1828.718609143593</v>
      </c>
      <c r="AZ5" s="98">
        <v>978.750804893754</v>
      </c>
      <c r="BA5" s="100" t="s">
        <v>660</v>
      </c>
      <c r="BB5" s="100" t="s">
        <v>660</v>
      </c>
      <c r="BC5" s="100" t="s">
        <v>660</v>
      </c>
      <c r="BD5" s="158">
        <v>1.245645218</v>
      </c>
      <c r="BE5" s="158">
        <v>1.633958435</v>
      </c>
      <c r="BF5" s="162">
        <v>330</v>
      </c>
      <c r="BG5" s="162" t="s">
        <v>660</v>
      </c>
      <c r="BH5" s="162">
        <v>589</v>
      </c>
      <c r="BI5" s="162">
        <v>901</v>
      </c>
      <c r="BJ5" s="162">
        <v>385</v>
      </c>
      <c r="BK5" s="97"/>
      <c r="BL5" s="97"/>
      <c r="BM5" s="97"/>
      <c r="BN5" s="97"/>
    </row>
    <row r="6" spans="1:66" ht="12.75">
      <c r="A6" s="79" t="s">
        <v>597</v>
      </c>
      <c r="B6" s="79" t="s">
        <v>318</v>
      </c>
      <c r="C6" s="79" t="s">
        <v>173</v>
      </c>
      <c r="D6" s="99">
        <v>10749</v>
      </c>
      <c r="E6" s="99">
        <v>2409</v>
      </c>
      <c r="F6" s="99" t="s">
        <v>399</v>
      </c>
      <c r="G6" s="99">
        <v>61</v>
      </c>
      <c r="H6" s="99">
        <v>39</v>
      </c>
      <c r="I6" s="99">
        <v>255</v>
      </c>
      <c r="J6" s="99">
        <v>1268</v>
      </c>
      <c r="K6" s="99">
        <v>419</v>
      </c>
      <c r="L6" s="99">
        <v>2204</v>
      </c>
      <c r="M6" s="99">
        <v>978</v>
      </c>
      <c r="N6" s="99">
        <v>425</v>
      </c>
      <c r="O6" s="99">
        <v>293</v>
      </c>
      <c r="P6" s="159">
        <v>293</v>
      </c>
      <c r="Q6" s="99">
        <v>35</v>
      </c>
      <c r="R6" s="99">
        <v>57</v>
      </c>
      <c r="S6" s="99">
        <v>69</v>
      </c>
      <c r="T6" s="99">
        <v>52</v>
      </c>
      <c r="U6" s="99" t="s">
        <v>660</v>
      </c>
      <c r="V6" s="99">
        <v>70</v>
      </c>
      <c r="W6" s="99">
        <v>70</v>
      </c>
      <c r="X6" s="99">
        <v>44</v>
      </c>
      <c r="Y6" s="99">
        <v>125</v>
      </c>
      <c r="Z6" s="99">
        <v>79</v>
      </c>
      <c r="AA6" s="99" t="s">
        <v>660</v>
      </c>
      <c r="AB6" s="99" t="s">
        <v>660</v>
      </c>
      <c r="AC6" s="99" t="s">
        <v>660</v>
      </c>
      <c r="AD6" s="98" t="s">
        <v>376</v>
      </c>
      <c r="AE6" s="100">
        <v>0.2241138710577728</v>
      </c>
      <c r="AF6" s="100">
        <v>0.06</v>
      </c>
      <c r="AG6" s="98">
        <v>567.4946506651781</v>
      </c>
      <c r="AH6" s="98">
        <v>362.82444878593355</v>
      </c>
      <c r="AI6" s="100">
        <v>0.024</v>
      </c>
      <c r="AJ6" s="100">
        <v>0.824984</v>
      </c>
      <c r="AK6" s="100">
        <v>0.816764</v>
      </c>
      <c r="AL6" s="100">
        <v>0.860265</v>
      </c>
      <c r="AM6" s="100">
        <v>0.659474</v>
      </c>
      <c r="AN6" s="100">
        <v>0.695581</v>
      </c>
      <c r="AO6" s="98">
        <v>2725.8349613917576</v>
      </c>
      <c r="AP6" s="158">
        <v>1.237915573</v>
      </c>
      <c r="AQ6" s="100">
        <v>0.11945392491467577</v>
      </c>
      <c r="AR6" s="100">
        <v>0.6140350877192983</v>
      </c>
      <c r="AS6" s="98">
        <v>641.920178621267</v>
      </c>
      <c r="AT6" s="98">
        <v>483.7659317145781</v>
      </c>
      <c r="AU6" s="98" t="s">
        <v>660</v>
      </c>
      <c r="AV6" s="98">
        <v>651.2233696157782</v>
      </c>
      <c r="AW6" s="98">
        <v>651.2233696157782</v>
      </c>
      <c r="AX6" s="98">
        <v>409.3404037584892</v>
      </c>
      <c r="AY6" s="98">
        <v>1162.8988743138896</v>
      </c>
      <c r="AZ6" s="98">
        <v>734.9520885663783</v>
      </c>
      <c r="BA6" s="100" t="s">
        <v>660</v>
      </c>
      <c r="BB6" s="100" t="s">
        <v>660</v>
      </c>
      <c r="BC6" s="100" t="s">
        <v>660</v>
      </c>
      <c r="BD6" s="158">
        <v>1.100214462</v>
      </c>
      <c r="BE6" s="158">
        <v>1.3880847170000001</v>
      </c>
      <c r="BF6" s="162">
        <v>1537</v>
      </c>
      <c r="BG6" s="162">
        <v>513</v>
      </c>
      <c r="BH6" s="162">
        <v>2562</v>
      </c>
      <c r="BI6" s="162">
        <v>1483</v>
      </c>
      <c r="BJ6" s="162">
        <v>611</v>
      </c>
      <c r="BK6" s="97"/>
      <c r="BL6" s="97"/>
      <c r="BM6" s="97"/>
      <c r="BN6" s="97"/>
    </row>
    <row r="7" spans="1:66" ht="12.75">
      <c r="A7" s="79" t="s">
        <v>642</v>
      </c>
      <c r="B7" s="79" t="s">
        <v>365</v>
      </c>
      <c r="C7" s="79" t="s">
        <v>173</v>
      </c>
      <c r="D7" s="99">
        <v>3444</v>
      </c>
      <c r="E7" s="99">
        <v>664</v>
      </c>
      <c r="F7" s="99" t="s">
        <v>397</v>
      </c>
      <c r="G7" s="99">
        <v>11</v>
      </c>
      <c r="H7" s="99">
        <v>9</v>
      </c>
      <c r="I7" s="99">
        <v>62</v>
      </c>
      <c r="J7" s="99">
        <v>328</v>
      </c>
      <c r="K7" s="99">
        <v>121</v>
      </c>
      <c r="L7" s="99">
        <v>659</v>
      </c>
      <c r="M7" s="99">
        <v>243</v>
      </c>
      <c r="N7" s="99">
        <v>111</v>
      </c>
      <c r="O7" s="99">
        <v>65</v>
      </c>
      <c r="P7" s="159">
        <v>65</v>
      </c>
      <c r="Q7" s="99">
        <v>8</v>
      </c>
      <c r="R7" s="99">
        <v>19</v>
      </c>
      <c r="S7" s="99">
        <v>16</v>
      </c>
      <c r="T7" s="99">
        <v>15</v>
      </c>
      <c r="U7" s="99" t="s">
        <v>660</v>
      </c>
      <c r="V7" s="99">
        <v>7</v>
      </c>
      <c r="W7" s="99">
        <v>36</v>
      </c>
      <c r="X7" s="99">
        <v>25</v>
      </c>
      <c r="Y7" s="99">
        <v>46</v>
      </c>
      <c r="Z7" s="99">
        <v>18</v>
      </c>
      <c r="AA7" s="99" t="s">
        <v>660</v>
      </c>
      <c r="AB7" s="99" t="s">
        <v>660</v>
      </c>
      <c r="AC7" s="99" t="s">
        <v>660</v>
      </c>
      <c r="AD7" s="98" t="s">
        <v>376</v>
      </c>
      <c r="AE7" s="100">
        <v>0.19279907084785133</v>
      </c>
      <c r="AF7" s="100">
        <v>0.09</v>
      </c>
      <c r="AG7" s="98">
        <v>319.39605110336817</v>
      </c>
      <c r="AH7" s="98">
        <v>261.3240418118467</v>
      </c>
      <c r="AI7" s="100">
        <v>0.018000000000000002</v>
      </c>
      <c r="AJ7" s="100">
        <v>0.68476</v>
      </c>
      <c r="AK7" s="100">
        <v>0.746914</v>
      </c>
      <c r="AL7" s="100">
        <v>0.790168</v>
      </c>
      <c r="AM7" s="100">
        <v>0.492901</v>
      </c>
      <c r="AN7" s="100">
        <v>0.5311</v>
      </c>
      <c r="AO7" s="98">
        <v>1887.3403019744483</v>
      </c>
      <c r="AP7" s="158">
        <v>0.9287345886</v>
      </c>
      <c r="AQ7" s="100">
        <v>0.12307692307692308</v>
      </c>
      <c r="AR7" s="100">
        <v>0.42105263157894735</v>
      </c>
      <c r="AS7" s="98">
        <v>464.5760743321719</v>
      </c>
      <c r="AT7" s="98">
        <v>435.54006968641113</v>
      </c>
      <c r="AU7" s="98" t="s">
        <v>660</v>
      </c>
      <c r="AV7" s="98">
        <v>203.2520325203252</v>
      </c>
      <c r="AW7" s="98">
        <v>1045.2961672473868</v>
      </c>
      <c r="AX7" s="98">
        <v>725.9001161440186</v>
      </c>
      <c r="AY7" s="98">
        <v>1335.6562137049941</v>
      </c>
      <c r="AZ7" s="98">
        <v>522.6480836236934</v>
      </c>
      <c r="BA7" s="100" t="s">
        <v>660</v>
      </c>
      <c r="BB7" s="100" t="s">
        <v>660</v>
      </c>
      <c r="BC7" s="100" t="s">
        <v>660</v>
      </c>
      <c r="BD7" s="158">
        <v>0.7167777252</v>
      </c>
      <c r="BE7" s="158">
        <v>1.183748474</v>
      </c>
      <c r="BF7" s="162">
        <v>479</v>
      </c>
      <c r="BG7" s="162">
        <v>162</v>
      </c>
      <c r="BH7" s="162">
        <v>834</v>
      </c>
      <c r="BI7" s="162">
        <v>493</v>
      </c>
      <c r="BJ7" s="162">
        <v>209</v>
      </c>
      <c r="BK7" s="97"/>
      <c r="BL7" s="97"/>
      <c r="BM7" s="97"/>
      <c r="BN7" s="97"/>
    </row>
    <row r="8" spans="1:66" ht="12.75">
      <c r="A8" s="79" t="s">
        <v>573</v>
      </c>
      <c r="B8" s="79" t="s">
        <v>294</v>
      </c>
      <c r="C8" s="79" t="s">
        <v>173</v>
      </c>
      <c r="D8" s="99">
        <v>7988</v>
      </c>
      <c r="E8" s="99">
        <v>1382</v>
      </c>
      <c r="F8" s="99" t="s">
        <v>397</v>
      </c>
      <c r="G8" s="99">
        <v>40</v>
      </c>
      <c r="H8" s="99">
        <v>14</v>
      </c>
      <c r="I8" s="99">
        <v>98</v>
      </c>
      <c r="J8" s="99">
        <v>878</v>
      </c>
      <c r="K8" s="99">
        <v>321</v>
      </c>
      <c r="L8" s="99">
        <v>1615</v>
      </c>
      <c r="M8" s="99">
        <v>615</v>
      </c>
      <c r="N8" s="99">
        <v>285</v>
      </c>
      <c r="O8" s="99">
        <v>271</v>
      </c>
      <c r="P8" s="159">
        <v>271</v>
      </c>
      <c r="Q8" s="99">
        <v>16</v>
      </c>
      <c r="R8" s="99">
        <v>41</v>
      </c>
      <c r="S8" s="99">
        <v>37</v>
      </c>
      <c r="T8" s="99">
        <v>21</v>
      </c>
      <c r="U8" s="99">
        <v>23</v>
      </c>
      <c r="V8" s="99">
        <v>54</v>
      </c>
      <c r="W8" s="99">
        <v>60</v>
      </c>
      <c r="X8" s="99">
        <v>34</v>
      </c>
      <c r="Y8" s="99">
        <v>112</v>
      </c>
      <c r="Z8" s="99">
        <v>70</v>
      </c>
      <c r="AA8" s="99" t="s">
        <v>660</v>
      </c>
      <c r="AB8" s="99" t="s">
        <v>660</v>
      </c>
      <c r="AC8" s="99" t="s">
        <v>660</v>
      </c>
      <c r="AD8" s="98" t="s">
        <v>376</v>
      </c>
      <c r="AE8" s="100">
        <v>0.17300951427140712</v>
      </c>
      <c r="AF8" s="100">
        <v>0.1</v>
      </c>
      <c r="AG8" s="98">
        <v>500.75112669003505</v>
      </c>
      <c r="AH8" s="98">
        <v>175.26289434151226</v>
      </c>
      <c r="AI8" s="100">
        <v>0.012</v>
      </c>
      <c r="AJ8" s="100">
        <v>0.779059</v>
      </c>
      <c r="AK8" s="100">
        <v>0.823077</v>
      </c>
      <c r="AL8" s="100">
        <v>0.783981</v>
      </c>
      <c r="AM8" s="100">
        <v>0.587393</v>
      </c>
      <c r="AN8" s="100">
        <v>0.629139</v>
      </c>
      <c r="AO8" s="98">
        <v>3392.5888833249874</v>
      </c>
      <c r="AP8" s="158">
        <v>1.699934235</v>
      </c>
      <c r="AQ8" s="100">
        <v>0.05904059040590406</v>
      </c>
      <c r="AR8" s="100">
        <v>0.3902439024390244</v>
      </c>
      <c r="AS8" s="98">
        <v>463.1947921882824</v>
      </c>
      <c r="AT8" s="98">
        <v>262.8943415122684</v>
      </c>
      <c r="AU8" s="98">
        <v>287.93189784677014</v>
      </c>
      <c r="AV8" s="98">
        <v>676.0140210315474</v>
      </c>
      <c r="AW8" s="98">
        <v>751.1266900350525</v>
      </c>
      <c r="AX8" s="98">
        <v>425.6384576865298</v>
      </c>
      <c r="AY8" s="98">
        <v>1402.1031547320981</v>
      </c>
      <c r="AZ8" s="98">
        <v>876.3144717075613</v>
      </c>
      <c r="BA8" s="100" t="s">
        <v>660</v>
      </c>
      <c r="BB8" s="100" t="s">
        <v>660</v>
      </c>
      <c r="BC8" s="100" t="s">
        <v>660</v>
      </c>
      <c r="BD8" s="158">
        <v>1.5035462949999998</v>
      </c>
      <c r="BE8" s="158">
        <v>1.914847565</v>
      </c>
      <c r="BF8" s="162">
        <v>1127</v>
      </c>
      <c r="BG8" s="162">
        <v>390</v>
      </c>
      <c r="BH8" s="162">
        <v>2060</v>
      </c>
      <c r="BI8" s="162">
        <v>1047</v>
      </c>
      <c r="BJ8" s="162">
        <v>453</v>
      </c>
      <c r="BK8" s="97"/>
      <c r="BL8" s="97"/>
      <c r="BM8" s="97"/>
      <c r="BN8" s="97"/>
    </row>
    <row r="9" spans="1:66" ht="12.75">
      <c r="A9" s="79" t="s">
        <v>589</v>
      </c>
      <c r="B9" s="79" t="s">
        <v>310</v>
      </c>
      <c r="C9" s="79" t="s">
        <v>173</v>
      </c>
      <c r="D9" s="99">
        <v>7518</v>
      </c>
      <c r="E9" s="99">
        <v>1539</v>
      </c>
      <c r="F9" s="99" t="s">
        <v>399</v>
      </c>
      <c r="G9" s="99">
        <v>45</v>
      </c>
      <c r="H9" s="99">
        <v>27</v>
      </c>
      <c r="I9" s="99">
        <v>123</v>
      </c>
      <c r="J9" s="99">
        <v>857</v>
      </c>
      <c r="K9" s="99">
        <v>249</v>
      </c>
      <c r="L9" s="99">
        <v>1491</v>
      </c>
      <c r="M9" s="99">
        <v>630</v>
      </c>
      <c r="N9" s="99">
        <v>284</v>
      </c>
      <c r="O9" s="99">
        <v>150</v>
      </c>
      <c r="P9" s="159">
        <v>150</v>
      </c>
      <c r="Q9" s="99">
        <v>24</v>
      </c>
      <c r="R9" s="99">
        <v>41</v>
      </c>
      <c r="S9" s="99">
        <v>28</v>
      </c>
      <c r="T9" s="99">
        <v>26</v>
      </c>
      <c r="U9" s="99">
        <v>8</v>
      </c>
      <c r="V9" s="99">
        <v>27</v>
      </c>
      <c r="W9" s="99">
        <v>54</v>
      </c>
      <c r="X9" s="99">
        <v>30</v>
      </c>
      <c r="Y9" s="99">
        <v>78</v>
      </c>
      <c r="Z9" s="99">
        <v>56</v>
      </c>
      <c r="AA9" s="99" t="s">
        <v>660</v>
      </c>
      <c r="AB9" s="99" t="s">
        <v>660</v>
      </c>
      <c r="AC9" s="99" t="s">
        <v>660</v>
      </c>
      <c r="AD9" s="98" t="s">
        <v>376</v>
      </c>
      <c r="AE9" s="100">
        <v>0.20470869912210693</v>
      </c>
      <c r="AF9" s="100">
        <v>0.08</v>
      </c>
      <c r="AG9" s="98">
        <v>598.5634477254589</v>
      </c>
      <c r="AH9" s="98">
        <v>359.1380686352753</v>
      </c>
      <c r="AI9" s="100">
        <v>0.016</v>
      </c>
      <c r="AJ9" s="100">
        <v>0.795729</v>
      </c>
      <c r="AK9" s="100">
        <v>0.803226</v>
      </c>
      <c r="AL9" s="100">
        <v>0.803341</v>
      </c>
      <c r="AM9" s="100">
        <v>0.589888</v>
      </c>
      <c r="AN9" s="100">
        <v>0.638202</v>
      </c>
      <c r="AO9" s="98">
        <v>1995.2114924181963</v>
      </c>
      <c r="AP9" s="158">
        <v>0.9394413757</v>
      </c>
      <c r="AQ9" s="100">
        <v>0.16</v>
      </c>
      <c r="AR9" s="100">
        <v>0.5853658536585366</v>
      </c>
      <c r="AS9" s="98">
        <v>372.43947858472995</v>
      </c>
      <c r="AT9" s="98">
        <v>345.8366586858207</v>
      </c>
      <c r="AU9" s="98">
        <v>106.41127959563714</v>
      </c>
      <c r="AV9" s="98">
        <v>359.1380686352753</v>
      </c>
      <c r="AW9" s="98">
        <v>718.2761372705506</v>
      </c>
      <c r="AX9" s="98">
        <v>399.0422984836393</v>
      </c>
      <c r="AY9" s="98">
        <v>1037.5099760574622</v>
      </c>
      <c r="AZ9" s="98">
        <v>744.8789571694599</v>
      </c>
      <c r="BA9" s="100" t="s">
        <v>660</v>
      </c>
      <c r="BB9" s="100" t="s">
        <v>660</v>
      </c>
      <c r="BC9" s="100" t="s">
        <v>660</v>
      </c>
      <c r="BD9" s="158">
        <v>0.7951190948</v>
      </c>
      <c r="BE9" s="158">
        <v>1.10238533</v>
      </c>
      <c r="BF9" s="162">
        <v>1077</v>
      </c>
      <c r="BG9" s="162">
        <v>310</v>
      </c>
      <c r="BH9" s="162">
        <v>1856</v>
      </c>
      <c r="BI9" s="162">
        <v>1068</v>
      </c>
      <c r="BJ9" s="162">
        <v>445</v>
      </c>
      <c r="BK9" s="97"/>
      <c r="BL9" s="97"/>
      <c r="BM9" s="97"/>
      <c r="BN9" s="97"/>
    </row>
    <row r="10" spans="1:66" ht="12.75">
      <c r="A10" s="79" t="s">
        <v>570</v>
      </c>
      <c r="B10" s="79" t="s">
        <v>291</v>
      </c>
      <c r="C10" s="79" t="s">
        <v>173</v>
      </c>
      <c r="D10" s="99">
        <v>4430</v>
      </c>
      <c r="E10" s="99">
        <v>1331</v>
      </c>
      <c r="F10" s="99" t="s">
        <v>399</v>
      </c>
      <c r="G10" s="99">
        <v>23</v>
      </c>
      <c r="H10" s="99">
        <v>12</v>
      </c>
      <c r="I10" s="99">
        <v>106</v>
      </c>
      <c r="J10" s="99">
        <v>628</v>
      </c>
      <c r="K10" s="99">
        <v>206</v>
      </c>
      <c r="L10" s="99">
        <v>845</v>
      </c>
      <c r="M10" s="99">
        <v>512</v>
      </c>
      <c r="N10" s="99">
        <v>239</v>
      </c>
      <c r="O10" s="99">
        <v>85</v>
      </c>
      <c r="P10" s="159">
        <v>85</v>
      </c>
      <c r="Q10" s="99">
        <v>10</v>
      </c>
      <c r="R10" s="99">
        <v>27</v>
      </c>
      <c r="S10" s="99">
        <v>17</v>
      </c>
      <c r="T10" s="99">
        <v>13</v>
      </c>
      <c r="U10" s="99" t="s">
        <v>660</v>
      </c>
      <c r="V10" s="99">
        <v>19</v>
      </c>
      <c r="W10" s="99">
        <v>31</v>
      </c>
      <c r="X10" s="99">
        <v>14</v>
      </c>
      <c r="Y10" s="99">
        <v>43</v>
      </c>
      <c r="Z10" s="99">
        <v>30</v>
      </c>
      <c r="AA10" s="99" t="s">
        <v>660</v>
      </c>
      <c r="AB10" s="99" t="s">
        <v>660</v>
      </c>
      <c r="AC10" s="99" t="s">
        <v>660</v>
      </c>
      <c r="AD10" s="98" t="s">
        <v>376</v>
      </c>
      <c r="AE10" s="100">
        <v>0.30045146726862304</v>
      </c>
      <c r="AF10" s="100">
        <v>0.05</v>
      </c>
      <c r="AG10" s="98">
        <v>519.1873589164785</v>
      </c>
      <c r="AH10" s="98">
        <v>270.8803611738149</v>
      </c>
      <c r="AI10" s="100">
        <v>0.024</v>
      </c>
      <c r="AJ10" s="100">
        <v>0.773399</v>
      </c>
      <c r="AK10" s="100">
        <v>0.780303</v>
      </c>
      <c r="AL10" s="100">
        <v>0.834156</v>
      </c>
      <c r="AM10" s="100">
        <v>0.628993</v>
      </c>
      <c r="AN10" s="100">
        <v>0.658402</v>
      </c>
      <c r="AO10" s="98">
        <v>1918.7358916478556</v>
      </c>
      <c r="AP10" s="158">
        <v>0.7461616515999999</v>
      </c>
      <c r="AQ10" s="100">
        <v>0.11764705882352941</v>
      </c>
      <c r="AR10" s="100">
        <v>0.37037037037037035</v>
      </c>
      <c r="AS10" s="98">
        <v>383.7471783295711</v>
      </c>
      <c r="AT10" s="98">
        <v>293.4537246049661</v>
      </c>
      <c r="AU10" s="98" t="s">
        <v>660</v>
      </c>
      <c r="AV10" s="98">
        <v>428.8939051918736</v>
      </c>
      <c r="AW10" s="98">
        <v>699.7742663656885</v>
      </c>
      <c r="AX10" s="98">
        <v>316.0270880361174</v>
      </c>
      <c r="AY10" s="98">
        <v>970.6546275395034</v>
      </c>
      <c r="AZ10" s="98">
        <v>677.2009029345372</v>
      </c>
      <c r="BA10" s="100" t="s">
        <v>660</v>
      </c>
      <c r="BB10" s="100" t="s">
        <v>660</v>
      </c>
      <c r="BC10" s="100" t="s">
        <v>660</v>
      </c>
      <c r="BD10" s="158">
        <v>0.5960074234</v>
      </c>
      <c r="BE10" s="158">
        <v>0.9226403809</v>
      </c>
      <c r="BF10" s="162">
        <v>812</v>
      </c>
      <c r="BG10" s="162">
        <v>264</v>
      </c>
      <c r="BH10" s="162">
        <v>1013</v>
      </c>
      <c r="BI10" s="162">
        <v>814</v>
      </c>
      <c r="BJ10" s="162">
        <v>363</v>
      </c>
      <c r="BK10" s="97"/>
      <c r="BL10" s="97"/>
      <c r="BM10" s="97"/>
      <c r="BN10" s="97"/>
    </row>
    <row r="11" spans="1:66" ht="12.75">
      <c r="A11" s="79" t="s">
        <v>572</v>
      </c>
      <c r="B11" s="79" t="s">
        <v>293</v>
      </c>
      <c r="C11" s="79" t="s">
        <v>173</v>
      </c>
      <c r="D11" s="99">
        <v>6127</v>
      </c>
      <c r="E11" s="99">
        <v>1639</v>
      </c>
      <c r="F11" s="99" t="s">
        <v>399</v>
      </c>
      <c r="G11" s="99">
        <v>39</v>
      </c>
      <c r="H11" s="99">
        <v>21</v>
      </c>
      <c r="I11" s="99">
        <v>149</v>
      </c>
      <c r="J11" s="99">
        <v>710</v>
      </c>
      <c r="K11" s="99">
        <v>201</v>
      </c>
      <c r="L11" s="99">
        <v>1115</v>
      </c>
      <c r="M11" s="99">
        <v>537</v>
      </c>
      <c r="N11" s="99">
        <v>239</v>
      </c>
      <c r="O11" s="99">
        <v>129</v>
      </c>
      <c r="P11" s="159">
        <v>129</v>
      </c>
      <c r="Q11" s="99">
        <v>23</v>
      </c>
      <c r="R11" s="99">
        <v>38</v>
      </c>
      <c r="S11" s="99">
        <v>32</v>
      </c>
      <c r="T11" s="99">
        <v>22</v>
      </c>
      <c r="U11" s="99">
        <v>7</v>
      </c>
      <c r="V11" s="99">
        <v>34</v>
      </c>
      <c r="W11" s="99">
        <v>44</v>
      </c>
      <c r="X11" s="99">
        <v>20</v>
      </c>
      <c r="Y11" s="99">
        <v>74</v>
      </c>
      <c r="Z11" s="99">
        <v>37</v>
      </c>
      <c r="AA11" s="99" t="s">
        <v>660</v>
      </c>
      <c r="AB11" s="99" t="s">
        <v>660</v>
      </c>
      <c r="AC11" s="99" t="s">
        <v>660</v>
      </c>
      <c r="AD11" s="98" t="s">
        <v>376</v>
      </c>
      <c r="AE11" s="100">
        <v>0.26750448833034113</v>
      </c>
      <c r="AF11" s="100">
        <v>0.08</v>
      </c>
      <c r="AG11" s="98">
        <v>636.5268483760404</v>
      </c>
      <c r="AH11" s="98">
        <v>342.74522604863716</v>
      </c>
      <c r="AI11" s="100">
        <v>0.024</v>
      </c>
      <c r="AJ11" s="100">
        <v>0.751323</v>
      </c>
      <c r="AK11" s="100">
        <v>0.752809</v>
      </c>
      <c r="AL11" s="100">
        <v>0.79586</v>
      </c>
      <c r="AM11" s="100">
        <v>0.600671</v>
      </c>
      <c r="AN11" s="100">
        <v>0.645946</v>
      </c>
      <c r="AO11" s="98">
        <v>2105.4349600130568</v>
      </c>
      <c r="AP11" s="158">
        <v>0.8752875519</v>
      </c>
      <c r="AQ11" s="100">
        <v>0.17829457364341086</v>
      </c>
      <c r="AR11" s="100">
        <v>0.6052631578947368</v>
      </c>
      <c r="AS11" s="98">
        <v>522.2784396931614</v>
      </c>
      <c r="AT11" s="98">
        <v>359.0664272890485</v>
      </c>
      <c r="AU11" s="98">
        <v>114.24840868287906</v>
      </c>
      <c r="AV11" s="98">
        <v>554.920842173984</v>
      </c>
      <c r="AW11" s="98">
        <v>718.132854578097</v>
      </c>
      <c r="AX11" s="98">
        <v>326.4240248082259</v>
      </c>
      <c r="AY11" s="98">
        <v>1207.7688917904359</v>
      </c>
      <c r="AZ11" s="98">
        <v>603.8844458952179</v>
      </c>
      <c r="BA11" s="100" t="s">
        <v>660</v>
      </c>
      <c r="BB11" s="100" t="s">
        <v>660</v>
      </c>
      <c r="BC11" s="100" t="s">
        <v>660</v>
      </c>
      <c r="BD11" s="158">
        <v>0.7307689666999999</v>
      </c>
      <c r="BE11" s="158">
        <v>1.040022049</v>
      </c>
      <c r="BF11" s="162">
        <v>945</v>
      </c>
      <c r="BG11" s="162">
        <v>267</v>
      </c>
      <c r="BH11" s="162">
        <v>1401</v>
      </c>
      <c r="BI11" s="162">
        <v>894</v>
      </c>
      <c r="BJ11" s="162">
        <v>370</v>
      </c>
      <c r="BK11" s="97"/>
      <c r="BL11" s="97"/>
      <c r="BM11" s="97"/>
      <c r="BN11" s="97"/>
    </row>
    <row r="12" spans="1:66" ht="12.75">
      <c r="A12" s="79" t="s">
        <v>650</v>
      </c>
      <c r="B12" s="79" t="s">
        <v>373</v>
      </c>
      <c r="C12" s="79" t="s">
        <v>173</v>
      </c>
      <c r="D12" s="99">
        <v>2563</v>
      </c>
      <c r="E12" s="99">
        <v>519</v>
      </c>
      <c r="F12" s="99" t="s">
        <v>398</v>
      </c>
      <c r="G12" s="99">
        <v>10</v>
      </c>
      <c r="H12" s="99">
        <v>6</v>
      </c>
      <c r="I12" s="99">
        <v>26</v>
      </c>
      <c r="J12" s="99">
        <v>228</v>
      </c>
      <c r="K12" s="99">
        <v>72</v>
      </c>
      <c r="L12" s="99">
        <v>514</v>
      </c>
      <c r="M12" s="99">
        <v>174</v>
      </c>
      <c r="N12" s="99">
        <v>70</v>
      </c>
      <c r="O12" s="99">
        <v>27</v>
      </c>
      <c r="P12" s="159">
        <v>27</v>
      </c>
      <c r="Q12" s="99">
        <v>6</v>
      </c>
      <c r="R12" s="99">
        <v>13</v>
      </c>
      <c r="S12" s="99">
        <v>9</v>
      </c>
      <c r="T12" s="99" t="s">
        <v>660</v>
      </c>
      <c r="U12" s="99" t="s">
        <v>660</v>
      </c>
      <c r="V12" s="99" t="s">
        <v>660</v>
      </c>
      <c r="W12" s="99">
        <v>18</v>
      </c>
      <c r="X12" s="99">
        <v>9</v>
      </c>
      <c r="Y12" s="99">
        <v>20</v>
      </c>
      <c r="Z12" s="99">
        <v>19</v>
      </c>
      <c r="AA12" s="99" t="s">
        <v>660</v>
      </c>
      <c r="AB12" s="99" t="s">
        <v>660</v>
      </c>
      <c r="AC12" s="99" t="s">
        <v>660</v>
      </c>
      <c r="AD12" s="98" t="s">
        <v>376</v>
      </c>
      <c r="AE12" s="100">
        <v>0.20249707374170894</v>
      </c>
      <c r="AF12" s="100">
        <v>0.14</v>
      </c>
      <c r="AG12" s="98">
        <v>390.1677721420211</v>
      </c>
      <c r="AH12" s="98">
        <v>234.10066328521265</v>
      </c>
      <c r="AI12" s="100">
        <v>0.01</v>
      </c>
      <c r="AJ12" s="100">
        <v>0.74026</v>
      </c>
      <c r="AK12" s="100">
        <v>0.782609</v>
      </c>
      <c r="AL12" s="100">
        <v>0.869712</v>
      </c>
      <c r="AM12" s="100">
        <v>0.530488</v>
      </c>
      <c r="AN12" s="100">
        <v>0.510949</v>
      </c>
      <c r="AO12" s="98">
        <v>1053.452984783457</v>
      </c>
      <c r="AP12" s="158">
        <v>0.5326455688</v>
      </c>
      <c r="AQ12" s="100">
        <v>0.2222222222222222</v>
      </c>
      <c r="AR12" s="100">
        <v>0.46153846153846156</v>
      </c>
      <c r="AS12" s="98">
        <v>351.15099492781894</v>
      </c>
      <c r="AT12" s="98" t="s">
        <v>660</v>
      </c>
      <c r="AU12" s="98" t="s">
        <v>660</v>
      </c>
      <c r="AV12" s="98" t="s">
        <v>660</v>
      </c>
      <c r="AW12" s="98">
        <v>702.3019898556379</v>
      </c>
      <c r="AX12" s="98">
        <v>351.15099492781894</v>
      </c>
      <c r="AY12" s="98">
        <v>780.3355442840422</v>
      </c>
      <c r="AZ12" s="98">
        <v>741.3187670698401</v>
      </c>
      <c r="BA12" s="100" t="s">
        <v>660</v>
      </c>
      <c r="BB12" s="100" t="s">
        <v>660</v>
      </c>
      <c r="BC12" s="100" t="s">
        <v>660</v>
      </c>
      <c r="BD12" s="158">
        <v>0.3510167694</v>
      </c>
      <c r="BE12" s="158">
        <v>0.7749713135</v>
      </c>
      <c r="BF12" s="162">
        <v>308</v>
      </c>
      <c r="BG12" s="162">
        <v>92</v>
      </c>
      <c r="BH12" s="162">
        <v>591</v>
      </c>
      <c r="BI12" s="162">
        <v>328</v>
      </c>
      <c r="BJ12" s="162">
        <v>137</v>
      </c>
      <c r="BK12" s="97"/>
      <c r="BL12" s="97"/>
      <c r="BM12" s="97"/>
      <c r="BN12" s="97"/>
    </row>
    <row r="13" spans="1:66" ht="12.75">
      <c r="A13" s="79" t="s">
        <v>566</v>
      </c>
      <c r="B13" s="79" t="s">
        <v>287</v>
      </c>
      <c r="C13" s="79" t="s">
        <v>173</v>
      </c>
      <c r="D13" s="99">
        <v>9139</v>
      </c>
      <c r="E13" s="99">
        <v>2003</v>
      </c>
      <c r="F13" s="99" t="s">
        <v>396</v>
      </c>
      <c r="G13" s="99">
        <v>52</v>
      </c>
      <c r="H13" s="99">
        <v>28</v>
      </c>
      <c r="I13" s="99">
        <v>192</v>
      </c>
      <c r="J13" s="99">
        <v>958</v>
      </c>
      <c r="K13" s="99">
        <v>350</v>
      </c>
      <c r="L13" s="99">
        <v>1709</v>
      </c>
      <c r="M13" s="99">
        <v>759</v>
      </c>
      <c r="N13" s="99">
        <v>362</v>
      </c>
      <c r="O13" s="99">
        <v>178</v>
      </c>
      <c r="P13" s="159">
        <v>178</v>
      </c>
      <c r="Q13" s="99">
        <v>23</v>
      </c>
      <c r="R13" s="99">
        <v>52</v>
      </c>
      <c r="S13" s="99">
        <v>31</v>
      </c>
      <c r="T13" s="99">
        <v>25</v>
      </c>
      <c r="U13" s="99">
        <v>11</v>
      </c>
      <c r="V13" s="99">
        <v>10</v>
      </c>
      <c r="W13" s="99">
        <v>70</v>
      </c>
      <c r="X13" s="99">
        <v>29</v>
      </c>
      <c r="Y13" s="99">
        <v>116</v>
      </c>
      <c r="Z13" s="99">
        <v>61</v>
      </c>
      <c r="AA13" s="99" t="s">
        <v>660</v>
      </c>
      <c r="AB13" s="99" t="s">
        <v>660</v>
      </c>
      <c r="AC13" s="99" t="s">
        <v>660</v>
      </c>
      <c r="AD13" s="98" t="s">
        <v>376</v>
      </c>
      <c r="AE13" s="100">
        <v>0.21917058759164024</v>
      </c>
      <c r="AF13" s="100">
        <v>0.18</v>
      </c>
      <c r="AG13" s="98">
        <v>568.9900426742532</v>
      </c>
      <c r="AH13" s="98">
        <v>306.3792537476748</v>
      </c>
      <c r="AI13" s="100">
        <v>0.021</v>
      </c>
      <c r="AJ13" s="100">
        <v>0.752553</v>
      </c>
      <c r="AK13" s="100">
        <v>0.790068</v>
      </c>
      <c r="AL13" s="100">
        <v>0.819664</v>
      </c>
      <c r="AM13" s="100">
        <v>0.585197</v>
      </c>
      <c r="AN13" s="100">
        <v>0.652252</v>
      </c>
      <c r="AO13" s="98">
        <v>1947.69668453879</v>
      </c>
      <c r="AP13" s="158">
        <v>0.9121443938999999</v>
      </c>
      <c r="AQ13" s="100">
        <v>0.12921348314606743</v>
      </c>
      <c r="AR13" s="100">
        <v>0.4423076923076923</v>
      </c>
      <c r="AS13" s="98">
        <v>339.2056023634971</v>
      </c>
      <c r="AT13" s="98">
        <v>273.5529051318525</v>
      </c>
      <c r="AU13" s="98">
        <v>120.3632782580151</v>
      </c>
      <c r="AV13" s="98">
        <v>109.421162052741</v>
      </c>
      <c r="AW13" s="98">
        <v>765.948134369187</v>
      </c>
      <c r="AX13" s="98">
        <v>317.3213699529489</v>
      </c>
      <c r="AY13" s="98">
        <v>1269.2854798117955</v>
      </c>
      <c r="AZ13" s="98">
        <v>667.4690885217201</v>
      </c>
      <c r="BA13" s="101" t="s">
        <v>660</v>
      </c>
      <c r="BB13" s="101" t="s">
        <v>660</v>
      </c>
      <c r="BC13" s="101" t="s">
        <v>660</v>
      </c>
      <c r="BD13" s="158">
        <v>0.7830629729999999</v>
      </c>
      <c r="BE13" s="158">
        <v>1.056429596</v>
      </c>
      <c r="BF13" s="162">
        <v>1273</v>
      </c>
      <c r="BG13" s="162">
        <v>443</v>
      </c>
      <c r="BH13" s="162">
        <v>2085</v>
      </c>
      <c r="BI13" s="162">
        <v>1297</v>
      </c>
      <c r="BJ13" s="162">
        <v>555</v>
      </c>
      <c r="BK13" s="97"/>
      <c r="BL13" s="97"/>
      <c r="BM13" s="97"/>
      <c r="BN13" s="97"/>
    </row>
    <row r="14" spans="1:66" ht="12.75">
      <c r="A14" s="79" t="s">
        <v>664</v>
      </c>
      <c r="B14" s="79" t="s">
        <v>337</v>
      </c>
      <c r="C14" s="79" t="s">
        <v>173</v>
      </c>
      <c r="D14" s="99">
        <v>5863</v>
      </c>
      <c r="E14" s="99">
        <v>1385</v>
      </c>
      <c r="F14" s="99" t="s">
        <v>399</v>
      </c>
      <c r="G14" s="99">
        <v>42</v>
      </c>
      <c r="H14" s="99">
        <v>12</v>
      </c>
      <c r="I14" s="99">
        <v>151</v>
      </c>
      <c r="J14" s="99">
        <v>798</v>
      </c>
      <c r="K14" s="99">
        <v>247</v>
      </c>
      <c r="L14" s="99">
        <v>1274</v>
      </c>
      <c r="M14" s="99">
        <v>653</v>
      </c>
      <c r="N14" s="99">
        <v>314</v>
      </c>
      <c r="O14" s="99">
        <v>208</v>
      </c>
      <c r="P14" s="159">
        <v>208</v>
      </c>
      <c r="Q14" s="99">
        <v>12</v>
      </c>
      <c r="R14" s="99">
        <v>28</v>
      </c>
      <c r="S14" s="99">
        <v>29</v>
      </c>
      <c r="T14" s="99">
        <v>40</v>
      </c>
      <c r="U14" s="99" t="s">
        <v>660</v>
      </c>
      <c r="V14" s="99">
        <v>47</v>
      </c>
      <c r="W14" s="99">
        <v>63</v>
      </c>
      <c r="X14" s="99">
        <v>30</v>
      </c>
      <c r="Y14" s="99">
        <v>69</v>
      </c>
      <c r="Z14" s="99">
        <v>47</v>
      </c>
      <c r="AA14" s="99" t="s">
        <v>660</v>
      </c>
      <c r="AB14" s="99" t="s">
        <v>660</v>
      </c>
      <c r="AC14" s="99" t="s">
        <v>660</v>
      </c>
      <c r="AD14" s="98" t="s">
        <v>376</v>
      </c>
      <c r="AE14" s="100">
        <v>0.23622718744669965</v>
      </c>
      <c r="AF14" s="100">
        <v>0.05</v>
      </c>
      <c r="AG14" s="98">
        <v>716.3568139177895</v>
      </c>
      <c r="AH14" s="98">
        <v>204.6733754050827</v>
      </c>
      <c r="AI14" s="100">
        <v>0.026000000000000002</v>
      </c>
      <c r="AJ14" s="100">
        <v>0.79403</v>
      </c>
      <c r="AK14" s="100">
        <v>0.84589</v>
      </c>
      <c r="AL14" s="100">
        <v>0.858491</v>
      </c>
      <c r="AM14" s="100">
        <v>0.640196</v>
      </c>
      <c r="AN14" s="100">
        <v>0.682609</v>
      </c>
      <c r="AO14" s="98">
        <v>3547.671840354767</v>
      </c>
      <c r="AP14" s="158">
        <v>1.51350708</v>
      </c>
      <c r="AQ14" s="100">
        <v>0.057692307692307696</v>
      </c>
      <c r="AR14" s="100">
        <v>0.42857142857142855</v>
      </c>
      <c r="AS14" s="98">
        <v>494.6273238956166</v>
      </c>
      <c r="AT14" s="98">
        <v>682.2445846836091</v>
      </c>
      <c r="AU14" s="98" t="s">
        <v>660</v>
      </c>
      <c r="AV14" s="98">
        <v>801.6373870032406</v>
      </c>
      <c r="AW14" s="98">
        <v>1074.5352208766842</v>
      </c>
      <c r="AX14" s="98">
        <v>511.6834385127068</v>
      </c>
      <c r="AY14" s="98">
        <v>1176.8719085792256</v>
      </c>
      <c r="AZ14" s="98">
        <v>801.6373870032406</v>
      </c>
      <c r="BA14" s="100" t="s">
        <v>660</v>
      </c>
      <c r="BB14" s="100" t="s">
        <v>660</v>
      </c>
      <c r="BC14" s="100" t="s">
        <v>660</v>
      </c>
      <c r="BD14" s="158">
        <v>1.314799194</v>
      </c>
      <c r="BE14" s="158">
        <v>1.7337646480000002</v>
      </c>
      <c r="BF14" s="162">
        <v>1005</v>
      </c>
      <c r="BG14" s="162">
        <v>292</v>
      </c>
      <c r="BH14" s="162">
        <v>1484</v>
      </c>
      <c r="BI14" s="162">
        <v>1020</v>
      </c>
      <c r="BJ14" s="162">
        <v>460</v>
      </c>
      <c r="BK14" s="97"/>
      <c r="BL14" s="97"/>
      <c r="BM14" s="97"/>
      <c r="BN14" s="97"/>
    </row>
    <row r="15" spans="1:66" ht="12.75">
      <c r="A15" s="79" t="s">
        <v>600</v>
      </c>
      <c r="B15" s="79" t="s">
        <v>321</v>
      </c>
      <c r="C15" s="79" t="s">
        <v>173</v>
      </c>
      <c r="D15" s="99">
        <v>7365</v>
      </c>
      <c r="E15" s="99">
        <v>1250</v>
      </c>
      <c r="F15" s="99" t="s">
        <v>398</v>
      </c>
      <c r="G15" s="99">
        <v>33</v>
      </c>
      <c r="H15" s="99">
        <v>14</v>
      </c>
      <c r="I15" s="99">
        <v>105</v>
      </c>
      <c r="J15" s="99">
        <v>718</v>
      </c>
      <c r="K15" s="99">
        <v>234</v>
      </c>
      <c r="L15" s="99">
        <v>1456</v>
      </c>
      <c r="M15" s="99">
        <v>535</v>
      </c>
      <c r="N15" s="99">
        <v>269</v>
      </c>
      <c r="O15" s="99">
        <v>149</v>
      </c>
      <c r="P15" s="159">
        <v>149</v>
      </c>
      <c r="Q15" s="99">
        <v>22</v>
      </c>
      <c r="R15" s="99">
        <v>34</v>
      </c>
      <c r="S15" s="99">
        <v>32</v>
      </c>
      <c r="T15" s="99">
        <v>14</v>
      </c>
      <c r="U15" s="99">
        <v>8</v>
      </c>
      <c r="V15" s="99">
        <v>25</v>
      </c>
      <c r="W15" s="99">
        <v>48</v>
      </c>
      <c r="X15" s="99">
        <v>33</v>
      </c>
      <c r="Y15" s="99">
        <v>88</v>
      </c>
      <c r="Z15" s="99">
        <v>41</v>
      </c>
      <c r="AA15" s="99" t="s">
        <v>660</v>
      </c>
      <c r="AB15" s="99" t="s">
        <v>660</v>
      </c>
      <c r="AC15" s="99" t="s">
        <v>660</v>
      </c>
      <c r="AD15" s="98" t="s">
        <v>376</v>
      </c>
      <c r="AE15" s="100">
        <v>0.1697216564833673</v>
      </c>
      <c r="AF15" s="100">
        <v>0.16</v>
      </c>
      <c r="AG15" s="98">
        <v>448.0651731160896</v>
      </c>
      <c r="AH15" s="98">
        <v>190.08825526137136</v>
      </c>
      <c r="AI15" s="100">
        <v>0.013999999999999999</v>
      </c>
      <c r="AJ15" s="100">
        <v>0.789011</v>
      </c>
      <c r="AK15" s="100">
        <v>0.829787</v>
      </c>
      <c r="AL15" s="100">
        <v>0.827743</v>
      </c>
      <c r="AM15" s="100">
        <v>0.586623</v>
      </c>
      <c r="AN15" s="100">
        <v>0.638955</v>
      </c>
      <c r="AO15" s="98">
        <v>2023.082145281738</v>
      </c>
      <c r="AP15" s="158">
        <v>1.088451157</v>
      </c>
      <c r="AQ15" s="100">
        <v>0.1476510067114094</v>
      </c>
      <c r="AR15" s="100">
        <v>0.6470588235294118</v>
      </c>
      <c r="AS15" s="98">
        <v>434.48744059742023</v>
      </c>
      <c r="AT15" s="98">
        <v>190.08825526137136</v>
      </c>
      <c r="AU15" s="98">
        <v>108.62186014935506</v>
      </c>
      <c r="AV15" s="98">
        <v>339.44331296673454</v>
      </c>
      <c r="AW15" s="98">
        <v>651.7311608961303</v>
      </c>
      <c r="AX15" s="98">
        <v>448.0651731160896</v>
      </c>
      <c r="AY15" s="98">
        <v>1194.8404616429057</v>
      </c>
      <c r="AZ15" s="98">
        <v>556.6870332654447</v>
      </c>
      <c r="BA15" s="100" t="s">
        <v>660</v>
      </c>
      <c r="BB15" s="100" t="s">
        <v>660</v>
      </c>
      <c r="BC15" s="100" t="s">
        <v>660</v>
      </c>
      <c r="BD15" s="158">
        <v>0.9207007599000001</v>
      </c>
      <c r="BE15" s="158">
        <v>1.277923737</v>
      </c>
      <c r="BF15" s="162">
        <v>910</v>
      </c>
      <c r="BG15" s="162">
        <v>282</v>
      </c>
      <c r="BH15" s="162">
        <v>1759</v>
      </c>
      <c r="BI15" s="162">
        <v>912</v>
      </c>
      <c r="BJ15" s="162">
        <v>421</v>
      </c>
      <c r="BK15" s="97"/>
      <c r="BL15" s="97"/>
      <c r="BM15" s="97"/>
      <c r="BN15" s="97"/>
    </row>
    <row r="16" spans="1:66" ht="12.75">
      <c r="A16" s="79" t="s">
        <v>611</v>
      </c>
      <c r="B16" s="79" t="s">
        <v>332</v>
      </c>
      <c r="C16" s="79" t="s">
        <v>173</v>
      </c>
      <c r="D16" s="99">
        <v>7661</v>
      </c>
      <c r="E16" s="99">
        <v>1366</v>
      </c>
      <c r="F16" s="99" t="s">
        <v>397</v>
      </c>
      <c r="G16" s="99">
        <v>48</v>
      </c>
      <c r="H16" s="99">
        <v>15</v>
      </c>
      <c r="I16" s="99">
        <v>163</v>
      </c>
      <c r="J16" s="99">
        <v>678</v>
      </c>
      <c r="K16" s="99">
        <v>251</v>
      </c>
      <c r="L16" s="99">
        <v>1372</v>
      </c>
      <c r="M16" s="99">
        <v>452</v>
      </c>
      <c r="N16" s="99">
        <v>187</v>
      </c>
      <c r="O16" s="99">
        <v>230</v>
      </c>
      <c r="P16" s="159">
        <v>230</v>
      </c>
      <c r="Q16" s="99">
        <v>8</v>
      </c>
      <c r="R16" s="99">
        <v>22</v>
      </c>
      <c r="S16" s="99">
        <v>23</v>
      </c>
      <c r="T16" s="99">
        <v>37</v>
      </c>
      <c r="U16" s="99">
        <v>11</v>
      </c>
      <c r="V16" s="99">
        <v>33</v>
      </c>
      <c r="W16" s="99">
        <v>68</v>
      </c>
      <c r="X16" s="99">
        <v>55</v>
      </c>
      <c r="Y16" s="99">
        <v>147</v>
      </c>
      <c r="Z16" s="99">
        <v>52</v>
      </c>
      <c r="AA16" s="99" t="s">
        <v>660</v>
      </c>
      <c r="AB16" s="99" t="s">
        <v>660</v>
      </c>
      <c r="AC16" s="99" t="s">
        <v>660</v>
      </c>
      <c r="AD16" s="98" t="s">
        <v>376</v>
      </c>
      <c r="AE16" s="100">
        <v>0.17830570421615977</v>
      </c>
      <c r="AF16" s="100">
        <v>0.11</v>
      </c>
      <c r="AG16" s="98">
        <v>626.550058739068</v>
      </c>
      <c r="AH16" s="98">
        <v>195.79689335595876</v>
      </c>
      <c r="AI16" s="100">
        <v>0.021</v>
      </c>
      <c r="AJ16" s="100">
        <v>0.707724</v>
      </c>
      <c r="AK16" s="100">
        <v>0.779503</v>
      </c>
      <c r="AL16" s="100">
        <v>0.780876</v>
      </c>
      <c r="AM16" s="100">
        <v>0.538737</v>
      </c>
      <c r="AN16" s="100">
        <v>0.575385</v>
      </c>
      <c r="AO16" s="98">
        <v>3002.2190314580344</v>
      </c>
      <c r="AP16" s="158">
        <v>1.549371185</v>
      </c>
      <c r="AQ16" s="100">
        <v>0.034782608695652174</v>
      </c>
      <c r="AR16" s="100">
        <v>0.36363636363636365</v>
      </c>
      <c r="AS16" s="98">
        <v>300.2219031458034</v>
      </c>
      <c r="AT16" s="98">
        <v>482.9656702780316</v>
      </c>
      <c r="AU16" s="98">
        <v>143.5843884610364</v>
      </c>
      <c r="AV16" s="98">
        <v>430.75316538310926</v>
      </c>
      <c r="AW16" s="98">
        <v>887.6125832136797</v>
      </c>
      <c r="AX16" s="98">
        <v>717.9219423051821</v>
      </c>
      <c r="AY16" s="98">
        <v>1918.8095548883957</v>
      </c>
      <c r="AZ16" s="98">
        <v>678.7625636339903</v>
      </c>
      <c r="BA16" s="100" t="s">
        <v>660</v>
      </c>
      <c r="BB16" s="100" t="s">
        <v>660</v>
      </c>
      <c r="BC16" s="100" t="s">
        <v>660</v>
      </c>
      <c r="BD16" s="158">
        <v>1.355590973</v>
      </c>
      <c r="BE16" s="158">
        <v>1.763079376</v>
      </c>
      <c r="BF16" s="162">
        <v>958</v>
      </c>
      <c r="BG16" s="162">
        <v>322</v>
      </c>
      <c r="BH16" s="162">
        <v>1757</v>
      </c>
      <c r="BI16" s="162">
        <v>839</v>
      </c>
      <c r="BJ16" s="162">
        <v>325</v>
      </c>
      <c r="BK16" s="97"/>
      <c r="BL16" s="97"/>
      <c r="BM16" s="97"/>
      <c r="BN16" s="97"/>
    </row>
    <row r="17" spans="1:66" ht="12.75">
      <c r="A17" s="79" t="s">
        <v>646</v>
      </c>
      <c r="B17" s="79" t="s">
        <v>369</v>
      </c>
      <c r="C17" s="79" t="s">
        <v>173</v>
      </c>
      <c r="D17" s="99">
        <v>6244</v>
      </c>
      <c r="E17" s="99">
        <v>969</v>
      </c>
      <c r="F17" s="99" t="s">
        <v>398</v>
      </c>
      <c r="G17" s="99">
        <v>25</v>
      </c>
      <c r="H17" s="99">
        <v>19</v>
      </c>
      <c r="I17" s="99">
        <v>89</v>
      </c>
      <c r="J17" s="99">
        <v>554</v>
      </c>
      <c r="K17" s="99">
        <v>197</v>
      </c>
      <c r="L17" s="99">
        <v>1252</v>
      </c>
      <c r="M17" s="99">
        <v>367</v>
      </c>
      <c r="N17" s="99">
        <v>182</v>
      </c>
      <c r="O17" s="99">
        <v>141</v>
      </c>
      <c r="P17" s="159">
        <v>141</v>
      </c>
      <c r="Q17" s="99">
        <v>20</v>
      </c>
      <c r="R17" s="99">
        <v>39</v>
      </c>
      <c r="S17" s="99">
        <v>38</v>
      </c>
      <c r="T17" s="99">
        <v>17</v>
      </c>
      <c r="U17" s="99" t="s">
        <v>660</v>
      </c>
      <c r="V17" s="99">
        <v>24</v>
      </c>
      <c r="W17" s="99">
        <v>39</v>
      </c>
      <c r="X17" s="99">
        <v>18</v>
      </c>
      <c r="Y17" s="99">
        <v>87</v>
      </c>
      <c r="Z17" s="99">
        <v>34</v>
      </c>
      <c r="AA17" s="99" t="s">
        <v>660</v>
      </c>
      <c r="AB17" s="99" t="s">
        <v>660</v>
      </c>
      <c r="AC17" s="99" t="s">
        <v>660</v>
      </c>
      <c r="AD17" s="98" t="s">
        <v>376</v>
      </c>
      <c r="AE17" s="100">
        <v>0.15518898142216528</v>
      </c>
      <c r="AF17" s="100">
        <v>0.15</v>
      </c>
      <c r="AG17" s="98">
        <v>400.3843689942345</v>
      </c>
      <c r="AH17" s="98">
        <v>304.2921204356182</v>
      </c>
      <c r="AI17" s="100">
        <v>0.013999999999999999</v>
      </c>
      <c r="AJ17" s="100">
        <v>0.737683</v>
      </c>
      <c r="AK17" s="100">
        <v>0.81405</v>
      </c>
      <c r="AL17" s="100">
        <v>0.822062</v>
      </c>
      <c r="AM17" s="100">
        <v>0.562883</v>
      </c>
      <c r="AN17" s="100">
        <v>0.602649</v>
      </c>
      <c r="AO17" s="98">
        <v>2258.1678411274825</v>
      </c>
      <c r="AP17" s="158">
        <v>1.2385135649999999</v>
      </c>
      <c r="AQ17" s="100">
        <v>0.14184397163120568</v>
      </c>
      <c r="AR17" s="100">
        <v>0.5128205128205128</v>
      </c>
      <c r="AS17" s="98">
        <v>608.5842408712364</v>
      </c>
      <c r="AT17" s="98">
        <v>272.26137091607944</v>
      </c>
      <c r="AU17" s="98" t="s">
        <v>660</v>
      </c>
      <c r="AV17" s="98">
        <v>384.3689942344651</v>
      </c>
      <c r="AW17" s="98">
        <v>624.5996156310058</v>
      </c>
      <c r="AX17" s="98">
        <v>288.2767456758488</v>
      </c>
      <c r="AY17" s="98">
        <v>1393.337604099936</v>
      </c>
      <c r="AZ17" s="98">
        <v>544.5227418321589</v>
      </c>
      <c r="BA17" s="100" t="s">
        <v>660</v>
      </c>
      <c r="BB17" s="100" t="s">
        <v>660</v>
      </c>
      <c r="BC17" s="100" t="s">
        <v>660</v>
      </c>
      <c r="BD17" s="158">
        <v>1.0425283810000001</v>
      </c>
      <c r="BE17" s="158">
        <v>1.460637207</v>
      </c>
      <c r="BF17" s="162">
        <v>751</v>
      </c>
      <c r="BG17" s="162">
        <v>242</v>
      </c>
      <c r="BH17" s="162">
        <v>1523</v>
      </c>
      <c r="BI17" s="162">
        <v>652</v>
      </c>
      <c r="BJ17" s="162">
        <v>302</v>
      </c>
      <c r="BK17" s="97"/>
      <c r="BL17" s="97"/>
      <c r="BM17" s="97"/>
      <c r="BN17" s="97"/>
    </row>
    <row r="18" spans="1:66" ht="12.75">
      <c r="A18" s="79" t="s">
        <v>643</v>
      </c>
      <c r="B18" s="79" t="s">
        <v>366</v>
      </c>
      <c r="C18" s="79" t="s">
        <v>173</v>
      </c>
      <c r="D18" s="99">
        <v>2711</v>
      </c>
      <c r="E18" s="99">
        <v>501</v>
      </c>
      <c r="F18" s="99" t="s">
        <v>396</v>
      </c>
      <c r="G18" s="99">
        <v>11</v>
      </c>
      <c r="H18" s="99">
        <v>10</v>
      </c>
      <c r="I18" s="99">
        <v>43</v>
      </c>
      <c r="J18" s="99">
        <v>246</v>
      </c>
      <c r="K18" s="99">
        <v>76</v>
      </c>
      <c r="L18" s="99">
        <v>510</v>
      </c>
      <c r="M18" s="99">
        <v>179</v>
      </c>
      <c r="N18" s="99">
        <v>85</v>
      </c>
      <c r="O18" s="99">
        <v>34</v>
      </c>
      <c r="P18" s="159">
        <v>34</v>
      </c>
      <c r="Q18" s="99" t="s">
        <v>660</v>
      </c>
      <c r="R18" s="99">
        <v>18</v>
      </c>
      <c r="S18" s="99">
        <v>8</v>
      </c>
      <c r="T18" s="99" t="s">
        <v>660</v>
      </c>
      <c r="U18" s="99" t="s">
        <v>660</v>
      </c>
      <c r="V18" s="99">
        <v>6</v>
      </c>
      <c r="W18" s="99">
        <v>14</v>
      </c>
      <c r="X18" s="99">
        <v>13</v>
      </c>
      <c r="Y18" s="99">
        <v>29</v>
      </c>
      <c r="Z18" s="99">
        <v>18</v>
      </c>
      <c r="AA18" s="99" t="s">
        <v>660</v>
      </c>
      <c r="AB18" s="99" t="s">
        <v>660</v>
      </c>
      <c r="AC18" s="99" t="s">
        <v>660</v>
      </c>
      <c r="AD18" s="98" t="s">
        <v>376</v>
      </c>
      <c r="AE18" s="100">
        <v>0.1848026558465511</v>
      </c>
      <c r="AF18" s="100">
        <v>0.19</v>
      </c>
      <c r="AG18" s="98">
        <v>405.75433419402435</v>
      </c>
      <c r="AH18" s="98">
        <v>368.8675765400221</v>
      </c>
      <c r="AI18" s="100">
        <v>0.016</v>
      </c>
      <c r="AJ18" s="100">
        <v>0.754601</v>
      </c>
      <c r="AK18" s="100">
        <v>0.791667</v>
      </c>
      <c r="AL18" s="100">
        <v>0.804416</v>
      </c>
      <c r="AM18" s="100">
        <v>0.570064</v>
      </c>
      <c r="AN18" s="100">
        <v>0.578231</v>
      </c>
      <c r="AO18" s="98">
        <v>1254.1497602360753</v>
      </c>
      <c r="AP18" s="158">
        <v>0.6384785461</v>
      </c>
      <c r="AQ18" s="100" t="s">
        <v>660</v>
      </c>
      <c r="AR18" s="100" t="s">
        <v>660</v>
      </c>
      <c r="AS18" s="98">
        <v>295.0940612320177</v>
      </c>
      <c r="AT18" s="98" t="s">
        <v>660</v>
      </c>
      <c r="AU18" s="98" t="s">
        <v>660</v>
      </c>
      <c r="AV18" s="98">
        <v>221.3205459240133</v>
      </c>
      <c r="AW18" s="98">
        <v>516.414607156031</v>
      </c>
      <c r="AX18" s="98">
        <v>479.52784950202874</v>
      </c>
      <c r="AY18" s="98">
        <v>1069.7159719660642</v>
      </c>
      <c r="AZ18" s="98">
        <v>663.9616377720398</v>
      </c>
      <c r="BA18" s="100" t="s">
        <v>660</v>
      </c>
      <c r="BB18" s="100" t="s">
        <v>660</v>
      </c>
      <c r="BC18" s="100" t="s">
        <v>660</v>
      </c>
      <c r="BD18" s="158">
        <v>0.44216495510000003</v>
      </c>
      <c r="BE18" s="158">
        <v>0.8922097778</v>
      </c>
      <c r="BF18" s="162">
        <v>326</v>
      </c>
      <c r="BG18" s="162">
        <v>96</v>
      </c>
      <c r="BH18" s="162">
        <v>634</v>
      </c>
      <c r="BI18" s="162">
        <v>314</v>
      </c>
      <c r="BJ18" s="162">
        <v>147</v>
      </c>
      <c r="BK18" s="97"/>
      <c r="BL18" s="97"/>
      <c r="BM18" s="97"/>
      <c r="BN18" s="97"/>
    </row>
    <row r="19" spans="1:66" ht="12.75">
      <c r="A19" s="79" t="s">
        <v>629</v>
      </c>
      <c r="B19" s="79" t="s">
        <v>352</v>
      </c>
      <c r="C19" s="79" t="s">
        <v>173</v>
      </c>
      <c r="D19" s="99">
        <v>7250</v>
      </c>
      <c r="E19" s="99">
        <v>1282</v>
      </c>
      <c r="F19" s="99" t="s">
        <v>398</v>
      </c>
      <c r="G19" s="99">
        <v>32</v>
      </c>
      <c r="H19" s="99">
        <v>18</v>
      </c>
      <c r="I19" s="99">
        <v>59</v>
      </c>
      <c r="J19" s="99">
        <v>51</v>
      </c>
      <c r="K19" s="99" t="s">
        <v>660</v>
      </c>
      <c r="L19" s="99">
        <v>69</v>
      </c>
      <c r="M19" s="99">
        <v>387</v>
      </c>
      <c r="N19" s="99">
        <v>180</v>
      </c>
      <c r="O19" s="99">
        <v>143</v>
      </c>
      <c r="P19" s="159">
        <v>143</v>
      </c>
      <c r="Q19" s="99">
        <v>18</v>
      </c>
      <c r="R19" s="99">
        <v>34</v>
      </c>
      <c r="S19" s="99">
        <v>23</v>
      </c>
      <c r="T19" s="99">
        <v>22</v>
      </c>
      <c r="U19" s="99">
        <v>6</v>
      </c>
      <c r="V19" s="99">
        <v>34</v>
      </c>
      <c r="W19" s="99">
        <v>44</v>
      </c>
      <c r="X19" s="99">
        <v>39</v>
      </c>
      <c r="Y19" s="99">
        <v>52</v>
      </c>
      <c r="Z19" s="99">
        <v>64</v>
      </c>
      <c r="AA19" s="99" t="s">
        <v>660</v>
      </c>
      <c r="AB19" s="99" t="s">
        <v>660</v>
      </c>
      <c r="AC19" s="99" t="s">
        <v>660</v>
      </c>
      <c r="AD19" s="98" t="s">
        <v>376</v>
      </c>
      <c r="AE19" s="100">
        <v>0.17682758620689656</v>
      </c>
      <c r="AF19" s="100">
        <v>0.12</v>
      </c>
      <c r="AG19" s="98">
        <v>441.37931034482756</v>
      </c>
      <c r="AH19" s="98">
        <v>248.27586206896552</v>
      </c>
      <c r="AI19" s="100">
        <v>0.008</v>
      </c>
      <c r="AJ19" s="100">
        <v>0.822581</v>
      </c>
      <c r="AK19" s="100" t="s">
        <v>660</v>
      </c>
      <c r="AL19" s="100">
        <v>0.784091</v>
      </c>
      <c r="AM19" s="100">
        <v>0.485571</v>
      </c>
      <c r="AN19" s="100">
        <v>0.560748</v>
      </c>
      <c r="AO19" s="98">
        <v>1972.4137931034484</v>
      </c>
      <c r="AP19" s="158">
        <v>1.055287552</v>
      </c>
      <c r="AQ19" s="100">
        <v>0.1258741258741259</v>
      </c>
      <c r="AR19" s="100">
        <v>0.5294117647058824</v>
      </c>
      <c r="AS19" s="98">
        <v>317.2413793103448</v>
      </c>
      <c r="AT19" s="98">
        <v>303.44827586206895</v>
      </c>
      <c r="AU19" s="98">
        <v>82.75862068965517</v>
      </c>
      <c r="AV19" s="98">
        <v>468.9655172413793</v>
      </c>
      <c r="AW19" s="98">
        <v>606.8965517241379</v>
      </c>
      <c r="AX19" s="98">
        <v>537.9310344827586</v>
      </c>
      <c r="AY19" s="98">
        <v>717.2413793103449</v>
      </c>
      <c r="AZ19" s="98">
        <v>882.7586206896551</v>
      </c>
      <c r="BA19" s="100" t="s">
        <v>660</v>
      </c>
      <c r="BB19" s="100" t="s">
        <v>660</v>
      </c>
      <c r="BC19" s="100" t="s">
        <v>660</v>
      </c>
      <c r="BD19" s="158">
        <v>0.8894175719999999</v>
      </c>
      <c r="BE19" s="158">
        <v>1.2431134799999999</v>
      </c>
      <c r="BF19" s="162">
        <v>62</v>
      </c>
      <c r="BG19" s="162" t="s">
        <v>660</v>
      </c>
      <c r="BH19" s="162">
        <v>88</v>
      </c>
      <c r="BI19" s="162">
        <v>797</v>
      </c>
      <c r="BJ19" s="162">
        <v>321</v>
      </c>
      <c r="BK19" s="97"/>
      <c r="BL19" s="97"/>
      <c r="BM19" s="97"/>
      <c r="BN19" s="97"/>
    </row>
    <row r="20" spans="1:66" ht="12.75">
      <c r="A20" s="79" t="s">
        <v>568</v>
      </c>
      <c r="B20" s="79" t="s">
        <v>289</v>
      </c>
      <c r="C20" s="79" t="s">
        <v>173</v>
      </c>
      <c r="D20" s="99">
        <v>5926</v>
      </c>
      <c r="E20" s="99">
        <v>1102</v>
      </c>
      <c r="F20" s="99" t="s">
        <v>396</v>
      </c>
      <c r="G20" s="99">
        <v>32</v>
      </c>
      <c r="H20" s="99">
        <v>20</v>
      </c>
      <c r="I20" s="99">
        <v>92</v>
      </c>
      <c r="J20" s="99">
        <v>486</v>
      </c>
      <c r="K20" s="99">
        <v>159</v>
      </c>
      <c r="L20" s="99">
        <v>1048</v>
      </c>
      <c r="M20" s="99">
        <v>354</v>
      </c>
      <c r="N20" s="99">
        <v>172</v>
      </c>
      <c r="O20" s="99">
        <v>99</v>
      </c>
      <c r="P20" s="159">
        <v>99</v>
      </c>
      <c r="Q20" s="99">
        <v>7</v>
      </c>
      <c r="R20" s="99">
        <v>26</v>
      </c>
      <c r="S20" s="99">
        <v>22</v>
      </c>
      <c r="T20" s="99">
        <v>17</v>
      </c>
      <c r="U20" s="99">
        <v>6</v>
      </c>
      <c r="V20" s="99">
        <v>13</v>
      </c>
      <c r="W20" s="99">
        <v>41</v>
      </c>
      <c r="X20" s="99">
        <v>9</v>
      </c>
      <c r="Y20" s="99">
        <v>78</v>
      </c>
      <c r="Z20" s="99">
        <v>46</v>
      </c>
      <c r="AA20" s="99" t="s">
        <v>660</v>
      </c>
      <c r="AB20" s="99" t="s">
        <v>660</v>
      </c>
      <c r="AC20" s="99" t="s">
        <v>660</v>
      </c>
      <c r="AD20" s="98" t="s">
        <v>376</v>
      </c>
      <c r="AE20" s="100">
        <v>0.18596017549780627</v>
      </c>
      <c r="AF20" s="100">
        <v>0.22</v>
      </c>
      <c r="AG20" s="98">
        <v>539.9932500843739</v>
      </c>
      <c r="AH20" s="98">
        <v>337.4957813027337</v>
      </c>
      <c r="AI20" s="100">
        <v>0.016</v>
      </c>
      <c r="AJ20" s="100">
        <v>0.696275</v>
      </c>
      <c r="AK20" s="100">
        <v>0.75</v>
      </c>
      <c r="AL20" s="100">
        <v>0.805534</v>
      </c>
      <c r="AM20" s="100">
        <v>0.477733</v>
      </c>
      <c r="AN20" s="100">
        <v>0.484507</v>
      </c>
      <c r="AO20" s="98">
        <v>1670.604117448532</v>
      </c>
      <c r="AP20" s="158">
        <v>0.8819480896</v>
      </c>
      <c r="AQ20" s="100">
        <v>0.0707070707070707</v>
      </c>
      <c r="AR20" s="100">
        <v>0.2692307692307692</v>
      </c>
      <c r="AS20" s="98">
        <v>371.2453594330071</v>
      </c>
      <c r="AT20" s="98">
        <v>286.87141410732363</v>
      </c>
      <c r="AU20" s="98">
        <v>101.24873439082012</v>
      </c>
      <c r="AV20" s="98">
        <v>219.3722578467769</v>
      </c>
      <c r="AW20" s="98">
        <v>691.8663516706041</v>
      </c>
      <c r="AX20" s="98">
        <v>151.87310158623018</v>
      </c>
      <c r="AY20" s="98">
        <v>1316.2335470806615</v>
      </c>
      <c r="AZ20" s="98">
        <v>776.2402969962875</v>
      </c>
      <c r="BA20" s="100" t="s">
        <v>660</v>
      </c>
      <c r="BB20" s="100" t="s">
        <v>660</v>
      </c>
      <c r="BC20" s="100" t="s">
        <v>660</v>
      </c>
      <c r="BD20" s="158">
        <v>0.716803894</v>
      </c>
      <c r="BE20" s="158">
        <v>1.073740158</v>
      </c>
      <c r="BF20" s="162">
        <v>698</v>
      </c>
      <c r="BG20" s="162">
        <v>212</v>
      </c>
      <c r="BH20" s="162">
        <v>1301</v>
      </c>
      <c r="BI20" s="162">
        <v>741</v>
      </c>
      <c r="BJ20" s="162">
        <v>355</v>
      </c>
      <c r="BK20" s="97"/>
      <c r="BL20" s="97"/>
      <c r="BM20" s="97"/>
      <c r="BN20" s="97"/>
    </row>
    <row r="21" spans="1:66" ht="12.75">
      <c r="A21" s="79" t="s">
        <v>626</v>
      </c>
      <c r="B21" s="79" t="s">
        <v>349</v>
      </c>
      <c r="C21" s="79" t="s">
        <v>173</v>
      </c>
      <c r="D21" s="99">
        <v>7202</v>
      </c>
      <c r="E21" s="99">
        <v>1660</v>
      </c>
      <c r="F21" s="99" t="s">
        <v>397</v>
      </c>
      <c r="G21" s="99">
        <v>45</v>
      </c>
      <c r="H21" s="99">
        <v>21</v>
      </c>
      <c r="I21" s="99">
        <v>118</v>
      </c>
      <c r="J21" s="99">
        <v>1027</v>
      </c>
      <c r="K21" s="99">
        <v>332</v>
      </c>
      <c r="L21" s="99">
        <v>1562</v>
      </c>
      <c r="M21" s="99">
        <v>817</v>
      </c>
      <c r="N21" s="99">
        <v>397</v>
      </c>
      <c r="O21" s="99">
        <v>182</v>
      </c>
      <c r="P21" s="159">
        <v>182</v>
      </c>
      <c r="Q21" s="99">
        <v>19</v>
      </c>
      <c r="R21" s="99">
        <v>43</v>
      </c>
      <c r="S21" s="99">
        <v>26</v>
      </c>
      <c r="T21" s="99">
        <v>23</v>
      </c>
      <c r="U21" s="99">
        <v>6</v>
      </c>
      <c r="V21" s="99">
        <v>35</v>
      </c>
      <c r="W21" s="99">
        <v>51</v>
      </c>
      <c r="X21" s="99">
        <v>36</v>
      </c>
      <c r="Y21" s="99">
        <v>94</v>
      </c>
      <c r="Z21" s="99">
        <v>64</v>
      </c>
      <c r="AA21" s="99" t="s">
        <v>660</v>
      </c>
      <c r="AB21" s="99" t="s">
        <v>660</v>
      </c>
      <c r="AC21" s="99" t="s">
        <v>660</v>
      </c>
      <c r="AD21" s="98" t="s">
        <v>376</v>
      </c>
      <c r="AE21" s="100">
        <v>0.2304915301305193</v>
      </c>
      <c r="AF21" s="100">
        <v>0.09</v>
      </c>
      <c r="AG21" s="98">
        <v>624.8264371008054</v>
      </c>
      <c r="AH21" s="98">
        <v>291.5856706470425</v>
      </c>
      <c r="AI21" s="100">
        <v>0.016</v>
      </c>
      <c r="AJ21" s="100">
        <v>0.810576</v>
      </c>
      <c r="AK21" s="100">
        <v>0.83208</v>
      </c>
      <c r="AL21" s="100">
        <v>0.858242</v>
      </c>
      <c r="AM21" s="100">
        <v>0.635798</v>
      </c>
      <c r="AN21" s="100">
        <v>0.689236</v>
      </c>
      <c r="AO21" s="98">
        <v>2527.075812274368</v>
      </c>
      <c r="AP21" s="158">
        <v>1.091404953</v>
      </c>
      <c r="AQ21" s="100">
        <v>0.1043956043956044</v>
      </c>
      <c r="AR21" s="100">
        <v>0.4418604651162791</v>
      </c>
      <c r="AS21" s="98">
        <v>361.01083032490976</v>
      </c>
      <c r="AT21" s="98">
        <v>319.35573451818937</v>
      </c>
      <c r="AU21" s="98">
        <v>83.31019161344071</v>
      </c>
      <c r="AV21" s="98">
        <v>485.97611774507084</v>
      </c>
      <c r="AW21" s="98">
        <v>708.1366287142461</v>
      </c>
      <c r="AX21" s="98">
        <v>499.86114968064425</v>
      </c>
      <c r="AY21" s="98">
        <v>1305.1930019439044</v>
      </c>
      <c r="AZ21" s="98">
        <v>888.6420438767009</v>
      </c>
      <c r="BA21" s="100" t="s">
        <v>660</v>
      </c>
      <c r="BB21" s="100" t="s">
        <v>660</v>
      </c>
      <c r="BC21" s="100" t="s">
        <v>660</v>
      </c>
      <c r="BD21" s="158">
        <v>0.9385971832</v>
      </c>
      <c r="BE21" s="158">
        <v>1.261999817</v>
      </c>
      <c r="BF21" s="162">
        <v>1267</v>
      </c>
      <c r="BG21" s="162">
        <v>399</v>
      </c>
      <c r="BH21" s="162">
        <v>1820</v>
      </c>
      <c r="BI21" s="162">
        <v>1285</v>
      </c>
      <c r="BJ21" s="162">
        <v>576</v>
      </c>
      <c r="BK21" s="97"/>
      <c r="BL21" s="97"/>
      <c r="BM21" s="97"/>
      <c r="BN21" s="97"/>
    </row>
    <row r="22" spans="1:66" ht="12.75">
      <c r="A22" s="79" t="s">
        <v>584</v>
      </c>
      <c r="B22" s="79" t="s">
        <v>305</v>
      </c>
      <c r="C22" s="79" t="s">
        <v>173</v>
      </c>
      <c r="D22" s="99">
        <v>7397</v>
      </c>
      <c r="E22" s="99">
        <v>1750</v>
      </c>
      <c r="F22" s="99" t="s">
        <v>399</v>
      </c>
      <c r="G22" s="99">
        <v>49</v>
      </c>
      <c r="H22" s="99">
        <v>12</v>
      </c>
      <c r="I22" s="99">
        <v>153</v>
      </c>
      <c r="J22" s="99">
        <v>935</v>
      </c>
      <c r="K22" s="99">
        <v>348</v>
      </c>
      <c r="L22" s="99">
        <v>1410</v>
      </c>
      <c r="M22" s="99">
        <v>692</v>
      </c>
      <c r="N22" s="99">
        <v>339</v>
      </c>
      <c r="O22" s="99">
        <v>194</v>
      </c>
      <c r="P22" s="159">
        <v>194</v>
      </c>
      <c r="Q22" s="99">
        <v>19</v>
      </c>
      <c r="R22" s="99">
        <v>44</v>
      </c>
      <c r="S22" s="99">
        <v>52</v>
      </c>
      <c r="T22" s="99">
        <v>25</v>
      </c>
      <c r="U22" s="99">
        <v>10</v>
      </c>
      <c r="V22" s="99">
        <v>29</v>
      </c>
      <c r="W22" s="99">
        <v>47</v>
      </c>
      <c r="X22" s="99">
        <v>26</v>
      </c>
      <c r="Y22" s="99">
        <v>92</v>
      </c>
      <c r="Z22" s="99">
        <v>61</v>
      </c>
      <c r="AA22" s="99" t="s">
        <v>660</v>
      </c>
      <c r="AB22" s="99" t="s">
        <v>660</v>
      </c>
      <c r="AC22" s="99" t="s">
        <v>660</v>
      </c>
      <c r="AD22" s="98" t="s">
        <v>376</v>
      </c>
      <c r="AE22" s="100">
        <v>0.23658239826956876</v>
      </c>
      <c r="AF22" s="100">
        <v>0.08</v>
      </c>
      <c r="AG22" s="98">
        <v>662.4307151547924</v>
      </c>
      <c r="AH22" s="98">
        <v>162.22793024199</v>
      </c>
      <c r="AI22" s="100">
        <v>0.021</v>
      </c>
      <c r="AJ22" s="100">
        <v>0.788364</v>
      </c>
      <c r="AK22" s="100">
        <v>0.824645</v>
      </c>
      <c r="AL22" s="100">
        <v>0.809879</v>
      </c>
      <c r="AM22" s="100">
        <v>0.591959</v>
      </c>
      <c r="AN22" s="100">
        <v>0.660819</v>
      </c>
      <c r="AO22" s="98">
        <v>2622.6848722455047</v>
      </c>
      <c r="AP22" s="158">
        <v>1.142237244</v>
      </c>
      <c r="AQ22" s="100">
        <v>0.0979381443298969</v>
      </c>
      <c r="AR22" s="100">
        <v>0.4318181818181818</v>
      </c>
      <c r="AS22" s="98">
        <v>702.98769771529</v>
      </c>
      <c r="AT22" s="98">
        <v>337.9748546708125</v>
      </c>
      <c r="AU22" s="98">
        <v>135.189941868325</v>
      </c>
      <c r="AV22" s="98">
        <v>392.0508314181425</v>
      </c>
      <c r="AW22" s="98">
        <v>635.3927267811275</v>
      </c>
      <c r="AX22" s="98">
        <v>351.493848857645</v>
      </c>
      <c r="AY22" s="98">
        <v>1243.74746518859</v>
      </c>
      <c r="AZ22" s="98">
        <v>824.6586453967825</v>
      </c>
      <c r="BA22" s="100" t="s">
        <v>660</v>
      </c>
      <c r="BB22" s="100" t="s">
        <v>660</v>
      </c>
      <c r="BC22" s="100" t="s">
        <v>660</v>
      </c>
      <c r="BD22" s="158">
        <v>0.9871520233</v>
      </c>
      <c r="BE22" s="158">
        <v>1.3147734070000001</v>
      </c>
      <c r="BF22" s="162">
        <v>1186</v>
      </c>
      <c r="BG22" s="162">
        <v>422</v>
      </c>
      <c r="BH22" s="162">
        <v>1741</v>
      </c>
      <c r="BI22" s="162">
        <v>1169</v>
      </c>
      <c r="BJ22" s="162">
        <v>513</v>
      </c>
      <c r="BK22" s="97"/>
      <c r="BL22" s="97"/>
      <c r="BM22" s="97"/>
      <c r="BN22" s="97"/>
    </row>
    <row r="23" spans="1:66" ht="12.75">
      <c r="A23" s="79" t="s">
        <v>651</v>
      </c>
      <c r="B23" s="79" t="s">
        <v>374</v>
      </c>
      <c r="C23" s="79" t="s">
        <v>173</v>
      </c>
      <c r="D23" s="99">
        <v>5480</v>
      </c>
      <c r="E23" s="99">
        <v>804</v>
      </c>
      <c r="F23" s="99" t="s">
        <v>397</v>
      </c>
      <c r="G23" s="99">
        <v>18</v>
      </c>
      <c r="H23" s="99">
        <v>10</v>
      </c>
      <c r="I23" s="99">
        <v>44</v>
      </c>
      <c r="J23" s="99">
        <v>523</v>
      </c>
      <c r="K23" s="99">
        <v>177</v>
      </c>
      <c r="L23" s="99">
        <v>1251</v>
      </c>
      <c r="M23" s="99">
        <v>368</v>
      </c>
      <c r="N23" s="99">
        <v>173</v>
      </c>
      <c r="O23" s="99">
        <v>98</v>
      </c>
      <c r="P23" s="159">
        <v>98</v>
      </c>
      <c r="Q23" s="99">
        <v>12</v>
      </c>
      <c r="R23" s="99">
        <v>26</v>
      </c>
      <c r="S23" s="99">
        <v>31</v>
      </c>
      <c r="T23" s="99">
        <v>11</v>
      </c>
      <c r="U23" s="99">
        <v>6</v>
      </c>
      <c r="V23" s="99">
        <v>15</v>
      </c>
      <c r="W23" s="99">
        <v>36</v>
      </c>
      <c r="X23" s="99">
        <v>18</v>
      </c>
      <c r="Y23" s="99">
        <v>50</v>
      </c>
      <c r="Z23" s="99">
        <v>32</v>
      </c>
      <c r="AA23" s="99" t="s">
        <v>660</v>
      </c>
      <c r="AB23" s="99" t="s">
        <v>660</v>
      </c>
      <c r="AC23" s="99" t="s">
        <v>660</v>
      </c>
      <c r="AD23" s="98" t="s">
        <v>376</v>
      </c>
      <c r="AE23" s="100">
        <v>0.1467153284671533</v>
      </c>
      <c r="AF23" s="100">
        <v>0.11</v>
      </c>
      <c r="AG23" s="98">
        <v>328.46715328467155</v>
      </c>
      <c r="AH23" s="98">
        <v>182.4817518248175</v>
      </c>
      <c r="AI23" s="100">
        <v>0.008</v>
      </c>
      <c r="AJ23" s="100">
        <v>0.769118</v>
      </c>
      <c r="AK23" s="100">
        <v>0.743697</v>
      </c>
      <c r="AL23" s="100">
        <v>0.89485</v>
      </c>
      <c r="AM23" s="100">
        <v>0.609272</v>
      </c>
      <c r="AN23" s="100">
        <v>0.645522</v>
      </c>
      <c r="AO23" s="98">
        <v>1788.3211678832117</v>
      </c>
      <c r="AP23" s="158">
        <v>0.9793128204</v>
      </c>
      <c r="AQ23" s="100">
        <v>0.12244897959183673</v>
      </c>
      <c r="AR23" s="100">
        <v>0.46153846153846156</v>
      </c>
      <c r="AS23" s="98">
        <v>565.6934306569343</v>
      </c>
      <c r="AT23" s="98">
        <v>200.72992700729927</v>
      </c>
      <c r="AU23" s="98">
        <v>109.48905109489051</v>
      </c>
      <c r="AV23" s="98">
        <v>273.7226277372263</v>
      </c>
      <c r="AW23" s="98">
        <v>656.9343065693431</v>
      </c>
      <c r="AX23" s="98">
        <v>328.46715328467155</v>
      </c>
      <c r="AY23" s="98">
        <v>912.4087591240876</v>
      </c>
      <c r="AZ23" s="98">
        <v>583.9416058394161</v>
      </c>
      <c r="BA23" s="100" t="s">
        <v>660</v>
      </c>
      <c r="BB23" s="100" t="s">
        <v>660</v>
      </c>
      <c r="BC23" s="100" t="s">
        <v>660</v>
      </c>
      <c r="BD23" s="158">
        <v>0.7950534820999999</v>
      </c>
      <c r="BE23" s="158">
        <v>1.193468628</v>
      </c>
      <c r="BF23" s="162">
        <v>680</v>
      </c>
      <c r="BG23" s="162">
        <v>238</v>
      </c>
      <c r="BH23" s="162">
        <v>1398</v>
      </c>
      <c r="BI23" s="162">
        <v>604</v>
      </c>
      <c r="BJ23" s="162">
        <v>268</v>
      </c>
      <c r="BK23" s="97"/>
      <c r="BL23" s="97"/>
      <c r="BM23" s="97"/>
      <c r="BN23" s="97"/>
    </row>
    <row r="24" spans="1:66" ht="12.75">
      <c r="A24" s="79" t="s">
        <v>647</v>
      </c>
      <c r="B24" s="79" t="s">
        <v>370</v>
      </c>
      <c r="C24" s="79" t="s">
        <v>173</v>
      </c>
      <c r="D24" s="99">
        <v>3615</v>
      </c>
      <c r="E24" s="99">
        <v>337</v>
      </c>
      <c r="F24" s="99" t="s">
        <v>398</v>
      </c>
      <c r="G24" s="99">
        <v>18</v>
      </c>
      <c r="H24" s="99">
        <v>6</v>
      </c>
      <c r="I24" s="99">
        <v>61</v>
      </c>
      <c r="J24" s="99">
        <v>247</v>
      </c>
      <c r="K24" s="99">
        <v>97</v>
      </c>
      <c r="L24" s="99">
        <v>806</v>
      </c>
      <c r="M24" s="99">
        <v>162</v>
      </c>
      <c r="N24" s="99">
        <v>72</v>
      </c>
      <c r="O24" s="99">
        <v>36</v>
      </c>
      <c r="P24" s="159">
        <v>36</v>
      </c>
      <c r="Q24" s="99">
        <v>8</v>
      </c>
      <c r="R24" s="99">
        <v>16</v>
      </c>
      <c r="S24" s="99">
        <v>7</v>
      </c>
      <c r="T24" s="99" t="s">
        <v>660</v>
      </c>
      <c r="U24" s="99" t="s">
        <v>660</v>
      </c>
      <c r="V24" s="99">
        <v>7</v>
      </c>
      <c r="W24" s="99">
        <v>15</v>
      </c>
      <c r="X24" s="99" t="s">
        <v>660</v>
      </c>
      <c r="Y24" s="99">
        <v>67</v>
      </c>
      <c r="Z24" s="99">
        <v>20</v>
      </c>
      <c r="AA24" s="99" t="s">
        <v>660</v>
      </c>
      <c r="AB24" s="99" t="s">
        <v>660</v>
      </c>
      <c r="AC24" s="99" t="s">
        <v>660</v>
      </c>
      <c r="AD24" s="98" t="s">
        <v>376</v>
      </c>
      <c r="AE24" s="100">
        <v>0.09322268326417704</v>
      </c>
      <c r="AF24" s="100">
        <v>0.14</v>
      </c>
      <c r="AG24" s="98">
        <v>497.9253112033195</v>
      </c>
      <c r="AH24" s="98">
        <v>165.97510373443984</v>
      </c>
      <c r="AI24" s="100">
        <v>0.017</v>
      </c>
      <c r="AJ24" s="100">
        <v>0.730769</v>
      </c>
      <c r="AK24" s="100">
        <v>0.746154</v>
      </c>
      <c r="AL24" s="100">
        <v>0.833506</v>
      </c>
      <c r="AM24" s="100">
        <v>0.568421</v>
      </c>
      <c r="AN24" s="100">
        <v>0.571429</v>
      </c>
      <c r="AO24" s="98">
        <v>995.850622406639</v>
      </c>
      <c r="AP24" s="158">
        <v>0.6628083038</v>
      </c>
      <c r="AQ24" s="100">
        <v>0.2222222222222222</v>
      </c>
      <c r="AR24" s="100">
        <v>0.5</v>
      </c>
      <c r="AS24" s="98">
        <v>193.63762102351313</v>
      </c>
      <c r="AT24" s="98" t="s">
        <v>660</v>
      </c>
      <c r="AU24" s="98" t="s">
        <v>660</v>
      </c>
      <c r="AV24" s="98">
        <v>193.63762102351313</v>
      </c>
      <c r="AW24" s="98">
        <v>414.9377593360996</v>
      </c>
      <c r="AX24" s="98" t="s">
        <v>660</v>
      </c>
      <c r="AY24" s="98">
        <v>1853.3886583679114</v>
      </c>
      <c r="AZ24" s="98">
        <v>553.2503457814661</v>
      </c>
      <c r="BA24" s="100" t="s">
        <v>660</v>
      </c>
      <c r="BB24" s="100" t="s">
        <v>660</v>
      </c>
      <c r="BC24" s="100" t="s">
        <v>660</v>
      </c>
      <c r="BD24" s="158">
        <v>0.4642227554</v>
      </c>
      <c r="BE24" s="158">
        <v>0.9176060486000001</v>
      </c>
      <c r="BF24" s="162">
        <v>338</v>
      </c>
      <c r="BG24" s="162">
        <v>130</v>
      </c>
      <c r="BH24" s="162">
        <v>967</v>
      </c>
      <c r="BI24" s="162">
        <v>285</v>
      </c>
      <c r="BJ24" s="162">
        <v>126</v>
      </c>
      <c r="BK24" s="97"/>
      <c r="BL24" s="97"/>
      <c r="BM24" s="97"/>
      <c r="BN24" s="97"/>
    </row>
    <row r="25" spans="1:66" ht="12.75">
      <c r="A25" s="79" t="s">
        <v>614</v>
      </c>
      <c r="B25" s="79" t="s">
        <v>335</v>
      </c>
      <c r="C25" s="79" t="s">
        <v>173</v>
      </c>
      <c r="D25" s="99">
        <v>4944</v>
      </c>
      <c r="E25" s="99">
        <v>1428</v>
      </c>
      <c r="F25" s="99" t="s">
        <v>399</v>
      </c>
      <c r="G25" s="99">
        <v>26</v>
      </c>
      <c r="H25" s="99">
        <v>15</v>
      </c>
      <c r="I25" s="99">
        <v>75</v>
      </c>
      <c r="J25" s="99">
        <v>622</v>
      </c>
      <c r="K25" s="99">
        <v>200</v>
      </c>
      <c r="L25" s="99">
        <v>915</v>
      </c>
      <c r="M25" s="99">
        <v>536</v>
      </c>
      <c r="N25" s="99">
        <v>244</v>
      </c>
      <c r="O25" s="99">
        <v>35</v>
      </c>
      <c r="P25" s="159">
        <v>35</v>
      </c>
      <c r="Q25" s="99">
        <v>14</v>
      </c>
      <c r="R25" s="99">
        <v>33</v>
      </c>
      <c r="S25" s="99" t="s">
        <v>660</v>
      </c>
      <c r="T25" s="99" t="s">
        <v>660</v>
      </c>
      <c r="U25" s="99" t="s">
        <v>660</v>
      </c>
      <c r="V25" s="99" t="s">
        <v>660</v>
      </c>
      <c r="W25" s="99">
        <v>34</v>
      </c>
      <c r="X25" s="99">
        <v>22</v>
      </c>
      <c r="Y25" s="99">
        <v>63</v>
      </c>
      <c r="Z25" s="99">
        <v>31</v>
      </c>
      <c r="AA25" s="99" t="s">
        <v>660</v>
      </c>
      <c r="AB25" s="99" t="s">
        <v>660</v>
      </c>
      <c r="AC25" s="99" t="s">
        <v>660</v>
      </c>
      <c r="AD25" s="98" t="s">
        <v>376</v>
      </c>
      <c r="AE25" s="100">
        <v>0.28883495145631066</v>
      </c>
      <c r="AF25" s="100">
        <v>0.08</v>
      </c>
      <c r="AG25" s="98">
        <v>525.8899676375405</v>
      </c>
      <c r="AH25" s="98">
        <v>303.3980582524272</v>
      </c>
      <c r="AI25" s="100">
        <v>0.015</v>
      </c>
      <c r="AJ25" s="100">
        <v>0.804657</v>
      </c>
      <c r="AK25" s="100">
        <v>0.840336</v>
      </c>
      <c r="AL25" s="100">
        <v>0.830309</v>
      </c>
      <c r="AM25" s="100">
        <v>0.657669</v>
      </c>
      <c r="AN25" s="100">
        <v>0.652406</v>
      </c>
      <c r="AO25" s="98">
        <v>707.9288025889967</v>
      </c>
      <c r="AP25" s="158">
        <v>0.290411129</v>
      </c>
      <c r="AQ25" s="100">
        <v>0.4</v>
      </c>
      <c r="AR25" s="100">
        <v>0.42424242424242425</v>
      </c>
      <c r="AS25" s="98" t="s">
        <v>660</v>
      </c>
      <c r="AT25" s="98" t="s">
        <v>660</v>
      </c>
      <c r="AU25" s="98" t="s">
        <v>660</v>
      </c>
      <c r="AV25" s="98" t="s">
        <v>660</v>
      </c>
      <c r="AW25" s="98">
        <v>687.7022653721683</v>
      </c>
      <c r="AX25" s="98">
        <v>444.98381877022655</v>
      </c>
      <c r="AY25" s="98">
        <v>1274.2718446601941</v>
      </c>
      <c r="AZ25" s="98">
        <v>627.0226537216829</v>
      </c>
      <c r="BA25" s="100" t="s">
        <v>660</v>
      </c>
      <c r="BB25" s="100" t="s">
        <v>660</v>
      </c>
      <c r="BC25" s="100" t="s">
        <v>660</v>
      </c>
      <c r="BD25" s="158">
        <v>0.2022819901</v>
      </c>
      <c r="BE25" s="158">
        <v>0.40389160160000004</v>
      </c>
      <c r="BF25" s="162">
        <v>773</v>
      </c>
      <c r="BG25" s="162">
        <v>238</v>
      </c>
      <c r="BH25" s="162">
        <v>1102</v>
      </c>
      <c r="BI25" s="162">
        <v>815</v>
      </c>
      <c r="BJ25" s="162">
        <v>374</v>
      </c>
      <c r="BK25" s="97"/>
      <c r="BL25" s="97"/>
      <c r="BM25" s="97"/>
      <c r="BN25" s="97"/>
    </row>
    <row r="26" spans="1:66" ht="12.75">
      <c r="A26" s="79" t="s">
        <v>645</v>
      </c>
      <c r="B26" s="79" t="s">
        <v>368</v>
      </c>
      <c r="C26" s="79" t="s">
        <v>173</v>
      </c>
      <c r="D26" s="99">
        <v>4521</v>
      </c>
      <c r="E26" s="99">
        <v>804</v>
      </c>
      <c r="F26" s="99" t="s">
        <v>398</v>
      </c>
      <c r="G26" s="99">
        <v>25</v>
      </c>
      <c r="H26" s="99">
        <v>11</v>
      </c>
      <c r="I26" s="99">
        <v>87</v>
      </c>
      <c r="J26" s="99">
        <v>487</v>
      </c>
      <c r="K26" s="99">
        <v>155</v>
      </c>
      <c r="L26" s="99">
        <v>922</v>
      </c>
      <c r="M26" s="99">
        <v>359</v>
      </c>
      <c r="N26" s="99">
        <v>168</v>
      </c>
      <c r="O26" s="99">
        <v>70</v>
      </c>
      <c r="P26" s="159">
        <v>70</v>
      </c>
      <c r="Q26" s="99">
        <v>6</v>
      </c>
      <c r="R26" s="99">
        <v>20</v>
      </c>
      <c r="S26" s="99">
        <v>6</v>
      </c>
      <c r="T26" s="99">
        <v>16</v>
      </c>
      <c r="U26" s="99" t="s">
        <v>660</v>
      </c>
      <c r="V26" s="99" t="s">
        <v>660</v>
      </c>
      <c r="W26" s="99">
        <v>52</v>
      </c>
      <c r="X26" s="99">
        <v>17</v>
      </c>
      <c r="Y26" s="99">
        <v>68</v>
      </c>
      <c r="Z26" s="99">
        <v>16</v>
      </c>
      <c r="AA26" s="99" t="s">
        <v>660</v>
      </c>
      <c r="AB26" s="99" t="s">
        <v>660</v>
      </c>
      <c r="AC26" s="99" t="s">
        <v>660</v>
      </c>
      <c r="AD26" s="98" t="s">
        <v>376</v>
      </c>
      <c r="AE26" s="100">
        <v>0.17783676177836763</v>
      </c>
      <c r="AF26" s="100">
        <v>0.16</v>
      </c>
      <c r="AG26" s="98">
        <v>552.9750055297501</v>
      </c>
      <c r="AH26" s="98">
        <v>243.30900243309003</v>
      </c>
      <c r="AI26" s="100">
        <v>0.019</v>
      </c>
      <c r="AJ26" s="100">
        <v>0.766929</v>
      </c>
      <c r="AK26" s="100">
        <v>0.759804</v>
      </c>
      <c r="AL26" s="100">
        <v>0.820285</v>
      </c>
      <c r="AM26" s="100">
        <v>0.610544</v>
      </c>
      <c r="AN26" s="100">
        <v>0.661417</v>
      </c>
      <c r="AO26" s="98">
        <v>1548.3300154833003</v>
      </c>
      <c r="AP26" s="158">
        <v>0.7847908782999999</v>
      </c>
      <c r="AQ26" s="100">
        <v>0.08571428571428572</v>
      </c>
      <c r="AR26" s="100">
        <v>0.3</v>
      </c>
      <c r="AS26" s="98">
        <v>132.71400132714</v>
      </c>
      <c r="AT26" s="98">
        <v>353.90400353904005</v>
      </c>
      <c r="AU26" s="98" t="s">
        <v>660</v>
      </c>
      <c r="AV26" s="98" t="s">
        <v>660</v>
      </c>
      <c r="AW26" s="98">
        <v>1150.18801150188</v>
      </c>
      <c r="AX26" s="98">
        <v>376.02300376023004</v>
      </c>
      <c r="AY26" s="98">
        <v>1504.0920150409202</v>
      </c>
      <c r="AZ26" s="98">
        <v>353.90400353904005</v>
      </c>
      <c r="BA26" s="100" t="s">
        <v>660</v>
      </c>
      <c r="BB26" s="100" t="s">
        <v>660</v>
      </c>
      <c r="BC26" s="100" t="s">
        <v>660</v>
      </c>
      <c r="BD26" s="158">
        <v>0.6117829895</v>
      </c>
      <c r="BE26" s="158">
        <v>0.991536026</v>
      </c>
      <c r="BF26" s="162">
        <v>635</v>
      </c>
      <c r="BG26" s="162">
        <v>204</v>
      </c>
      <c r="BH26" s="162">
        <v>1124</v>
      </c>
      <c r="BI26" s="162">
        <v>588</v>
      </c>
      <c r="BJ26" s="162">
        <v>254</v>
      </c>
      <c r="BK26" s="97"/>
      <c r="BL26" s="97"/>
      <c r="BM26" s="97"/>
      <c r="BN26" s="97"/>
    </row>
    <row r="27" spans="1:66" ht="12.75">
      <c r="A27" s="79" t="s">
        <v>636</v>
      </c>
      <c r="B27" s="79" t="s">
        <v>359</v>
      </c>
      <c r="C27" s="79" t="s">
        <v>173</v>
      </c>
      <c r="D27" s="99">
        <v>3205</v>
      </c>
      <c r="E27" s="99">
        <v>633</v>
      </c>
      <c r="F27" s="99" t="s">
        <v>398</v>
      </c>
      <c r="G27" s="99">
        <v>23</v>
      </c>
      <c r="H27" s="99">
        <v>9</v>
      </c>
      <c r="I27" s="99">
        <v>60</v>
      </c>
      <c r="J27" s="99">
        <v>328</v>
      </c>
      <c r="K27" s="99">
        <v>113</v>
      </c>
      <c r="L27" s="99">
        <v>637</v>
      </c>
      <c r="M27" s="99">
        <v>248</v>
      </c>
      <c r="N27" s="99">
        <v>114</v>
      </c>
      <c r="O27" s="99">
        <v>41</v>
      </c>
      <c r="P27" s="159">
        <v>41</v>
      </c>
      <c r="Q27" s="99">
        <v>6</v>
      </c>
      <c r="R27" s="99">
        <v>19</v>
      </c>
      <c r="S27" s="99">
        <v>13</v>
      </c>
      <c r="T27" s="99" t="s">
        <v>660</v>
      </c>
      <c r="U27" s="99">
        <v>6</v>
      </c>
      <c r="V27" s="99" t="s">
        <v>660</v>
      </c>
      <c r="W27" s="99">
        <v>19</v>
      </c>
      <c r="X27" s="99" t="s">
        <v>660</v>
      </c>
      <c r="Y27" s="99">
        <v>38</v>
      </c>
      <c r="Z27" s="99">
        <v>36</v>
      </c>
      <c r="AA27" s="99" t="s">
        <v>660</v>
      </c>
      <c r="AB27" s="99" t="s">
        <v>660</v>
      </c>
      <c r="AC27" s="99" t="s">
        <v>660</v>
      </c>
      <c r="AD27" s="98" t="s">
        <v>376</v>
      </c>
      <c r="AE27" s="100">
        <v>0.19750390015600625</v>
      </c>
      <c r="AF27" s="100">
        <v>0.13</v>
      </c>
      <c r="AG27" s="98">
        <v>717.6287051482059</v>
      </c>
      <c r="AH27" s="98">
        <v>280.81123244929796</v>
      </c>
      <c r="AI27" s="100">
        <v>0.019</v>
      </c>
      <c r="AJ27" s="100">
        <v>0.754023</v>
      </c>
      <c r="AK27" s="100">
        <v>0.801418</v>
      </c>
      <c r="AL27" s="100">
        <v>0.790323</v>
      </c>
      <c r="AM27" s="100">
        <v>0.616915</v>
      </c>
      <c r="AN27" s="100">
        <v>0.626374</v>
      </c>
      <c r="AO27" s="98">
        <v>1279.251170046802</v>
      </c>
      <c r="AP27" s="158">
        <v>0.6210682678</v>
      </c>
      <c r="AQ27" s="100">
        <v>0.14634146341463414</v>
      </c>
      <c r="AR27" s="100">
        <v>0.3157894736842105</v>
      </c>
      <c r="AS27" s="98">
        <v>405.61622464898596</v>
      </c>
      <c r="AT27" s="98" t="s">
        <v>660</v>
      </c>
      <c r="AU27" s="98">
        <v>187.20748829953197</v>
      </c>
      <c r="AV27" s="98" t="s">
        <v>660</v>
      </c>
      <c r="AW27" s="98">
        <v>592.8237129485179</v>
      </c>
      <c r="AX27" s="98" t="s">
        <v>660</v>
      </c>
      <c r="AY27" s="98">
        <v>1185.6474258970359</v>
      </c>
      <c r="AZ27" s="98">
        <v>1123.2449297971918</v>
      </c>
      <c r="BA27" s="100" t="s">
        <v>660</v>
      </c>
      <c r="BB27" s="100" t="s">
        <v>660</v>
      </c>
      <c r="BC27" s="100" t="s">
        <v>660</v>
      </c>
      <c r="BD27" s="158">
        <v>0.4456893158</v>
      </c>
      <c r="BE27" s="158">
        <v>0.8425492096</v>
      </c>
      <c r="BF27" s="162">
        <v>435</v>
      </c>
      <c r="BG27" s="162">
        <v>141</v>
      </c>
      <c r="BH27" s="162">
        <v>806</v>
      </c>
      <c r="BI27" s="162">
        <v>402</v>
      </c>
      <c r="BJ27" s="162">
        <v>182</v>
      </c>
      <c r="BK27" s="97"/>
      <c r="BL27" s="97"/>
      <c r="BM27" s="97"/>
      <c r="BN27" s="97"/>
    </row>
    <row r="28" spans="1:66" ht="12.75">
      <c r="A28" s="79" t="s">
        <v>602</v>
      </c>
      <c r="B28" s="79" t="s">
        <v>323</v>
      </c>
      <c r="C28" s="79" t="s">
        <v>173</v>
      </c>
      <c r="D28" s="99">
        <v>4018</v>
      </c>
      <c r="E28" s="99">
        <v>734</v>
      </c>
      <c r="F28" s="99" t="s">
        <v>396</v>
      </c>
      <c r="G28" s="99">
        <v>26</v>
      </c>
      <c r="H28" s="99">
        <v>14</v>
      </c>
      <c r="I28" s="99">
        <v>97</v>
      </c>
      <c r="J28" s="99">
        <v>400</v>
      </c>
      <c r="K28" s="99">
        <v>126</v>
      </c>
      <c r="L28" s="99">
        <v>788</v>
      </c>
      <c r="M28" s="99">
        <v>265</v>
      </c>
      <c r="N28" s="99">
        <v>121</v>
      </c>
      <c r="O28" s="99">
        <v>42</v>
      </c>
      <c r="P28" s="159">
        <v>42</v>
      </c>
      <c r="Q28" s="99">
        <v>8</v>
      </c>
      <c r="R28" s="99">
        <v>24</v>
      </c>
      <c r="S28" s="99" t="s">
        <v>660</v>
      </c>
      <c r="T28" s="99">
        <v>10</v>
      </c>
      <c r="U28" s="99" t="s">
        <v>660</v>
      </c>
      <c r="V28" s="99" t="s">
        <v>660</v>
      </c>
      <c r="W28" s="99">
        <v>35</v>
      </c>
      <c r="X28" s="99">
        <v>15</v>
      </c>
      <c r="Y28" s="99">
        <v>55</v>
      </c>
      <c r="Z28" s="99">
        <v>49</v>
      </c>
      <c r="AA28" s="99" t="s">
        <v>660</v>
      </c>
      <c r="AB28" s="99" t="s">
        <v>660</v>
      </c>
      <c r="AC28" s="99" t="s">
        <v>660</v>
      </c>
      <c r="AD28" s="98" t="s">
        <v>376</v>
      </c>
      <c r="AE28" s="100">
        <v>0.1826779492284719</v>
      </c>
      <c r="AF28" s="100">
        <v>0.19</v>
      </c>
      <c r="AG28" s="98">
        <v>647.0881035340966</v>
      </c>
      <c r="AH28" s="98">
        <v>348.4320557491289</v>
      </c>
      <c r="AI28" s="100">
        <v>0.024</v>
      </c>
      <c r="AJ28" s="100">
        <v>0.682594</v>
      </c>
      <c r="AK28" s="100">
        <v>0.681081</v>
      </c>
      <c r="AL28" s="100">
        <v>0.825996</v>
      </c>
      <c r="AM28" s="100">
        <v>0.506692</v>
      </c>
      <c r="AN28" s="100">
        <v>0.517094</v>
      </c>
      <c r="AO28" s="98">
        <v>1045.2961672473868</v>
      </c>
      <c r="AP28" s="158">
        <v>0.5196312332</v>
      </c>
      <c r="AQ28" s="100">
        <v>0.19047619047619047</v>
      </c>
      <c r="AR28" s="100">
        <v>0.3333333333333333</v>
      </c>
      <c r="AS28" s="98" t="s">
        <v>660</v>
      </c>
      <c r="AT28" s="98">
        <v>248.88003982080636</v>
      </c>
      <c r="AU28" s="98" t="s">
        <v>660</v>
      </c>
      <c r="AV28" s="98" t="s">
        <v>660</v>
      </c>
      <c r="AW28" s="98">
        <v>871.0801393728223</v>
      </c>
      <c r="AX28" s="98">
        <v>373.32005973120954</v>
      </c>
      <c r="AY28" s="98">
        <v>1368.840219014435</v>
      </c>
      <c r="AZ28" s="98">
        <v>1219.5121951219512</v>
      </c>
      <c r="BA28" s="100" t="s">
        <v>660</v>
      </c>
      <c r="BB28" s="100" t="s">
        <v>660</v>
      </c>
      <c r="BC28" s="100" t="s">
        <v>660</v>
      </c>
      <c r="BD28" s="158">
        <v>0.374504509</v>
      </c>
      <c r="BE28" s="158">
        <v>0.7023905182</v>
      </c>
      <c r="BF28" s="162">
        <v>586</v>
      </c>
      <c r="BG28" s="162">
        <v>185</v>
      </c>
      <c r="BH28" s="162">
        <v>954</v>
      </c>
      <c r="BI28" s="162">
        <v>523</v>
      </c>
      <c r="BJ28" s="162">
        <v>234</v>
      </c>
      <c r="BK28" s="97"/>
      <c r="BL28" s="97"/>
      <c r="BM28" s="97"/>
      <c r="BN28" s="97"/>
    </row>
    <row r="29" spans="1:66" ht="12.75">
      <c r="A29" s="79" t="s">
        <v>612</v>
      </c>
      <c r="B29" s="79" t="s">
        <v>333</v>
      </c>
      <c r="C29" s="79" t="s">
        <v>173</v>
      </c>
      <c r="D29" s="99">
        <v>8706</v>
      </c>
      <c r="E29" s="99">
        <v>1865</v>
      </c>
      <c r="F29" s="99" t="s">
        <v>397</v>
      </c>
      <c r="G29" s="99">
        <v>45</v>
      </c>
      <c r="H29" s="99">
        <v>20</v>
      </c>
      <c r="I29" s="99">
        <v>184</v>
      </c>
      <c r="J29" s="99">
        <v>1022</v>
      </c>
      <c r="K29" s="99">
        <v>349</v>
      </c>
      <c r="L29" s="99">
        <v>1888</v>
      </c>
      <c r="M29" s="99">
        <v>758</v>
      </c>
      <c r="N29" s="99">
        <v>344</v>
      </c>
      <c r="O29" s="99">
        <v>176</v>
      </c>
      <c r="P29" s="159">
        <v>176</v>
      </c>
      <c r="Q29" s="99">
        <v>26</v>
      </c>
      <c r="R29" s="99">
        <v>54</v>
      </c>
      <c r="S29" s="99">
        <v>26</v>
      </c>
      <c r="T29" s="99">
        <v>38</v>
      </c>
      <c r="U29" s="99">
        <v>8</v>
      </c>
      <c r="V29" s="99">
        <v>36</v>
      </c>
      <c r="W29" s="99">
        <v>88</v>
      </c>
      <c r="X29" s="99">
        <v>23</v>
      </c>
      <c r="Y29" s="99">
        <v>125</v>
      </c>
      <c r="Z29" s="99">
        <v>51</v>
      </c>
      <c r="AA29" s="99" t="s">
        <v>660</v>
      </c>
      <c r="AB29" s="99" t="s">
        <v>660</v>
      </c>
      <c r="AC29" s="99" t="s">
        <v>660</v>
      </c>
      <c r="AD29" s="98" t="s">
        <v>376</v>
      </c>
      <c r="AE29" s="100">
        <v>0.2142200781070526</v>
      </c>
      <c r="AF29" s="100">
        <v>0.09</v>
      </c>
      <c r="AG29" s="98">
        <v>516.8849069607168</v>
      </c>
      <c r="AH29" s="98">
        <v>229.72662531587412</v>
      </c>
      <c r="AI29" s="100">
        <v>0.021</v>
      </c>
      <c r="AJ29" s="100">
        <v>0.780749</v>
      </c>
      <c r="AK29" s="100">
        <v>0.825059</v>
      </c>
      <c r="AL29" s="100">
        <v>0.885138</v>
      </c>
      <c r="AM29" s="100">
        <v>0.619787</v>
      </c>
      <c r="AN29" s="100">
        <v>0.644195</v>
      </c>
      <c r="AO29" s="98">
        <v>2021.5943027796923</v>
      </c>
      <c r="AP29" s="158">
        <v>0.9213096619</v>
      </c>
      <c r="AQ29" s="100">
        <v>0.14772727272727273</v>
      </c>
      <c r="AR29" s="100">
        <v>0.48148148148148145</v>
      </c>
      <c r="AS29" s="98">
        <v>298.64461291063634</v>
      </c>
      <c r="AT29" s="98">
        <v>436.4805881001608</v>
      </c>
      <c r="AU29" s="98">
        <v>91.89065012634964</v>
      </c>
      <c r="AV29" s="98">
        <v>413.5079255685734</v>
      </c>
      <c r="AW29" s="98">
        <v>1010.7971513898461</v>
      </c>
      <c r="AX29" s="98">
        <v>264.1856191132552</v>
      </c>
      <c r="AY29" s="98">
        <v>1435.7914082242132</v>
      </c>
      <c r="AZ29" s="98">
        <v>585.8028945554789</v>
      </c>
      <c r="BA29" s="100" t="s">
        <v>660</v>
      </c>
      <c r="BB29" s="100" t="s">
        <v>660</v>
      </c>
      <c r="BC29" s="100" t="s">
        <v>660</v>
      </c>
      <c r="BD29" s="158">
        <v>0.7902211761</v>
      </c>
      <c r="BE29" s="158">
        <v>1.067931213</v>
      </c>
      <c r="BF29" s="162">
        <v>1309</v>
      </c>
      <c r="BG29" s="162">
        <v>423</v>
      </c>
      <c r="BH29" s="162">
        <v>2133</v>
      </c>
      <c r="BI29" s="162">
        <v>1223</v>
      </c>
      <c r="BJ29" s="162">
        <v>534</v>
      </c>
      <c r="BK29" s="97"/>
      <c r="BL29" s="97"/>
      <c r="BM29" s="97"/>
      <c r="BN29" s="97"/>
    </row>
    <row r="30" spans="1:66" ht="12.75">
      <c r="A30" s="79" t="s">
        <v>621</v>
      </c>
      <c r="B30" s="79" t="s">
        <v>343</v>
      </c>
      <c r="C30" s="79" t="s">
        <v>173</v>
      </c>
      <c r="D30" s="99">
        <v>9879</v>
      </c>
      <c r="E30" s="99">
        <v>1919</v>
      </c>
      <c r="F30" s="99" t="s">
        <v>398</v>
      </c>
      <c r="G30" s="99">
        <v>57</v>
      </c>
      <c r="H30" s="99">
        <v>28</v>
      </c>
      <c r="I30" s="99">
        <v>173</v>
      </c>
      <c r="J30" s="99">
        <v>1087</v>
      </c>
      <c r="K30" s="99">
        <v>369</v>
      </c>
      <c r="L30" s="99">
        <v>1974</v>
      </c>
      <c r="M30" s="99">
        <v>749</v>
      </c>
      <c r="N30" s="99">
        <v>332</v>
      </c>
      <c r="O30" s="99">
        <v>173</v>
      </c>
      <c r="P30" s="159">
        <v>173</v>
      </c>
      <c r="Q30" s="99">
        <v>27</v>
      </c>
      <c r="R30" s="99">
        <v>61</v>
      </c>
      <c r="S30" s="99">
        <v>39</v>
      </c>
      <c r="T30" s="99">
        <v>16</v>
      </c>
      <c r="U30" s="99" t="s">
        <v>660</v>
      </c>
      <c r="V30" s="99">
        <v>33</v>
      </c>
      <c r="W30" s="99">
        <v>86</v>
      </c>
      <c r="X30" s="99">
        <v>30</v>
      </c>
      <c r="Y30" s="99">
        <v>144</v>
      </c>
      <c r="Z30" s="99">
        <v>59</v>
      </c>
      <c r="AA30" s="99" t="s">
        <v>660</v>
      </c>
      <c r="AB30" s="99" t="s">
        <v>660</v>
      </c>
      <c r="AC30" s="99" t="s">
        <v>660</v>
      </c>
      <c r="AD30" s="98" t="s">
        <v>376</v>
      </c>
      <c r="AE30" s="100">
        <v>0.19425043020548638</v>
      </c>
      <c r="AF30" s="100">
        <v>0.16</v>
      </c>
      <c r="AG30" s="98">
        <v>576.9814758578804</v>
      </c>
      <c r="AH30" s="98">
        <v>283.429496912643</v>
      </c>
      <c r="AI30" s="100">
        <v>0.018000000000000002</v>
      </c>
      <c r="AJ30" s="100">
        <v>0.774217</v>
      </c>
      <c r="AK30" s="100">
        <v>0.77521</v>
      </c>
      <c r="AL30" s="100">
        <v>0.804073</v>
      </c>
      <c r="AM30" s="100">
        <v>0.603546</v>
      </c>
      <c r="AN30" s="100">
        <v>0.64466</v>
      </c>
      <c r="AO30" s="98">
        <v>1751.1893916388299</v>
      </c>
      <c r="AP30" s="158">
        <v>0.8527993010999999</v>
      </c>
      <c r="AQ30" s="100">
        <v>0.15606936416184972</v>
      </c>
      <c r="AR30" s="100">
        <v>0.4426229508196721</v>
      </c>
      <c r="AS30" s="98">
        <v>394.7767992711813</v>
      </c>
      <c r="AT30" s="98">
        <v>161.95971252151028</v>
      </c>
      <c r="AU30" s="98" t="s">
        <v>660</v>
      </c>
      <c r="AV30" s="98">
        <v>334.0419070756149</v>
      </c>
      <c r="AW30" s="98">
        <v>870.5334548031177</v>
      </c>
      <c r="AX30" s="98">
        <v>303.67446097783176</v>
      </c>
      <c r="AY30" s="98">
        <v>1457.6374126935925</v>
      </c>
      <c r="AZ30" s="98">
        <v>597.2264399230692</v>
      </c>
      <c r="BA30" s="100" t="s">
        <v>660</v>
      </c>
      <c r="BB30" s="100" t="s">
        <v>660</v>
      </c>
      <c r="BC30" s="100" t="s">
        <v>660</v>
      </c>
      <c r="BD30" s="158">
        <v>0.7304522705</v>
      </c>
      <c r="BE30" s="158">
        <v>0.9897768402</v>
      </c>
      <c r="BF30" s="162">
        <v>1404</v>
      </c>
      <c r="BG30" s="162">
        <v>476</v>
      </c>
      <c r="BH30" s="162">
        <v>2455</v>
      </c>
      <c r="BI30" s="162">
        <v>1241</v>
      </c>
      <c r="BJ30" s="162">
        <v>515</v>
      </c>
      <c r="BK30" s="97"/>
      <c r="BL30" s="97"/>
      <c r="BM30" s="97"/>
      <c r="BN30" s="97"/>
    </row>
    <row r="31" spans="1:66" ht="12.75">
      <c r="A31" s="79" t="s">
        <v>561</v>
      </c>
      <c r="B31" s="79" t="s">
        <v>282</v>
      </c>
      <c r="C31" s="79" t="s">
        <v>173</v>
      </c>
      <c r="D31" s="99">
        <v>8947</v>
      </c>
      <c r="E31" s="99">
        <v>1708</v>
      </c>
      <c r="F31" s="99" t="s">
        <v>398</v>
      </c>
      <c r="G31" s="99">
        <v>61</v>
      </c>
      <c r="H31" s="99">
        <v>30</v>
      </c>
      <c r="I31" s="99">
        <v>151</v>
      </c>
      <c r="J31" s="99">
        <v>960</v>
      </c>
      <c r="K31" s="99">
        <v>340</v>
      </c>
      <c r="L31" s="99">
        <v>1813</v>
      </c>
      <c r="M31" s="99">
        <v>673</v>
      </c>
      <c r="N31" s="99">
        <v>297</v>
      </c>
      <c r="O31" s="99">
        <v>127</v>
      </c>
      <c r="P31" s="159">
        <v>127</v>
      </c>
      <c r="Q31" s="99">
        <v>25</v>
      </c>
      <c r="R31" s="99">
        <v>47</v>
      </c>
      <c r="S31" s="99">
        <v>28</v>
      </c>
      <c r="T31" s="99">
        <v>16</v>
      </c>
      <c r="U31" s="99">
        <v>9</v>
      </c>
      <c r="V31" s="99">
        <v>13</v>
      </c>
      <c r="W31" s="99">
        <v>54</v>
      </c>
      <c r="X31" s="99">
        <v>15</v>
      </c>
      <c r="Y31" s="99">
        <v>77</v>
      </c>
      <c r="Z31" s="99">
        <v>49</v>
      </c>
      <c r="AA31" s="99" t="s">
        <v>660</v>
      </c>
      <c r="AB31" s="99" t="s">
        <v>660</v>
      </c>
      <c r="AC31" s="99" t="s">
        <v>660</v>
      </c>
      <c r="AD31" s="98" t="s">
        <v>376</v>
      </c>
      <c r="AE31" s="100">
        <v>0.1909019783167542</v>
      </c>
      <c r="AF31" s="100">
        <v>0.16</v>
      </c>
      <c r="AG31" s="98">
        <v>681.7927797026937</v>
      </c>
      <c r="AH31" s="98">
        <v>335.3079244439477</v>
      </c>
      <c r="AI31" s="100">
        <v>0.017</v>
      </c>
      <c r="AJ31" s="100">
        <v>0.813559</v>
      </c>
      <c r="AK31" s="100">
        <v>0.843672</v>
      </c>
      <c r="AL31" s="100">
        <v>0.842472</v>
      </c>
      <c r="AM31" s="100">
        <v>0.589833</v>
      </c>
      <c r="AN31" s="100">
        <v>0.616183</v>
      </c>
      <c r="AO31" s="98">
        <v>1419.4702134793786</v>
      </c>
      <c r="AP31" s="158">
        <v>0.7023628235</v>
      </c>
      <c r="AQ31" s="100">
        <v>0.1968503937007874</v>
      </c>
      <c r="AR31" s="100">
        <v>0.5319148936170213</v>
      </c>
      <c r="AS31" s="98">
        <v>312.9540628143512</v>
      </c>
      <c r="AT31" s="98">
        <v>178.8308930367721</v>
      </c>
      <c r="AU31" s="98">
        <v>100.5923773331843</v>
      </c>
      <c r="AV31" s="98">
        <v>145.30010059237733</v>
      </c>
      <c r="AW31" s="98">
        <v>603.5542639991058</v>
      </c>
      <c r="AX31" s="98">
        <v>167.65396222197384</v>
      </c>
      <c r="AY31" s="98">
        <v>860.6236727394657</v>
      </c>
      <c r="AZ31" s="98">
        <v>547.6696099251145</v>
      </c>
      <c r="BA31" s="100" t="s">
        <v>660</v>
      </c>
      <c r="BB31" s="100" t="s">
        <v>660</v>
      </c>
      <c r="BC31" s="100" t="s">
        <v>660</v>
      </c>
      <c r="BD31" s="158">
        <v>0.5855282593</v>
      </c>
      <c r="BE31" s="158">
        <v>0.8356785583</v>
      </c>
      <c r="BF31" s="162">
        <v>1180</v>
      </c>
      <c r="BG31" s="162">
        <v>403</v>
      </c>
      <c r="BH31" s="162">
        <v>2152</v>
      </c>
      <c r="BI31" s="162">
        <v>1141</v>
      </c>
      <c r="BJ31" s="162">
        <v>482</v>
      </c>
      <c r="BK31" s="97"/>
      <c r="BL31" s="97"/>
      <c r="BM31" s="97"/>
      <c r="BN31" s="97"/>
    </row>
    <row r="32" spans="1:66" ht="12.75">
      <c r="A32" s="79" t="s">
        <v>638</v>
      </c>
      <c r="B32" s="79" t="s">
        <v>361</v>
      </c>
      <c r="C32" s="79" t="s">
        <v>173</v>
      </c>
      <c r="D32" s="99">
        <v>2083</v>
      </c>
      <c r="E32" s="99">
        <v>536</v>
      </c>
      <c r="F32" s="99" t="s">
        <v>399</v>
      </c>
      <c r="G32" s="99">
        <v>19</v>
      </c>
      <c r="H32" s="99">
        <v>9</v>
      </c>
      <c r="I32" s="99">
        <v>49</v>
      </c>
      <c r="J32" s="99">
        <v>256</v>
      </c>
      <c r="K32" s="99">
        <v>89</v>
      </c>
      <c r="L32" s="99">
        <v>399</v>
      </c>
      <c r="M32" s="99">
        <v>220</v>
      </c>
      <c r="N32" s="99">
        <v>114</v>
      </c>
      <c r="O32" s="99">
        <v>38</v>
      </c>
      <c r="P32" s="159">
        <v>38</v>
      </c>
      <c r="Q32" s="99">
        <v>9</v>
      </c>
      <c r="R32" s="99">
        <v>16</v>
      </c>
      <c r="S32" s="99">
        <v>9</v>
      </c>
      <c r="T32" s="99" t="s">
        <v>660</v>
      </c>
      <c r="U32" s="99" t="s">
        <v>660</v>
      </c>
      <c r="V32" s="99">
        <v>8</v>
      </c>
      <c r="W32" s="99">
        <v>18</v>
      </c>
      <c r="X32" s="99" t="s">
        <v>660</v>
      </c>
      <c r="Y32" s="99">
        <v>27</v>
      </c>
      <c r="Z32" s="99" t="s">
        <v>660</v>
      </c>
      <c r="AA32" s="99" t="s">
        <v>660</v>
      </c>
      <c r="AB32" s="99" t="s">
        <v>660</v>
      </c>
      <c r="AC32" s="99" t="s">
        <v>660</v>
      </c>
      <c r="AD32" s="98" t="s">
        <v>376</v>
      </c>
      <c r="AE32" s="100">
        <v>0.257321171387422</v>
      </c>
      <c r="AF32" s="100">
        <v>0.06</v>
      </c>
      <c r="AG32" s="98">
        <v>912.1459433509361</v>
      </c>
      <c r="AH32" s="98">
        <v>432.06913106096977</v>
      </c>
      <c r="AI32" s="100">
        <v>0.024</v>
      </c>
      <c r="AJ32" s="100">
        <v>0.729345</v>
      </c>
      <c r="AK32" s="100">
        <v>0.747899</v>
      </c>
      <c r="AL32" s="100">
        <v>0.859914</v>
      </c>
      <c r="AM32" s="100">
        <v>0.643275</v>
      </c>
      <c r="AN32" s="100">
        <v>0.721519</v>
      </c>
      <c r="AO32" s="98">
        <v>1824.2918867018723</v>
      </c>
      <c r="AP32" s="158">
        <v>0.766578064</v>
      </c>
      <c r="AQ32" s="100">
        <v>0.23684210526315788</v>
      </c>
      <c r="AR32" s="100">
        <v>0.5625</v>
      </c>
      <c r="AS32" s="98">
        <v>432.06913106096977</v>
      </c>
      <c r="AT32" s="98" t="s">
        <v>660</v>
      </c>
      <c r="AU32" s="98" t="s">
        <v>660</v>
      </c>
      <c r="AV32" s="98">
        <v>384.0614498319731</v>
      </c>
      <c r="AW32" s="98">
        <v>864.1382621219395</v>
      </c>
      <c r="AX32" s="98" t="s">
        <v>660</v>
      </c>
      <c r="AY32" s="98">
        <v>1296.2073931829093</v>
      </c>
      <c r="AZ32" s="98" t="s">
        <v>660</v>
      </c>
      <c r="BA32" s="100" t="s">
        <v>660</v>
      </c>
      <c r="BB32" s="100" t="s">
        <v>660</v>
      </c>
      <c r="BC32" s="100" t="s">
        <v>660</v>
      </c>
      <c r="BD32" s="158">
        <v>0.5424762726</v>
      </c>
      <c r="BE32" s="158">
        <v>1.052188339</v>
      </c>
      <c r="BF32" s="162">
        <v>351</v>
      </c>
      <c r="BG32" s="162">
        <v>119</v>
      </c>
      <c r="BH32" s="162">
        <v>464</v>
      </c>
      <c r="BI32" s="162">
        <v>342</v>
      </c>
      <c r="BJ32" s="162">
        <v>158</v>
      </c>
      <c r="BK32" s="97"/>
      <c r="BL32" s="97"/>
      <c r="BM32" s="97"/>
      <c r="BN32" s="97"/>
    </row>
    <row r="33" spans="1:66" ht="12.75">
      <c r="A33" s="79" t="s">
        <v>627</v>
      </c>
      <c r="B33" s="79" t="s">
        <v>350</v>
      </c>
      <c r="C33" s="79" t="s">
        <v>173</v>
      </c>
      <c r="D33" s="99">
        <v>4522</v>
      </c>
      <c r="E33" s="99">
        <v>646</v>
      </c>
      <c r="F33" s="99" t="s">
        <v>398</v>
      </c>
      <c r="G33" s="99">
        <v>23</v>
      </c>
      <c r="H33" s="99">
        <v>15</v>
      </c>
      <c r="I33" s="99">
        <v>58</v>
      </c>
      <c r="J33" s="99">
        <v>384</v>
      </c>
      <c r="K33" s="99">
        <v>163</v>
      </c>
      <c r="L33" s="99">
        <v>932</v>
      </c>
      <c r="M33" s="99">
        <v>275</v>
      </c>
      <c r="N33" s="99">
        <v>128</v>
      </c>
      <c r="O33" s="99">
        <v>73</v>
      </c>
      <c r="P33" s="159">
        <v>73</v>
      </c>
      <c r="Q33" s="99">
        <v>19</v>
      </c>
      <c r="R33" s="99">
        <v>34</v>
      </c>
      <c r="S33" s="99">
        <v>13</v>
      </c>
      <c r="T33" s="99">
        <v>7</v>
      </c>
      <c r="U33" s="99" t="s">
        <v>660</v>
      </c>
      <c r="V33" s="99">
        <v>13</v>
      </c>
      <c r="W33" s="99">
        <v>36</v>
      </c>
      <c r="X33" s="99">
        <v>11</v>
      </c>
      <c r="Y33" s="99">
        <v>55</v>
      </c>
      <c r="Z33" s="99">
        <v>28</v>
      </c>
      <c r="AA33" s="99" t="s">
        <v>660</v>
      </c>
      <c r="AB33" s="99" t="s">
        <v>660</v>
      </c>
      <c r="AC33" s="99" t="s">
        <v>660</v>
      </c>
      <c r="AD33" s="98" t="s">
        <v>376</v>
      </c>
      <c r="AE33" s="100">
        <v>0.14285714285714285</v>
      </c>
      <c r="AF33" s="100">
        <v>0.13</v>
      </c>
      <c r="AG33" s="98">
        <v>508.624502432552</v>
      </c>
      <c r="AH33" s="98">
        <v>331.71163202122955</v>
      </c>
      <c r="AI33" s="100">
        <v>0.013000000000000001</v>
      </c>
      <c r="AJ33" s="100">
        <v>0.75</v>
      </c>
      <c r="AK33" s="100">
        <v>0.795122</v>
      </c>
      <c r="AL33" s="100">
        <v>0.83964</v>
      </c>
      <c r="AM33" s="100">
        <v>0.548902</v>
      </c>
      <c r="AN33" s="100">
        <v>0.581818</v>
      </c>
      <c r="AO33" s="98">
        <v>1614.3299425033172</v>
      </c>
      <c r="AP33" s="158">
        <v>0.9203421783</v>
      </c>
      <c r="AQ33" s="100">
        <v>0.2602739726027397</v>
      </c>
      <c r="AR33" s="100">
        <v>0.5588235294117647</v>
      </c>
      <c r="AS33" s="98">
        <v>287.4834144183989</v>
      </c>
      <c r="AT33" s="98">
        <v>154.79876160990713</v>
      </c>
      <c r="AU33" s="98" t="s">
        <v>660</v>
      </c>
      <c r="AV33" s="98">
        <v>287.4834144183989</v>
      </c>
      <c r="AW33" s="98">
        <v>796.1079168509509</v>
      </c>
      <c r="AX33" s="98">
        <v>243.25519681556833</v>
      </c>
      <c r="AY33" s="98">
        <v>1216.2759840778417</v>
      </c>
      <c r="AZ33" s="98">
        <v>619.1950464396285</v>
      </c>
      <c r="BA33" s="100" t="s">
        <v>660</v>
      </c>
      <c r="BB33" s="100" t="s">
        <v>660</v>
      </c>
      <c r="BC33" s="100" t="s">
        <v>660</v>
      </c>
      <c r="BD33" s="158">
        <v>0.7214012909</v>
      </c>
      <c r="BE33" s="158">
        <v>1.157192078</v>
      </c>
      <c r="BF33" s="162">
        <v>512</v>
      </c>
      <c r="BG33" s="162">
        <v>205</v>
      </c>
      <c r="BH33" s="162">
        <v>1110</v>
      </c>
      <c r="BI33" s="162">
        <v>501</v>
      </c>
      <c r="BJ33" s="162">
        <v>220</v>
      </c>
      <c r="BK33" s="97"/>
      <c r="BL33" s="97"/>
      <c r="BM33" s="97"/>
      <c r="BN33" s="97"/>
    </row>
    <row r="34" spans="1:66" ht="12.75">
      <c r="A34" s="79" t="s">
        <v>569</v>
      </c>
      <c r="B34" s="79" t="s">
        <v>290</v>
      </c>
      <c r="C34" s="79" t="s">
        <v>173</v>
      </c>
      <c r="D34" s="99">
        <v>15653</v>
      </c>
      <c r="E34" s="99">
        <v>2973</v>
      </c>
      <c r="F34" s="99" t="s">
        <v>398</v>
      </c>
      <c r="G34" s="99">
        <v>77</v>
      </c>
      <c r="H34" s="99">
        <v>37</v>
      </c>
      <c r="I34" s="99">
        <v>264</v>
      </c>
      <c r="J34" s="99">
        <v>1586</v>
      </c>
      <c r="K34" s="99">
        <v>501</v>
      </c>
      <c r="L34" s="99">
        <v>3190</v>
      </c>
      <c r="M34" s="99">
        <v>1178</v>
      </c>
      <c r="N34" s="99">
        <v>482</v>
      </c>
      <c r="O34" s="99">
        <v>236</v>
      </c>
      <c r="P34" s="159">
        <v>236</v>
      </c>
      <c r="Q34" s="99">
        <v>30</v>
      </c>
      <c r="R34" s="99">
        <v>98</v>
      </c>
      <c r="S34" s="99">
        <v>44</v>
      </c>
      <c r="T34" s="99">
        <v>25</v>
      </c>
      <c r="U34" s="99">
        <v>11</v>
      </c>
      <c r="V34" s="99">
        <v>37</v>
      </c>
      <c r="W34" s="99">
        <v>129</v>
      </c>
      <c r="X34" s="99">
        <v>48</v>
      </c>
      <c r="Y34" s="99">
        <v>262</v>
      </c>
      <c r="Z34" s="99">
        <v>117</v>
      </c>
      <c r="AA34" s="99" t="s">
        <v>660</v>
      </c>
      <c r="AB34" s="99" t="s">
        <v>660</v>
      </c>
      <c r="AC34" s="99" t="s">
        <v>660</v>
      </c>
      <c r="AD34" s="98" t="s">
        <v>376</v>
      </c>
      <c r="AE34" s="100">
        <v>0.189931642496646</v>
      </c>
      <c r="AF34" s="100">
        <v>0.15</v>
      </c>
      <c r="AG34" s="98">
        <v>491.9184820801124</v>
      </c>
      <c r="AH34" s="98">
        <v>236.376413467067</v>
      </c>
      <c r="AI34" s="100">
        <v>0.017</v>
      </c>
      <c r="AJ34" s="100">
        <v>0.741121</v>
      </c>
      <c r="AK34" s="100">
        <v>0.73785</v>
      </c>
      <c r="AL34" s="100">
        <v>0.828356</v>
      </c>
      <c r="AM34" s="100">
        <v>0.577168</v>
      </c>
      <c r="AN34" s="100">
        <v>0.585662</v>
      </c>
      <c r="AO34" s="98">
        <v>1507.698204816968</v>
      </c>
      <c r="AP34" s="158">
        <v>0.7419010925</v>
      </c>
      <c r="AQ34" s="100">
        <v>0.1271186440677966</v>
      </c>
      <c r="AR34" s="100">
        <v>0.30612244897959184</v>
      </c>
      <c r="AS34" s="98">
        <v>281.09627547434997</v>
      </c>
      <c r="AT34" s="98">
        <v>159.7137928831534</v>
      </c>
      <c r="AU34" s="98">
        <v>70.27406886858749</v>
      </c>
      <c r="AV34" s="98">
        <v>236.376413467067</v>
      </c>
      <c r="AW34" s="98">
        <v>824.1231712770715</v>
      </c>
      <c r="AX34" s="98">
        <v>306.6504823356545</v>
      </c>
      <c r="AY34" s="98">
        <v>1673.8005494154474</v>
      </c>
      <c r="AZ34" s="98">
        <v>747.4605506931579</v>
      </c>
      <c r="BA34" s="100" t="s">
        <v>660</v>
      </c>
      <c r="BB34" s="100" t="s">
        <v>660</v>
      </c>
      <c r="BC34" s="100" t="s">
        <v>660</v>
      </c>
      <c r="BD34" s="158">
        <v>0.6502590942</v>
      </c>
      <c r="BE34" s="158">
        <v>0.8428404236</v>
      </c>
      <c r="BF34" s="162">
        <v>2140</v>
      </c>
      <c r="BG34" s="162">
        <v>679</v>
      </c>
      <c r="BH34" s="162">
        <v>3851</v>
      </c>
      <c r="BI34" s="162">
        <v>2041</v>
      </c>
      <c r="BJ34" s="162">
        <v>823</v>
      </c>
      <c r="BK34" s="97"/>
      <c r="BL34" s="97"/>
      <c r="BM34" s="97"/>
      <c r="BN34" s="97"/>
    </row>
    <row r="35" spans="1:66" ht="12.75">
      <c r="A35" s="79" t="s">
        <v>624</v>
      </c>
      <c r="B35" s="79" t="s">
        <v>347</v>
      </c>
      <c r="C35" s="79" t="s">
        <v>173</v>
      </c>
      <c r="D35" s="99">
        <v>9059</v>
      </c>
      <c r="E35" s="99">
        <v>1287</v>
      </c>
      <c r="F35" s="99" t="s">
        <v>397</v>
      </c>
      <c r="G35" s="99">
        <v>42</v>
      </c>
      <c r="H35" s="99">
        <v>12</v>
      </c>
      <c r="I35" s="99">
        <v>143</v>
      </c>
      <c r="J35" s="99">
        <v>955</v>
      </c>
      <c r="K35" s="99">
        <v>347</v>
      </c>
      <c r="L35" s="99">
        <v>1948</v>
      </c>
      <c r="M35" s="99">
        <v>603</v>
      </c>
      <c r="N35" s="99">
        <v>286</v>
      </c>
      <c r="O35" s="99">
        <v>119</v>
      </c>
      <c r="P35" s="159">
        <v>119</v>
      </c>
      <c r="Q35" s="99">
        <v>20</v>
      </c>
      <c r="R35" s="99">
        <v>40</v>
      </c>
      <c r="S35" s="99">
        <v>26</v>
      </c>
      <c r="T35" s="99">
        <v>17</v>
      </c>
      <c r="U35" s="99">
        <v>10</v>
      </c>
      <c r="V35" s="99">
        <v>19</v>
      </c>
      <c r="W35" s="99">
        <v>61</v>
      </c>
      <c r="X35" s="99">
        <v>27</v>
      </c>
      <c r="Y35" s="99">
        <v>95</v>
      </c>
      <c r="Z35" s="99">
        <v>56</v>
      </c>
      <c r="AA35" s="99" t="s">
        <v>660</v>
      </c>
      <c r="AB35" s="99" t="s">
        <v>660</v>
      </c>
      <c r="AC35" s="99" t="s">
        <v>660</v>
      </c>
      <c r="AD35" s="98" t="s">
        <v>376</v>
      </c>
      <c r="AE35" s="100">
        <v>0.1420686610001104</v>
      </c>
      <c r="AF35" s="100">
        <v>0.1</v>
      </c>
      <c r="AG35" s="98">
        <v>463.6273319350922</v>
      </c>
      <c r="AH35" s="98">
        <v>132.4649519814549</v>
      </c>
      <c r="AI35" s="100">
        <v>0.016</v>
      </c>
      <c r="AJ35" s="100">
        <v>0.769541</v>
      </c>
      <c r="AK35" s="100">
        <v>0.810748</v>
      </c>
      <c r="AL35" s="100">
        <v>0.827528</v>
      </c>
      <c r="AM35" s="100">
        <v>0.564079</v>
      </c>
      <c r="AN35" s="100">
        <v>0.595833</v>
      </c>
      <c r="AO35" s="98">
        <v>1313.6107738160945</v>
      </c>
      <c r="AP35" s="158">
        <v>0.7104370117000001</v>
      </c>
      <c r="AQ35" s="100">
        <v>0.16806722689075632</v>
      </c>
      <c r="AR35" s="100">
        <v>0.5</v>
      </c>
      <c r="AS35" s="98">
        <v>287.00739595981895</v>
      </c>
      <c r="AT35" s="98">
        <v>187.6586819737278</v>
      </c>
      <c r="AU35" s="98">
        <v>110.38745998454576</v>
      </c>
      <c r="AV35" s="98">
        <v>209.73617397063694</v>
      </c>
      <c r="AW35" s="98">
        <v>673.3635059057291</v>
      </c>
      <c r="AX35" s="98">
        <v>298.04614195827355</v>
      </c>
      <c r="AY35" s="98">
        <v>1048.6808698531847</v>
      </c>
      <c r="AZ35" s="98">
        <v>618.1697759134562</v>
      </c>
      <c r="BA35" s="100" t="s">
        <v>660</v>
      </c>
      <c r="BB35" s="100" t="s">
        <v>660</v>
      </c>
      <c r="BC35" s="100" t="s">
        <v>660</v>
      </c>
      <c r="BD35" s="158">
        <v>0.5885381317</v>
      </c>
      <c r="BE35" s="158">
        <v>0.8501437378</v>
      </c>
      <c r="BF35" s="162">
        <v>1241</v>
      </c>
      <c r="BG35" s="162">
        <v>428</v>
      </c>
      <c r="BH35" s="162">
        <v>2354</v>
      </c>
      <c r="BI35" s="162">
        <v>1069</v>
      </c>
      <c r="BJ35" s="162">
        <v>480</v>
      </c>
      <c r="BK35" s="97"/>
      <c r="BL35" s="97"/>
      <c r="BM35" s="97"/>
      <c r="BN35" s="97"/>
    </row>
    <row r="36" spans="1:66" ht="12.75">
      <c r="A36" s="79" t="s">
        <v>641</v>
      </c>
      <c r="B36" s="79" t="s">
        <v>364</v>
      </c>
      <c r="C36" s="79" t="s">
        <v>173</v>
      </c>
      <c r="D36" s="99">
        <v>1759</v>
      </c>
      <c r="E36" s="99">
        <v>252</v>
      </c>
      <c r="F36" s="99" t="s">
        <v>396</v>
      </c>
      <c r="G36" s="99" t="s">
        <v>660</v>
      </c>
      <c r="H36" s="99" t="s">
        <v>660</v>
      </c>
      <c r="I36" s="99">
        <v>11</v>
      </c>
      <c r="J36" s="99">
        <v>138</v>
      </c>
      <c r="K36" s="99">
        <v>48</v>
      </c>
      <c r="L36" s="99">
        <v>332</v>
      </c>
      <c r="M36" s="99">
        <v>88</v>
      </c>
      <c r="N36" s="99">
        <v>42</v>
      </c>
      <c r="O36" s="99" t="s">
        <v>660</v>
      </c>
      <c r="P36" s="159" t="s">
        <v>660</v>
      </c>
      <c r="Q36" s="99" t="s">
        <v>660</v>
      </c>
      <c r="R36" s="99">
        <v>9</v>
      </c>
      <c r="S36" s="99" t="s">
        <v>660</v>
      </c>
      <c r="T36" s="99" t="s">
        <v>660</v>
      </c>
      <c r="U36" s="99" t="s">
        <v>660</v>
      </c>
      <c r="V36" s="99" t="s">
        <v>660</v>
      </c>
      <c r="W36" s="99">
        <v>9</v>
      </c>
      <c r="X36" s="99">
        <v>6</v>
      </c>
      <c r="Y36" s="99">
        <v>7</v>
      </c>
      <c r="Z36" s="99">
        <v>15</v>
      </c>
      <c r="AA36" s="99" t="s">
        <v>660</v>
      </c>
      <c r="AB36" s="99" t="s">
        <v>660</v>
      </c>
      <c r="AC36" s="99" t="s">
        <v>660</v>
      </c>
      <c r="AD36" s="98" t="s">
        <v>376</v>
      </c>
      <c r="AE36" s="100">
        <v>0.14326321773735076</v>
      </c>
      <c r="AF36" s="100">
        <v>0.2</v>
      </c>
      <c r="AG36" s="98" t="s">
        <v>660</v>
      </c>
      <c r="AH36" s="98" t="s">
        <v>660</v>
      </c>
      <c r="AI36" s="100">
        <v>0.006</v>
      </c>
      <c r="AJ36" s="100">
        <v>0.704082</v>
      </c>
      <c r="AK36" s="100">
        <v>0.738462</v>
      </c>
      <c r="AL36" s="100">
        <v>0.838384</v>
      </c>
      <c r="AM36" s="100">
        <v>0.455959</v>
      </c>
      <c r="AN36" s="100">
        <v>0.466667</v>
      </c>
      <c r="AO36" s="98" t="s">
        <v>660</v>
      </c>
      <c r="AP36" s="158" t="s">
        <v>660</v>
      </c>
      <c r="AQ36" s="100" t="s">
        <v>660</v>
      </c>
      <c r="AR36" s="100" t="s">
        <v>660</v>
      </c>
      <c r="AS36" s="98" t="s">
        <v>660</v>
      </c>
      <c r="AT36" s="98" t="s">
        <v>660</v>
      </c>
      <c r="AU36" s="98" t="s">
        <v>660</v>
      </c>
      <c r="AV36" s="98" t="s">
        <v>660</v>
      </c>
      <c r="AW36" s="98">
        <v>511.654349061967</v>
      </c>
      <c r="AX36" s="98">
        <v>341.10289937464466</v>
      </c>
      <c r="AY36" s="98">
        <v>397.9533826037521</v>
      </c>
      <c r="AZ36" s="98">
        <v>852.7572484366117</v>
      </c>
      <c r="BA36" s="100" t="s">
        <v>660</v>
      </c>
      <c r="BB36" s="100" t="s">
        <v>660</v>
      </c>
      <c r="BC36" s="100" t="s">
        <v>660</v>
      </c>
      <c r="BD36" s="158" t="s">
        <v>660</v>
      </c>
      <c r="BE36" s="158" t="s">
        <v>660</v>
      </c>
      <c r="BF36" s="162">
        <v>196</v>
      </c>
      <c r="BG36" s="162">
        <v>65</v>
      </c>
      <c r="BH36" s="162">
        <v>396</v>
      </c>
      <c r="BI36" s="162">
        <v>193</v>
      </c>
      <c r="BJ36" s="162">
        <v>90</v>
      </c>
      <c r="BK36" s="97"/>
      <c r="BL36" s="97"/>
      <c r="BM36" s="97"/>
      <c r="BN36" s="97"/>
    </row>
    <row r="37" spans="1:66" ht="12.75">
      <c r="A37" s="79" t="s">
        <v>648</v>
      </c>
      <c r="B37" s="79" t="s">
        <v>371</v>
      </c>
      <c r="C37" s="79" t="s">
        <v>173</v>
      </c>
      <c r="D37" s="99">
        <v>4036</v>
      </c>
      <c r="E37" s="99">
        <v>874</v>
      </c>
      <c r="F37" s="99" t="s">
        <v>396</v>
      </c>
      <c r="G37" s="99">
        <v>27</v>
      </c>
      <c r="H37" s="99">
        <v>22</v>
      </c>
      <c r="I37" s="99">
        <v>74</v>
      </c>
      <c r="J37" s="99">
        <v>425</v>
      </c>
      <c r="K37" s="99">
        <v>138</v>
      </c>
      <c r="L37" s="99">
        <v>677</v>
      </c>
      <c r="M37" s="99">
        <v>306</v>
      </c>
      <c r="N37" s="99">
        <v>151</v>
      </c>
      <c r="O37" s="99">
        <v>34</v>
      </c>
      <c r="P37" s="159">
        <v>34</v>
      </c>
      <c r="Q37" s="99">
        <v>8</v>
      </c>
      <c r="R37" s="99">
        <v>28</v>
      </c>
      <c r="S37" s="99">
        <v>8</v>
      </c>
      <c r="T37" s="99" t="s">
        <v>660</v>
      </c>
      <c r="U37" s="99" t="s">
        <v>660</v>
      </c>
      <c r="V37" s="99" t="s">
        <v>660</v>
      </c>
      <c r="W37" s="99">
        <v>26</v>
      </c>
      <c r="X37" s="99">
        <v>13</v>
      </c>
      <c r="Y37" s="99">
        <v>36</v>
      </c>
      <c r="Z37" s="99">
        <v>45</v>
      </c>
      <c r="AA37" s="99" t="s">
        <v>660</v>
      </c>
      <c r="AB37" s="99" t="s">
        <v>660</v>
      </c>
      <c r="AC37" s="99" t="s">
        <v>660</v>
      </c>
      <c r="AD37" s="98" t="s">
        <v>376</v>
      </c>
      <c r="AE37" s="100">
        <v>0.21655104063429137</v>
      </c>
      <c r="AF37" s="100">
        <v>0.19</v>
      </c>
      <c r="AG37" s="98">
        <v>668.9791873141725</v>
      </c>
      <c r="AH37" s="98">
        <v>545.0941526263628</v>
      </c>
      <c r="AI37" s="100">
        <v>0.018000000000000002</v>
      </c>
      <c r="AJ37" s="100">
        <v>0.758929</v>
      </c>
      <c r="AK37" s="100">
        <v>0.75</v>
      </c>
      <c r="AL37" s="100">
        <v>0.75558</v>
      </c>
      <c r="AM37" s="100">
        <v>0.538732</v>
      </c>
      <c r="AN37" s="100">
        <v>0.616327</v>
      </c>
      <c r="AO37" s="98">
        <v>842.4182358771061</v>
      </c>
      <c r="AP37" s="158">
        <v>0.3961843109</v>
      </c>
      <c r="AQ37" s="100">
        <v>0.23529411764705882</v>
      </c>
      <c r="AR37" s="100">
        <v>0.2857142857142857</v>
      </c>
      <c r="AS37" s="98">
        <v>198.21605550049554</v>
      </c>
      <c r="AT37" s="98" t="s">
        <v>660</v>
      </c>
      <c r="AU37" s="98" t="s">
        <v>660</v>
      </c>
      <c r="AV37" s="98" t="s">
        <v>660</v>
      </c>
      <c r="AW37" s="98">
        <v>644.2021803766105</v>
      </c>
      <c r="AX37" s="98">
        <v>322.10109018830525</v>
      </c>
      <c r="AY37" s="98">
        <v>891.9722497522299</v>
      </c>
      <c r="AZ37" s="98">
        <v>1114.9653121902875</v>
      </c>
      <c r="BA37" s="100" t="s">
        <v>660</v>
      </c>
      <c r="BB37" s="100" t="s">
        <v>660</v>
      </c>
      <c r="BC37" s="100" t="s">
        <v>660</v>
      </c>
      <c r="BD37" s="158">
        <v>0.2743691635</v>
      </c>
      <c r="BE37" s="158">
        <v>0.5536278534</v>
      </c>
      <c r="BF37" s="162">
        <v>560</v>
      </c>
      <c r="BG37" s="162">
        <v>184</v>
      </c>
      <c r="BH37" s="162">
        <v>896</v>
      </c>
      <c r="BI37" s="162">
        <v>568</v>
      </c>
      <c r="BJ37" s="162">
        <v>245</v>
      </c>
      <c r="BK37" s="97"/>
      <c r="BL37" s="97"/>
      <c r="BM37" s="97"/>
      <c r="BN37" s="97"/>
    </row>
    <row r="38" spans="1:66" ht="12.75">
      <c r="A38" s="79" t="s">
        <v>592</v>
      </c>
      <c r="B38" s="79" t="s">
        <v>313</v>
      </c>
      <c r="C38" s="79" t="s">
        <v>173</v>
      </c>
      <c r="D38" s="99">
        <v>10163</v>
      </c>
      <c r="E38" s="99">
        <v>1874</v>
      </c>
      <c r="F38" s="99" t="s">
        <v>396</v>
      </c>
      <c r="G38" s="99">
        <v>54</v>
      </c>
      <c r="H38" s="99">
        <v>30</v>
      </c>
      <c r="I38" s="99">
        <v>146</v>
      </c>
      <c r="J38" s="99">
        <v>1067</v>
      </c>
      <c r="K38" s="99">
        <v>362</v>
      </c>
      <c r="L38" s="99">
        <v>1957</v>
      </c>
      <c r="M38" s="99">
        <v>783</v>
      </c>
      <c r="N38" s="99">
        <v>351</v>
      </c>
      <c r="O38" s="99">
        <v>168</v>
      </c>
      <c r="P38" s="159">
        <v>168</v>
      </c>
      <c r="Q38" s="99">
        <v>21</v>
      </c>
      <c r="R38" s="99">
        <v>48</v>
      </c>
      <c r="S38" s="99">
        <v>25</v>
      </c>
      <c r="T38" s="99">
        <v>21</v>
      </c>
      <c r="U38" s="99">
        <v>10</v>
      </c>
      <c r="V38" s="99">
        <v>33</v>
      </c>
      <c r="W38" s="99">
        <v>63</v>
      </c>
      <c r="X38" s="99">
        <v>26</v>
      </c>
      <c r="Y38" s="99">
        <v>114</v>
      </c>
      <c r="Z38" s="99">
        <v>81</v>
      </c>
      <c r="AA38" s="99" t="s">
        <v>660</v>
      </c>
      <c r="AB38" s="99" t="s">
        <v>660</v>
      </c>
      <c r="AC38" s="99" t="s">
        <v>660</v>
      </c>
      <c r="AD38" s="98" t="s">
        <v>376</v>
      </c>
      <c r="AE38" s="100">
        <v>0.18439437174062775</v>
      </c>
      <c r="AF38" s="100">
        <v>0.17</v>
      </c>
      <c r="AG38" s="98">
        <v>531.339171504477</v>
      </c>
      <c r="AH38" s="98">
        <v>295.1884286135983</v>
      </c>
      <c r="AI38" s="100">
        <v>0.013999999999999999</v>
      </c>
      <c r="AJ38" s="100">
        <v>0.764875</v>
      </c>
      <c r="AK38" s="100">
        <v>0.800885</v>
      </c>
      <c r="AL38" s="100">
        <v>0.806013</v>
      </c>
      <c r="AM38" s="100">
        <v>0.596344</v>
      </c>
      <c r="AN38" s="100">
        <v>0.591906</v>
      </c>
      <c r="AO38" s="98">
        <v>1653.0552002361508</v>
      </c>
      <c r="AP38" s="158">
        <v>0.8326365662</v>
      </c>
      <c r="AQ38" s="100">
        <v>0.125</v>
      </c>
      <c r="AR38" s="100">
        <v>0.4375</v>
      </c>
      <c r="AS38" s="98">
        <v>245.99035717799862</v>
      </c>
      <c r="AT38" s="98">
        <v>206.63190002951885</v>
      </c>
      <c r="AU38" s="98">
        <v>98.39614287119944</v>
      </c>
      <c r="AV38" s="98">
        <v>324.7072714749582</v>
      </c>
      <c r="AW38" s="98">
        <v>619.8957000885565</v>
      </c>
      <c r="AX38" s="98">
        <v>255.82997146511858</v>
      </c>
      <c r="AY38" s="98">
        <v>1121.7160287316738</v>
      </c>
      <c r="AZ38" s="98">
        <v>797.0087572567155</v>
      </c>
      <c r="BA38" s="100" t="s">
        <v>660</v>
      </c>
      <c r="BB38" s="100" t="s">
        <v>660</v>
      </c>
      <c r="BC38" s="100" t="s">
        <v>660</v>
      </c>
      <c r="BD38" s="158">
        <v>0.7114878082</v>
      </c>
      <c r="BE38" s="158">
        <v>0.9685004425</v>
      </c>
      <c r="BF38" s="162">
        <v>1395</v>
      </c>
      <c r="BG38" s="162">
        <v>452</v>
      </c>
      <c r="BH38" s="162">
        <v>2428</v>
      </c>
      <c r="BI38" s="162">
        <v>1313</v>
      </c>
      <c r="BJ38" s="162">
        <v>593</v>
      </c>
      <c r="BK38" s="97"/>
      <c r="BL38" s="97"/>
      <c r="BM38" s="97"/>
      <c r="BN38" s="97"/>
    </row>
    <row r="39" spans="1:66" ht="12.75">
      <c r="A39" s="79" t="s">
        <v>603</v>
      </c>
      <c r="B39" s="79" t="s">
        <v>324</v>
      </c>
      <c r="C39" s="79" t="s">
        <v>173</v>
      </c>
      <c r="D39" s="99">
        <v>5586</v>
      </c>
      <c r="E39" s="99">
        <v>1445</v>
      </c>
      <c r="F39" s="99" t="s">
        <v>398</v>
      </c>
      <c r="G39" s="99">
        <v>49</v>
      </c>
      <c r="H39" s="99">
        <v>28</v>
      </c>
      <c r="I39" s="99">
        <v>86</v>
      </c>
      <c r="J39" s="99">
        <v>670</v>
      </c>
      <c r="K39" s="99">
        <v>230</v>
      </c>
      <c r="L39" s="99">
        <v>880</v>
      </c>
      <c r="M39" s="99">
        <v>551</v>
      </c>
      <c r="N39" s="99">
        <v>234</v>
      </c>
      <c r="O39" s="99">
        <v>92</v>
      </c>
      <c r="P39" s="159">
        <v>92</v>
      </c>
      <c r="Q39" s="99">
        <v>12</v>
      </c>
      <c r="R39" s="99">
        <v>57</v>
      </c>
      <c r="S39" s="99">
        <v>14</v>
      </c>
      <c r="T39" s="99">
        <v>13</v>
      </c>
      <c r="U39" s="99" t="s">
        <v>660</v>
      </c>
      <c r="V39" s="99">
        <v>12</v>
      </c>
      <c r="W39" s="99">
        <v>66</v>
      </c>
      <c r="X39" s="99">
        <v>16</v>
      </c>
      <c r="Y39" s="99">
        <v>107</v>
      </c>
      <c r="Z39" s="99">
        <v>69</v>
      </c>
      <c r="AA39" s="99" t="s">
        <v>660</v>
      </c>
      <c r="AB39" s="99" t="s">
        <v>660</v>
      </c>
      <c r="AC39" s="99" t="s">
        <v>660</v>
      </c>
      <c r="AD39" s="98" t="s">
        <v>376</v>
      </c>
      <c r="AE39" s="100">
        <v>0.2586824203365557</v>
      </c>
      <c r="AF39" s="100">
        <v>0.15</v>
      </c>
      <c r="AG39" s="98">
        <v>877.1929824561404</v>
      </c>
      <c r="AH39" s="98">
        <v>501.2531328320802</v>
      </c>
      <c r="AI39" s="100">
        <v>0.015</v>
      </c>
      <c r="AJ39" s="100">
        <v>0.751964</v>
      </c>
      <c r="AK39" s="100">
        <v>0.779661</v>
      </c>
      <c r="AL39" s="100">
        <v>0.699523</v>
      </c>
      <c r="AM39" s="100">
        <v>0.595032</v>
      </c>
      <c r="AN39" s="100">
        <v>0.593909</v>
      </c>
      <c r="AO39" s="98">
        <v>1646.9745793054065</v>
      </c>
      <c r="AP39" s="158">
        <v>0.7018991089</v>
      </c>
      <c r="AQ39" s="100">
        <v>0.13043478260869565</v>
      </c>
      <c r="AR39" s="100">
        <v>0.21052631578947367</v>
      </c>
      <c r="AS39" s="98">
        <v>250.6265664160401</v>
      </c>
      <c r="AT39" s="98">
        <v>232.7246688148944</v>
      </c>
      <c r="AU39" s="98" t="s">
        <v>660</v>
      </c>
      <c r="AV39" s="98">
        <v>214.82277121374867</v>
      </c>
      <c r="AW39" s="98">
        <v>1181.5252416756175</v>
      </c>
      <c r="AX39" s="98">
        <v>286.4303616183315</v>
      </c>
      <c r="AY39" s="98">
        <v>1915.5030433225922</v>
      </c>
      <c r="AZ39" s="98">
        <v>1235.2309344790547</v>
      </c>
      <c r="BA39" s="100" t="s">
        <v>660</v>
      </c>
      <c r="BB39" s="100" t="s">
        <v>660</v>
      </c>
      <c r="BC39" s="100" t="s">
        <v>660</v>
      </c>
      <c r="BD39" s="158">
        <v>0.5658297348</v>
      </c>
      <c r="BE39" s="158">
        <v>0.8608168793000001</v>
      </c>
      <c r="BF39" s="162">
        <v>891</v>
      </c>
      <c r="BG39" s="162">
        <v>295</v>
      </c>
      <c r="BH39" s="162">
        <v>1258</v>
      </c>
      <c r="BI39" s="162">
        <v>926</v>
      </c>
      <c r="BJ39" s="162">
        <v>394</v>
      </c>
      <c r="BK39" s="97"/>
      <c r="BL39" s="97"/>
      <c r="BM39" s="97"/>
      <c r="BN39" s="97"/>
    </row>
    <row r="40" spans="1:66" ht="12.75">
      <c r="A40" s="79" t="s">
        <v>605</v>
      </c>
      <c r="B40" s="79" t="s">
        <v>326</v>
      </c>
      <c r="C40" s="79" t="s">
        <v>173</v>
      </c>
      <c r="D40" s="99">
        <v>7289</v>
      </c>
      <c r="E40" s="99">
        <v>1530</v>
      </c>
      <c r="F40" s="99" t="s">
        <v>398</v>
      </c>
      <c r="G40" s="99">
        <v>43</v>
      </c>
      <c r="H40" s="99">
        <v>28</v>
      </c>
      <c r="I40" s="99">
        <v>164</v>
      </c>
      <c r="J40" s="99">
        <v>680</v>
      </c>
      <c r="K40" s="99">
        <v>231</v>
      </c>
      <c r="L40" s="99">
        <v>1368</v>
      </c>
      <c r="M40" s="99">
        <v>500</v>
      </c>
      <c r="N40" s="99">
        <v>204</v>
      </c>
      <c r="O40" s="99">
        <v>116</v>
      </c>
      <c r="P40" s="159">
        <v>116</v>
      </c>
      <c r="Q40" s="99">
        <v>21</v>
      </c>
      <c r="R40" s="99">
        <v>47</v>
      </c>
      <c r="S40" s="99">
        <v>27</v>
      </c>
      <c r="T40" s="99">
        <v>18</v>
      </c>
      <c r="U40" s="99" t="s">
        <v>660</v>
      </c>
      <c r="V40" s="99">
        <v>10</v>
      </c>
      <c r="W40" s="99">
        <v>48</v>
      </c>
      <c r="X40" s="99">
        <v>19</v>
      </c>
      <c r="Y40" s="99">
        <v>115</v>
      </c>
      <c r="Z40" s="99">
        <v>76</v>
      </c>
      <c r="AA40" s="99" t="s">
        <v>660</v>
      </c>
      <c r="AB40" s="99" t="s">
        <v>660</v>
      </c>
      <c r="AC40" s="99" t="s">
        <v>660</v>
      </c>
      <c r="AD40" s="98" t="s">
        <v>376</v>
      </c>
      <c r="AE40" s="100">
        <v>0.20990533680889012</v>
      </c>
      <c r="AF40" s="100">
        <v>0.16</v>
      </c>
      <c r="AG40" s="98">
        <v>589.930031554397</v>
      </c>
      <c r="AH40" s="98">
        <v>384.1404856633283</v>
      </c>
      <c r="AI40" s="100">
        <v>0.022000000000000002</v>
      </c>
      <c r="AJ40" s="100">
        <v>0.752212</v>
      </c>
      <c r="AK40" s="100">
        <v>0.777778</v>
      </c>
      <c r="AL40" s="100">
        <v>0.804233</v>
      </c>
      <c r="AM40" s="100">
        <v>0.553097</v>
      </c>
      <c r="AN40" s="100">
        <v>0.566667</v>
      </c>
      <c r="AO40" s="98">
        <v>1591.4391548909316</v>
      </c>
      <c r="AP40" s="158">
        <v>0.7692115020999999</v>
      </c>
      <c r="AQ40" s="100">
        <v>0.1810344827586207</v>
      </c>
      <c r="AR40" s="100">
        <v>0.44680851063829785</v>
      </c>
      <c r="AS40" s="98">
        <v>370.42118260392374</v>
      </c>
      <c r="AT40" s="98">
        <v>246.94745506928248</v>
      </c>
      <c r="AU40" s="98" t="s">
        <v>660</v>
      </c>
      <c r="AV40" s="98">
        <v>137.1930305940458</v>
      </c>
      <c r="AW40" s="98">
        <v>658.52654685142</v>
      </c>
      <c r="AX40" s="98">
        <v>260.66675812868704</v>
      </c>
      <c r="AY40" s="98">
        <v>1577.719851831527</v>
      </c>
      <c r="AZ40" s="98">
        <v>1042.6670325147481</v>
      </c>
      <c r="BA40" s="100" t="s">
        <v>660</v>
      </c>
      <c r="BB40" s="100" t="s">
        <v>660</v>
      </c>
      <c r="BC40" s="100" t="s">
        <v>660</v>
      </c>
      <c r="BD40" s="158">
        <v>0.6356143188</v>
      </c>
      <c r="BE40" s="158">
        <v>0.9225959014999999</v>
      </c>
      <c r="BF40" s="162">
        <v>904</v>
      </c>
      <c r="BG40" s="162">
        <v>297</v>
      </c>
      <c r="BH40" s="162">
        <v>1701</v>
      </c>
      <c r="BI40" s="162">
        <v>904</v>
      </c>
      <c r="BJ40" s="162">
        <v>360</v>
      </c>
      <c r="BK40" s="97"/>
      <c r="BL40" s="97"/>
      <c r="BM40" s="97"/>
      <c r="BN40" s="97"/>
    </row>
    <row r="41" spans="1:66" ht="12.75">
      <c r="A41" s="79" t="s">
        <v>595</v>
      </c>
      <c r="B41" s="79" t="s">
        <v>316</v>
      </c>
      <c r="C41" s="79" t="s">
        <v>173</v>
      </c>
      <c r="D41" s="99">
        <v>10392</v>
      </c>
      <c r="E41" s="99">
        <v>2105</v>
      </c>
      <c r="F41" s="99" t="s">
        <v>398</v>
      </c>
      <c r="G41" s="99">
        <v>54</v>
      </c>
      <c r="H41" s="99">
        <v>36</v>
      </c>
      <c r="I41" s="99">
        <v>203</v>
      </c>
      <c r="J41" s="99">
        <v>1086</v>
      </c>
      <c r="K41" s="99">
        <v>367</v>
      </c>
      <c r="L41" s="99">
        <v>2000</v>
      </c>
      <c r="M41" s="99">
        <v>737</v>
      </c>
      <c r="N41" s="99">
        <v>348</v>
      </c>
      <c r="O41" s="99">
        <v>114</v>
      </c>
      <c r="P41" s="159">
        <v>114</v>
      </c>
      <c r="Q41" s="99">
        <v>21</v>
      </c>
      <c r="R41" s="99">
        <v>55</v>
      </c>
      <c r="S41" s="99">
        <v>17</v>
      </c>
      <c r="T41" s="99">
        <v>24</v>
      </c>
      <c r="U41" s="99">
        <v>10</v>
      </c>
      <c r="V41" s="99">
        <v>6</v>
      </c>
      <c r="W41" s="99">
        <v>88</v>
      </c>
      <c r="X41" s="99">
        <v>26</v>
      </c>
      <c r="Y41" s="99">
        <v>161</v>
      </c>
      <c r="Z41" s="99">
        <v>72</v>
      </c>
      <c r="AA41" s="99" t="s">
        <v>660</v>
      </c>
      <c r="AB41" s="99" t="s">
        <v>660</v>
      </c>
      <c r="AC41" s="99" t="s">
        <v>660</v>
      </c>
      <c r="AD41" s="98" t="s">
        <v>376</v>
      </c>
      <c r="AE41" s="100">
        <v>0.2025596612779061</v>
      </c>
      <c r="AF41" s="100">
        <v>0.16</v>
      </c>
      <c r="AG41" s="98">
        <v>519.6304849884526</v>
      </c>
      <c r="AH41" s="98">
        <v>346.4203233256351</v>
      </c>
      <c r="AI41" s="100">
        <v>0.02</v>
      </c>
      <c r="AJ41" s="100">
        <v>0.735772</v>
      </c>
      <c r="AK41" s="100">
        <v>0.785867</v>
      </c>
      <c r="AL41" s="100">
        <v>0.826788</v>
      </c>
      <c r="AM41" s="100">
        <v>0.545522</v>
      </c>
      <c r="AN41" s="100">
        <v>0.558587</v>
      </c>
      <c r="AO41" s="98">
        <v>1096.9976905311778</v>
      </c>
      <c r="AP41" s="158">
        <v>0.5298698044000001</v>
      </c>
      <c r="AQ41" s="100">
        <v>0.18421052631578946</v>
      </c>
      <c r="AR41" s="100">
        <v>0.38181818181818183</v>
      </c>
      <c r="AS41" s="98">
        <v>163.58737490377214</v>
      </c>
      <c r="AT41" s="98">
        <v>230.94688221709006</v>
      </c>
      <c r="AU41" s="98">
        <v>96.2278675904542</v>
      </c>
      <c r="AV41" s="98">
        <v>57.736720554272516</v>
      </c>
      <c r="AW41" s="98">
        <v>846.805234795997</v>
      </c>
      <c r="AX41" s="98">
        <v>250.1924557351809</v>
      </c>
      <c r="AY41" s="98">
        <v>1549.2686682063124</v>
      </c>
      <c r="AZ41" s="98">
        <v>692.8406466512702</v>
      </c>
      <c r="BA41" s="100" t="s">
        <v>660</v>
      </c>
      <c r="BB41" s="100" t="s">
        <v>660</v>
      </c>
      <c r="BC41" s="100" t="s">
        <v>660</v>
      </c>
      <c r="BD41" s="158">
        <v>0.4370772171</v>
      </c>
      <c r="BE41" s="158">
        <v>0.6365354919</v>
      </c>
      <c r="BF41" s="162">
        <v>1476</v>
      </c>
      <c r="BG41" s="162">
        <v>467</v>
      </c>
      <c r="BH41" s="162">
        <v>2419</v>
      </c>
      <c r="BI41" s="162">
        <v>1351</v>
      </c>
      <c r="BJ41" s="162">
        <v>623</v>
      </c>
      <c r="BK41" s="97"/>
      <c r="BL41" s="97"/>
      <c r="BM41" s="97"/>
      <c r="BN41" s="97"/>
    </row>
    <row r="42" spans="1:66" ht="12.75">
      <c r="A42" s="79" t="s">
        <v>562</v>
      </c>
      <c r="B42" s="79" t="s">
        <v>283</v>
      </c>
      <c r="C42" s="79" t="s">
        <v>173</v>
      </c>
      <c r="D42" s="99">
        <v>8316</v>
      </c>
      <c r="E42" s="99">
        <v>1733</v>
      </c>
      <c r="F42" s="99" t="s">
        <v>398</v>
      </c>
      <c r="G42" s="99">
        <v>49</v>
      </c>
      <c r="H42" s="99">
        <v>23</v>
      </c>
      <c r="I42" s="99">
        <v>145</v>
      </c>
      <c r="J42" s="99">
        <v>927</v>
      </c>
      <c r="K42" s="99">
        <v>260</v>
      </c>
      <c r="L42" s="99">
        <v>1648</v>
      </c>
      <c r="M42" s="99">
        <v>659</v>
      </c>
      <c r="N42" s="99">
        <v>295</v>
      </c>
      <c r="O42" s="99">
        <v>161</v>
      </c>
      <c r="P42" s="159">
        <v>161</v>
      </c>
      <c r="Q42" s="99">
        <v>28</v>
      </c>
      <c r="R42" s="99">
        <v>52</v>
      </c>
      <c r="S42" s="99">
        <v>28</v>
      </c>
      <c r="T42" s="99">
        <v>23</v>
      </c>
      <c r="U42" s="99">
        <v>10</v>
      </c>
      <c r="V42" s="99">
        <v>17</v>
      </c>
      <c r="W42" s="99">
        <v>56</v>
      </c>
      <c r="X42" s="99">
        <v>17</v>
      </c>
      <c r="Y42" s="99">
        <v>98</v>
      </c>
      <c r="Z42" s="99">
        <v>74</v>
      </c>
      <c r="AA42" s="99" t="s">
        <v>660</v>
      </c>
      <c r="AB42" s="99" t="s">
        <v>660</v>
      </c>
      <c r="AC42" s="99" t="s">
        <v>660</v>
      </c>
      <c r="AD42" s="98" t="s">
        <v>376</v>
      </c>
      <c r="AE42" s="100">
        <v>0.20839345839345838</v>
      </c>
      <c r="AF42" s="100">
        <v>0.13</v>
      </c>
      <c r="AG42" s="98">
        <v>589.2255892255893</v>
      </c>
      <c r="AH42" s="98">
        <v>276.5752765752766</v>
      </c>
      <c r="AI42" s="100">
        <v>0.017</v>
      </c>
      <c r="AJ42" s="100">
        <v>0.77379</v>
      </c>
      <c r="AK42" s="100">
        <v>0.820189</v>
      </c>
      <c r="AL42" s="100">
        <v>0.827725</v>
      </c>
      <c r="AM42" s="100">
        <v>0.563248</v>
      </c>
      <c r="AN42" s="100">
        <v>0.598377</v>
      </c>
      <c r="AO42" s="98">
        <v>1936.026936026936</v>
      </c>
      <c r="AP42" s="158">
        <v>0.9128437805</v>
      </c>
      <c r="AQ42" s="100">
        <v>0.17391304347826086</v>
      </c>
      <c r="AR42" s="100">
        <v>0.5384615384615384</v>
      </c>
      <c r="AS42" s="98">
        <v>336.7003367003367</v>
      </c>
      <c r="AT42" s="98">
        <v>276.5752765752766</v>
      </c>
      <c r="AU42" s="98">
        <v>120.25012025012025</v>
      </c>
      <c r="AV42" s="98">
        <v>204.4252044252044</v>
      </c>
      <c r="AW42" s="98">
        <v>673.4006734006734</v>
      </c>
      <c r="AX42" s="98">
        <v>204.4252044252044</v>
      </c>
      <c r="AY42" s="98">
        <v>1178.4511784511785</v>
      </c>
      <c r="AZ42" s="98">
        <v>889.8508898508899</v>
      </c>
      <c r="BA42" s="100" t="s">
        <v>660</v>
      </c>
      <c r="BB42" s="100" t="s">
        <v>660</v>
      </c>
      <c r="BC42" s="100" t="s">
        <v>660</v>
      </c>
      <c r="BD42" s="158">
        <v>0.7772842407</v>
      </c>
      <c r="BE42" s="158">
        <v>1.0652462010000001</v>
      </c>
      <c r="BF42" s="162">
        <v>1198</v>
      </c>
      <c r="BG42" s="162">
        <v>317</v>
      </c>
      <c r="BH42" s="162">
        <v>1991</v>
      </c>
      <c r="BI42" s="162">
        <v>1170</v>
      </c>
      <c r="BJ42" s="162">
        <v>493</v>
      </c>
      <c r="BK42" s="97"/>
      <c r="BL42" s="97"/>
      <c r="BM42" s="97"/>
      <c r="BN42" s="97"/>
    </row>
    <row r="43" spans="1:66" ht="12.75">
      <c r="A43" s="79" t="s">
        <v>649</v>
      </c>
      <c r="B43" s="79" t="s">
        <v>372</v>
      </c>
      <c r="C43" s="79" t="s">
        <v>173</v>
      </c>
      <c r="D43" s="99">
        <v>3900</v>
      </c>
      <c r="E43" s="99">
        <v>621</v>
      </c>
      <c r="F43" s="99" t="s">
        <v>397</v>
      </c>
      <c r="G43" s="99">
        <v>14</v>
      </c>
      <c r="H43" s="99">
        <v>7</v>
      </c>
      <c r="I43" s="99">
        <v>65</v>
      </c>
      <c r="J43" s="99">
        <v>376</v>
      </c>
      <c r="K43" s="99">
        <v>147</v>
      </c>
      <c r="L43" s="99">
        <v>892</v>
      </c>
      <c r="M43" s="99">
        <v>295</v>
      </c>
      <c r="N43" s="99">
        <v>137</v>
      </c>
      <c r="O43" s="99">
        <v>54</v>
      </c>
      <c r="P43" s="159">
        <v>54</v>
      </c>
      <c r="Q43" s="99" t="s">
        <v>660</v>
      </c>
      <c r="R43" s="99">
        <v>14</v>
      </c>
      <c r="S43" s="99">
        <v>15</v>
      </c>
      <c r="T43" s="99" t="s">
        <v>660</v>
      </c>
      <c r="U43" s="99" t="s">
        <v>660</v>
      </c>
      <c r="V43" s="99">
        <v>7</v>
      </c>
      <c r="W43" s="99">
        <v>20</v>
      </c>
      <c r="X43" s="99">
        <v>8</v>
      </c>
      <c r="Y43" s="99">
        <v>34</v>
      </c>
      <c r="Z43" s="99">
        <v>19</v>
      </c>
      <c r="AA43" s="99" t="s">
        <v>660</v>
      </c>
      <c r="AB43" s="99" t="s">
        <v>660</v>
      </c>
      <c r="AC43" s="99" t="s">
        <v>660</v>
      </c>
      <c r="AD43" s="98" t="s">
        <v>376</v>
      </c>
      <c r="AE43" s="100">
        <v>0.15923076923076923</v>
      </c>
      <c r="AF43" s="100">
        <v>0.09</v>
      </c>
      <c r="AG43" s="98">
        <v>358.97435897435895</v>
      </c>
      <c r="AH43" s="98">
        <v>179.48717948717947</v>
      </c>
      <c r="AI43" s="100">
        <v>0.017</v>
      </c>
      <c r="AJ43" s="100">
        <v>0.768916</v>
      </c>
      <c r="AK43" s="100">
        <v>0.761658</v>
      </c>
      <c r="AL43" s="100">
        <v>0.924352</v>
      </c>
      <c r="AM43" s="100">
        <v>0.670455</v>
      </c>
      <c r="AN43" s="100">
        <v>0.73262</v>
      </c>
      <c r="AO43" s="98">
        <v>1384.6153846153845</v>
      </c>
      <c r="AP43" s="158">
        <v>0.7373129272</v>
      </c>
      <c r="AQ43" s="100" t="s">
        <v>660</v>
      </c>
      <c r="AR43" s="100" t="s">
        <v>660</v>
      </c>
      <c r="AS43" s="98">
        <v>384.61538461538464</v>
      </c>
      <c r="AT43" s="98" t="s">
        <v>660</v>
      </c>
      <c r="AU43" s="98" t="s">
        <v>660</v>
      </c>
      <c r="AV43" s="98">
        <v>179.48717948717947</v>
      </c>
      <c r="AW43" s="98">
        <v>512.8205128205128</v>
      </c>
      <c r="AX43" s="98">
        <v>205.12820512820514</v>
      </c>
      <c r="AY43" s="98">
        <v>871.7948717948718</v>
      </c>
      <c r="AZ43" s="98">
        <v>487.1794871794872</v>
      </c>
      <c r="BA43" s="100" t="s">
        <v>660</v>
      </c>
      <c r="BB43" s="100" t="s">
        <v>660</v>
      </c>
      <c r="BC43" s="100" t="s">
        <v>660</v>
      </c>
      <c r="BD43" s="158">
        <v>0.5538921356000001</v>
      </c>
      <c r="BE43" s="158">
        <v>0.9620333862</v>
      </c>
      <c r="BF43" s="162">
        <v>489</v>
      </c>
      <c r="BG43" s="162">
        <v>193</v>
      </c>
      <c r="BH43" s="162">
        <v>965</v>
      </c>
      <c r="BI43" s="162">
        <v>440</v>
      </c>
      <c r="BJ43" s="162">
        <v>187</v>
      </c>
      <c r="BK43" s="97"/>
      <c r="BL43" s="97"/>
      <c r="BM43" s="97"/>
      <c r="BN43" s="97"/>
    </row>
    <row r="44" spans="1:66" ht="12.75">
      <c r="A44" s="79" t="s">
        <v>639</v>
      </c>
      <c r="B44" s="79" t="s">
        <v>362</v>
      </c>
      <c r="C44" s="79" t="s">
        <v>173</v>
      </c>
      <c r="D44" s="99">
        <v>3376</v>
      </c>
      <c r="E44" s="99">
        <v>590</v>
      </c>
      <c r="F44" s="99" t="s">
        <v>398</v>
      </c>
      <c r="G44" s="99">
        <v>16</v>
      </c>
      <c r="H44" s="99">
        <v>10</v>
      </c>
      <c r="I44" s="99">
        <v>52</v>
      </c>
      <c r="J44" s="99">
        <v>272</v>
      </c>
      <c r="K44" s="99">
        <v>104</v>
      </c>
      <c r="L44" s="99">
        <v>685</v>
      </c>
      <c r="M44" s="99">
        <v>198</v>
      </c>
      <c r="N44" s="99">
        <v>98</v>
      </c>
      <c r="O44" s="99">
        <v>51</v>
      </c>
      <c r="P44" s="159">
        <v>51</v>
      </c>
      <c r="Q44" s="99">
        <v>6</v>
      </c>
      <c r="R44" s="99">
        <v>16</v>
      </c>
      <c r="S44" s="99">
        <v>11</v>
      </c>
      <c r="T44" s="99" t="s">
        <v>660</v>
      </c>
      <c r="U44" s="99" t="s">
        <v>660</v>
      </c>
      <c r="V44" s="99">
        <v>7</v>
      </c>
      <c r="W44" s="99">
        <v>26</v>
      </c>
      <c r="X44" s="99">
        <v>11</v>
      </c>
      <c r="Y44" s="99">
        <v>48</v>
      </c>
      <c r="Z44" s="99">
        <v>27</v>
      </c>
      <c r="AA44" s="99" t="s">
        <v>660</v>
      </c>
      <c r="AB44" s="99" t="s">
        <v>660</v>
      </c>
      <c r="AC44" s="99" t="s">
        <v>660</v>
      </c>
      <c r="AD44" s="98" t="s">
        <v>376</v>
      </c>
      <c r="AE44" s="100">
        <v>0.17476303317535544</v>
      </c>
      <c r="AF44" s="100">
        <v>0.17</v>
      </c>
      <c r="AG44" s="98">
        <v>473.93364928909955</v>
      </c>
      <c r="AH44" s="98">
        <v>296.2085308056872</v>
      </c>
      <c r="AI44" s="100">
        <v>0.015</v>
      </c>
      <c r="AJ44" s="100">
        <v>0.708333</v>
      </c>
      <c r="AK44" s="100">
        <v>0.764706</v>
      </c>
      <c r="AL44" s="100">
        <v>0.832321</v>
      </c>
      <c r="AM44" s="100">
        <v>0.575581</v>
      </c>
      <c r="AN44" s="100">
        <v>0.632258</v>
      </c>
      <c r="AO44" s="98">
        <v>1510.6635071090047</v>
      </c>
      <c r="AP44" s="158">
        <v>0.7829057312000001</v>
      </c>
      <c r="AQ44" s="100">
        <v>0.11764705882352941</v>
      </c>
      <c r="AR44" s="100">
        <v>0.375</v>
      </c>
      <c r="AS44" s="98">
        <v>325.8293838862559</v>
      </c>
      <c r="AT44" s="98" t="s">
        <v>660</v>
      </c>
      <c r="AU44" s="98" t="s">
        <v>660</v>
      </c>
      <c r="AV44" s="98">
        <v>207.34597156398104</v>
      </c>
      <c r="AW44" s="98">
        <v>770.1421800947867</v>
      </c>
      <c r="AX44" s="98">
        <v>325.8293838862559</v>
      </c>
      <c r="AY44" s="98">
        <v>1421.8009478672986</v>
      </c>
      <c r="AZ44" s="98">
        <v>799.7630331753554</v>
      </c>
      <c r="BA44" s="100" t="s">
        <v>660</v>
      </c>
      <c r="BB44" s="100" t="s">
        <v>660</v>
      </c>
      <c r="BC44" s="100" t="s">
        <v>660</v>
      </c>
      <c r="BD44" s="158">
        <v>0.5829247665</v>
      </c>
      <c r="BE44" s="158">
        <v>1.02937645</v>
      </c>
      <c r="BF44" s="162">
        <v>384</v>
      </c>
      <c r="BG44" s="162">
        <v>136</v>
      </c>
      <c r="BH44" s="162">
        <v>823</v>
      </c>
      <c r="BI44" s="162">
        <v>344</v>
      </c>
      <c r="BJ44" s="162">
        <v>155</v>
      </c>
      <c r="BK44" s="97"/>
      <c r="BL44" s="97"/>
      <c r="BM44" s="97"/>
      <c r="BN44" s="97"/>
    </row>
    <row r="45" spans="1:66" ht="12.75">
      <c r="A45" s="79" t="s">
        <v>576</v>
      </c>
      <c r="B45" s="79" t="s">
        <v>297</v>
      </c>
      <c r="C45" s="79" t="s">
        <v>173</v>
      </c>
      <c r="D45" s="99">
        <v>3913</v>
      </c>
      <c r="E45" s="99">
        <v>820</v>
      </c>
      <c r="F45" s="99" t="s">
        <v>398</v>
      </c>
      <c r="G45" s="99">
        <v>24</v>
      </c>
      <c r="H45" s="99">
        <v>15</v>
      </c>
      <c r="I45" s="99">
        <v>67</v>
      </c>
      <c r="J45" s="99">
        <v>34</v>
      </c>
      <c r="K45" s="99">
        <v>32</v>
      </c>
      <c r="L45" s="99">
        <v>56</v>
      </c>
      <c r="M45" s="99">
        <v>284</v>
      </c>
      <c r="N45" s="99">
        <v>117</v>
      </c>
      <c r="O45" s="99">
        <v>69</v>
      </c>
      <c r="P45" s="159">
        <v>69</v>
      </c>
      <c r="Q45" s="99">
        <v>13</v>
      </c>
      <c r="R45" s="99">
        <v>21</v>
      </c>
      <c r="S45" s="99">
        <v>20</v>
      </c>
      <c r="T45" s="99">
        <v>8</v>
      </c>
      <c r="U45" s="99" t="s">
        <v>660</v>
      </c>
      <c r="V45" s="99" t="s">
        <v>660</v>
      </c>
      <c r="W45" s="99">
        <v>28</v>
      </c>
      <c r="X45" s="99">
        <v>21</v>
      </c>
      <c r="Y45" s="99">
        <v>65</v>
      </c>
      <c r="Z45" s="99">
        <v>41</v>
      </c>
      <c r="AA45" s="99" t="s">
        <v>660</v>
      </c>
      <c r="AB45" s="99" t="s">
        <v>660</v>
      </c>
      <c r="AC45" s="99" t="s">
        <v>660</v>
      </c>
      <c r="AD45" s="98" t="s">
        <v>376</v>
      </c>
      <c r="AE45" s="100">
        <v>0.20955788397648864</v>
      </c>
      <c r="AF45" s="100">
        <v>0.15</v>
      </c>
      <c r="AG45" s="98">
        <v>613.3401482238692</v>
      </c>
      <c r="AH45" s="98">
        <v>383.3375926399182</v>
      </c>
      <c r="AI45" s="100">
        <v>0.017</v>
      </c>
      <c r="AJ45" s="100">
        <v>0.85</v>
      </c>
      <c r="AK45" s="100">
        <v>0.842105</v>
      </c>
      <c r="AL45" s="100">
        <v>0.861538</v>
      </c>
      <c r="AM45" s="100">
        <v>0.579592</v>
      </c>
      <c r="AN45" s="100">
        <v>0.612565</v>
      </c>
      <c r="AO45" s="98">
        <v>1763.3529261436238</v>
      </c>
      <c r="AP45" s="158">
        <v>0.8631358337</v>
      </c>
      <c r="AQ45" s="100">
        <v>0.18840579710144928</v>
      </c>
      <c r="AR45" s="100">
        <v>0.6190476190476191</v>
      </c>
      <c r="AS45" s="98">
        <v>511.11679018655764</v>
      </c>
      <c r="AT45" s="98">
        <v>204.44671607462305</v>
      </c>
      <c r="AU45" s="98" t="s">
        <v>660</v>
      </c>
      <c r="AV45" s="98" t="s">
        <v>660</v>
      </c>
      <c r="AW45" s="98">
        <v>715.5635062611807</v>
      </c>
      <c r="AX45" s="98">
        <v>536.6726296958855</v>
      </c>
      <c r="AY45" s="98">
        <v>1661.1295681063123</v>
      </c>
      <c r="AZ45" s="98">
        <v>1047.789419882443</v>
      </c>
      <c r="BA45" s="100" t="s">
        <v>660</v>
      </c>
      <c r="BB45" s="100" t="s">
        <v>660</v>
      </c>
      <c r="BC45" s="100" t="s">
        <v>660</v>
      </c>
      <c r="BD45" s="158">
        <v>0.6715711975</v>
      </c>
      <c r="BE45" s="158">
        <v>1.092353592</v>
      </c>
      <c r="BF45" s="162">
        <v>40</v>
      </c>
      <c r="BG45" s="162">
        <v>38</v>
      </c>
      <c r="BH45" s="162">
        <v>65</v>
      </c>
      <c r="BI45" s="162">
        <v>490</v>
      </c>
      <c r="BJ45" s="162">
        <v>191</v>
      </c>
      <c r="BK45" s="97"/>
      <c r="BL45" s="97"/>
      <c r="BM45" s="97"/>
      <c r="BN45" s="97"/>
    </row>
    <row r="46" spans="1:66" ht="12.75">
      <c r="A46" s="79" t="s">
        <v>628</v>
      </c>
      <c r="B46" s="79" t="s">
        <v>351</v>
      </c>
      <c r="C46" s="79" t="s">
        <v>173</v>
      </c>
      <c r="D46" s="99">
        <v>5443</v>
      </c>
      <c r="E46" s="99">
        <v>1091</v>
      </c>
      <c r="F46" s="99" t="s">
        <v>396</v>
      </c>
      <c r="G46" s="99">
        <v>28</v>
      </c>
      <c r="H46" s="99">
        <v>16</v>
      </c>
      <c r="I46" s="99">
        <v>106</v>
      </c>
      <c r="J46" s="99">
        <v>562</v>
      </c>
      <c r="K46" s="99">
        <v>184</v>
      </c>
      <c r="L46" s="99">
        <v>1040</v>
      </c>
      <c r="M46" s="99">
        <v>430</v>
      </c>
      <c r="N46" s="99">
        <v>187</v>
      </c>
      <c r="O46" s="99">
        <v>72</v>
      </c>
      <c r="P46" s="159">
        <v>72</v>
      </c>
      <c r="Q46" s="99">
        <v>11</v>
      </c>
      <c r="R46" s="99">
        <v>31</v>
      </c>
      <c r="S46" s="99">
        <v>20</v>
      </c>
      <c r="T46" s="99">
        <v>12</v>
      </c>
      <c r="U46" s="99" t="s">
        <v>660</v>
      </c>
      <c r="V46" s="99" t="s">
        <v>660</v>
      </c>
      <c r="W46" s="99">
        <v>39</v>
      </c>
      <c r="X46" s="99" t="s">
        <v>660</v>
      </c>
      <c r="Y46" s="99">
        <v>61</v>
      </c>
      <c r="Z46" s="99">
        <v>35</v>
      </c>
      <c r="AA46" s="99" t="s">
        <v>660</v>
      </c>
      <c r="AB46" s="99" t="s">
        <v>660</v>
      </c>
      <c r="AC46" s="99" t="s">
        <v>660</v>
      </c>
      <c r="AD46" s="98" t="s">
        <v>376</v>
      </c>
      <c r="AE46" s="100">
        <v>0.20044093330883703</v>
      </c>
      <c r="AF46" s="100">
        <v>0.18</v>
      </c>
      <c r="AG46" s="98">
        <v>514.4221936432115</v>
      </c>
      <c r="AH46" s="98">
        <v>293.95553922469225</v>
      </c>
      <c r="AI46" s="100">
        <v>0.019</v>
      </c>
      <c r="AJ46" s="100">
        <v>0.715013</v>
      </c>
      <c r="AK46" s="100">
        <v>0.754098</v>
      </c>
      <c r="AL46" s="100">
        <v>0.833333</v>
      </c>
      <c r="AM46" s="100">
        <v>0.565789</v>
      </c>
      <c r="AN46" s="100">
        <v>0.57716</v>
      </c>
      <c r="AO46" s="98">
        <v>1322.7999265111152</v>
      </c>
      <c r="AP46" s="158">
        <v>0.652702179</v>
      </c>
      <c r="AQ46" s="100">
        <v>0.1527777777777778</v>
      </c>
      <c r="AR46" s="100">
        <v>0.3548387096774194</v>
      </c>
      <c r="AS46" s="98">
        <v>367.4444240308653</v>
      </c>
      <c r="AT46" s="98">
        <v>220.4666544185192</v>
      </c>
      <c r="AU46" s="98" t="s">
        <v>660</v>
      </c>
      <c r="AV46" s="98" t="s">
        <v>660</v>
      </c>
      <c r="AW46" s="98">
        <v>716.5166268601874</v>
      </c>
      <c r="AX46" s="98" t="s">
        <v>660</v>
      </c>
      <c r="AY46" s="98">
        <v>1120.7054932941392</v>
      </c>
      <c r="AZ46" s="98">
        <v>643.0277420540143</v>
      </c>
      <c r="BA46" s="100" t="s">
        <v>660</v>
      </c>
      <c r="BB46" s="100" t="s">
        <v>660</v>
      </c>
      <c r="BC46" s="100" t="s">
        <v>660</v>
      </c>
      <c r="BD46" s="158">
        <v>0.5106992722</v>
      </c>
      <c r="BE46" s="158">
        <v>0.8219704437</v>
      </c>
      <c r="BF46" s="162">
        <v>786</v>
      </c>
      <c r="BG46" s="162">
        <v>244</v>
      </c>
      <c r="BH46" s="162">
        <v>1248</v>
      </c>
      <c r="BI46" s="162">
        <v>760</v>
      </c>
      <c r="BJ46" s="162">
        <v>324</v>
      </c>
      <c r="BK46" s="97"/>
      <c r="BL46" s="97"/>
      <c r="BM46" s="97"/>
      <c r="BN46" s="97"/>
    </row>
    <row r="47" spans="1:66" ht="12.75">
      <c r="A47" s="79" t="s">
        <v>579</v>
      </c>
      <c r="B47" s="79" t="s">
        <v>300</v>
      </c>
      <c r="C47" s="79" t="s">
        <v>173</v>
      </c>
      <c r="D47" s="99">
        <v>9331</v>
      </c>
      <c r="E47" s="99">
        <v>1923</v>
      </c>
      <c r="F47" s="99" t="s">
        <v>399</v>
      </c>
      <c r="G47" s="99">
        <v>44</v>
      </c>
      <c r="H47" s="99">
        <v>20</v>
      </c>
      <c r="I47" s="99">
        <v>171</v>
      </c>
      <c r="J47" s="99">
        <v>1153</v>
      </c>
      <c r="K47" s="99">
        <v>385</v>
      </c>
      <c r="L47" s="99">
        <v>2013</v>
      </c>
      <c r="M47" s="99">
        <v>827</v>
      </c>
      <c r="N47" s="99">
        <v>360</v>
      </c>
      <c r="O47" s="99">
        <v>182</v>
      </c>
      <c r="P47" s="159">
        <v>182</v>
      </c>
      <c r="Q47" s="99">
        <v>23</v>
      </c>
      <c r="R47" s="99">
        <v>45</v>
      </c>
      <c r="S47" s="99">
        <v>44</v>
      </c>
      <c r="T47" s="99">
        <v>26</v>
      </c>
      <c r="U47" s="99">
        <v>7</v>
      </c>
      <c r="V47" s="99">
        <v>20</v>
      </c>
      <c r="W47" s="99">
        <v>99</v>
      </c>
      <c r="X47" s="99">
        <v>26</v>
      </c>
      <c r="Y47" s="99">
        <v>140</v>
      </c>
      <c r="Z47" s="99">
        <v>56</v>
      </c>
      <c r="AA47" s="99" t="s">
        <v>660</v>
      </c>
      <c r="AB47" s="99" t="s">
        <v>660</v>
      </c>
      <c r="AC47" s="99" t="s">
        <v>660</v>
      </c>
      <c r="AD47" s="98" t="s">
        <v>376</v>
      </c>
      <c r="AE47" s="100">
        <v>0.20608723609473797</v>
      </c>
      <c r="AF47" s="100">
        <v>0.08</v>
      </c>
      <c r="AG47" s="98">
        <v>471.5464580430822</v>
      </c>
      <c r="AH47" s="98">
        <v>214.3392991104919</v>
      </c>
      <c r="AI47" s="100">
        <v>0.018000000000000002</v>
      </c>
      <c r="AJ47" s="100">
        <v>0.793531</v>
      </c>
      <c r="AK47" s="100">
        <v>0.815678</v>
      </c>
      <c r="AL47" s="100">
        <v>0.877507</v>
      </c>
      <c r="AM47" s="100">
        <v>0.640093</v>
      </c>
      <c r="AN47" s="100">
        <v>0.670391</v>
      </c>
      <c r="AO47" s="98">
        <v>1950.4876219054763</v>
      </c>
      <c r="AP47" s="158">
        <v>0.9096977234000001</v>
      </c>
      <c r="AQ47" s="100">
        <v>0.12637362637362637</v>
      </c>
      <c r="AR47" s="100">
        <v>0.5111111111111111</v>
      </c>
      <c r="AS47" s="98">
        <v>471.5464580430822</v>
      </c>
      <c r="AT47" s="98">
        <v>278.64108884363947</v>
      </c>
      <c r="AU47" s="98">
        <v>75.01875468867217</v>
      </c>
      <c r="AV47" s="98">
        <v>214.3392991104919</v>
      </c>
      <c r="AW47" s="98">
        <v>1060.9795305969349</v>
      </c>
      <c r="AX47" s="98">
        <v>278.64108884363947</v>
      </c>
      <c r="AY47" s="98">
        <v>1500.3750937734433</v>
      </c>
      <c r="AZ47" s="98">
        <v>600.1500375093774</v>
      </c>
      <c r="BA47" s="101" t="s">
        <v>660</v>
      </c>
      <c r="BB47" s="101" t="s">
        <v>660</v>
      </c>
      <c r="BC47" s="101" t="s">
        <v>660</v>
      </c>
      <c r="BD47" s="158">
        <v>0.7823307800000001</v>
      </c>
      <c r="BE47" s="158">
        <v>1.051890335</v>
      </c>
      <c r="BF47" s="162">
        <v>1453</v>
      </c>
      <c r="BG47" s="162">
        <v>472</v>
      </c>
      <c r="BH47" s="162">
        <v>2294</v>
      </c>
      <c r="BI47" s="162">
        <v>1292</v>
      </c>
      <c r="BJ47" s="162">
        <v>537</v>
      </c>
      <c r="BK47" s="97"/>
      <c r="BL47" s="97"/>
      <c r="BM47" s="97"/>
      <c r="BN47" s="97"/>
    </row>
    <row r="48" spans="1:66" ht="12.75">
      <c r="A48" s="79" t="s">
        <v>637</v>
      </c>
      <c r="B48" s="79" t="s">
        <v>360</v>
      </c>
      <c r="C48" s="79" t="s">
        <v>173</v>
      </c>
      <c r="D48" s="99">
        <v>3519</v>
      </c>
      <c r="E48" s="99">
        <v>568</v>
      </c>
      <c r="F48" s="99" t="s">
        <v>398</v>
      </c>
      <c r="G48" s="99">
        <v>20</v>
      </c>
      <c r="H48" s="99">
        <v>6</v>
      </c>
      <c r="I48" s="99">
        <v>41</v>
      </c>
      <c r="J48" s="99">
        <v>23</v>
      </c>
      <c r="K48" s="99" t="s">
        <v>660</v>
      </c>
      <c r="L48" s="99">
        <v>52</v>
      </c>
      <c r="M48" s="99">
        <v>241</v>
      </c>
      <c r="N48" s="99">
        <v>124</v>
      </c>
      <c r="O48" s="99">
        <v>54</v>
      </c>
      <c r="P48" s="159">
        <v>54</v>
      </c>
      <c r="Q48" s="99" t="s">
        <v>660</v>
      </c>
      <c r="R48" s="99" t="s">
        <v>660</v>
      </c>
      <c r="S48" s="99">
        <v>12</v>
      </c>
      <c r="T48" s="99">
        <v>6</v>
      </c>
      <c r="U48" s="99" t="s">
        <v>660</v>
      </c>
      <c r="V48" s="99">
        <v>10</v>
      </c>
      <c r="W48" s="99">
        <v>23</v>
      </c>
      <c r="X48" s="99">
        <v>14</v>
      </c>
      <c r="Y48" s="99">
        <v>44</v>
      </c>
      <c r="Z48" s="99">
        <v>15</v>
      </c>
      <c r="AA48" s="99" t="s">
        <v>660</v>
      </c>
      <c r="AB48" s="99" t="s">
        <v>660</v>
      </c>
      <c r="AC48" s="99" t="s">
        <v>660</v>
      </c>
      <c r="AD48" s="98" t="s">
        <v>376</v>
      </c>
      <c r="AE48" s="100">
        <v>0.161409491332765</v>
      </c>
      <c r="AF48" s="100">
        <v>0.14</v>
      </c>
      <c r="AG48" s="98">
        <v>568.3432793407218</v>
      </c>
      <c r="AH48" s="98">
        <v>170.50298380221653</v>
      </c>
      <c r="AI48" s="100">
        <v>0.012</v>
      </c>
      <c r="AJ48" s="100">
        <v>0.657143</v>
      </c>
      <c r="AK48" s="100" t="s">
        <v>660</v>
      </c>
      <c r="AL48" s="100">
        <v>0.852459</v>
      </c>
      <c r="AM48" s="100">
        <v>0.561772</v>
      </c>
      <c r="AN48" s="100">
        <v>0.716763</v>
      </c>
      <c r="AO48" s="98">
        <v>1534.5268542199487</v>
      </c>
      <c r="AP48" s="158">
        <v>0.8392228699000001</v>
      </c>
      <c r="AQ48" s="100" t="s">
        <v>660</v>
      </c>
      <c r="AR48" s="100" t="s">
        <v>660</v>
      </c>
      <c r="AS48" s="98">
        <v>341.00596760443307</v>
      </c>
      <c r="AT48" s="98">
        <v>170.50298380221653</v>
      </c>
      <c r="AU48" s="98" t="s">
        <v>660</v>
      </c>
      <c r="AV48" s="98">
        <v>284.1716396703609</v>
      </c>
      <c r="AW48" s="98">
        <v>653.59477124183</v>
      </c>
      <c r="AX48" s="98">
        <v>397.84029553850525</v>
      </c>
      <c r="AY48" s="98">
        <v>1250.355214549588</v>
      </c>
      <c r="AZ48" s="98">
        <v>426.25745950554136</v>
      </c>
      <c r="BA48" s="100" t="s">
        <v>660</v>
      </c>
      <c r="BB48" s="100" t="s">
        <v>660</v>
      </c>
      <c r="BC48" s="100" t="s">
        <v>660</v>
      </c>
      <c r="BD48" s="158">
        <v>0.630450058</v>
      </c>
      <c r="BE48" s="158">
        <v>1.095003815</v>
      </c>
      <c r="BF48" s="162">
        <v>35</v>
      </c>
      <c r="BG48" s="162" t="s">
        <v>660</v>
      </c>
      <c r="BH48" s="162">
        <v>61</v>
      </c>
      <c r="BI48" s="162">
        <v>429</v>
      </c>
      <c r="BJ48" s="162">
        <v>173</v>
      </c>
      <c r="BK48" s="97"/>
      <c r="BL48" s="97"/>
      <c r="BM48" s="97"/>
      <c r="BN48" s="97"/>
    </row>
    <row r="49" spans="1:66" ht="12.75">
      <c r="A49" s="79" t="s">
        <v>615</v>
      </c>
      <c r="B49" s="79" t="s">
        <v>336</v>
      </c>
      <c r="C49" s="79" t="s">
        <v>173</v>
      </c>
      <c r="D49" s="99">
        <v>8839</v>
      </c>
      <c r="E49" s="99">
        <v>1553</v>
      </c>
      <c r="F49" s="99" t="s">
        <v>397</v>
      </c>
      <c r="G49" s="99">
        <v>36</v>
      </c>
      <c r="H49" s="99">
        <v>28</v>
      </c>
      <c r="I49" s="99">
        <v>169</v>
      </c>
      <c r="J49" s="99">
        <v>778</v>
      </c>
      <c r="K49" s="99">
        <v>263</v>
      </c>
      <c r="L49" s="99">
        <v>1518</v>
      </c>
      <c r="M49" s="99">
        <v>532</v>
      </c>
      <c r="N49" s="99">
        <v>257</v>
      </c>
      <c r="O49" s="99">
        <v>210</v>
      </c>
      <c r="P49" s="159">
        <v>210</v>
      </c>
      <c r="Q49" s="99">
        <v>24</v>
      </c>
      <c r="R49" s="99">
        <v>41</v>
      </c>
      <c r="S49" s="99">
        <v>47</v>
      </c>
      <c r="T49" s="99">
        <v>33</v>
      </c>
      <c r="U49" s="99" t="s">
        <v>660</v>
      </c>
      <c r="V49" s="99">
        <v>31</v>
      </c>
      <c r="W49" s="99">
        <v>67</v>
      </c>
      <c r="X49" s="99">
        <v>76</v>
      </c>
      <c r="Y49" s="99">
        <v>160</v>
      </c>
      <c r="Z49" s="99">
        <v>57</v>
      </c>
      <c r="AA49" s="99" t="s">
        <v>660</v>
      </c>
      <c r="AB49" s="99" t="s">
        <v>660</v>
      </c>
      <c r="AC49" s="99" t="s">
        <v>660</v>
      </c>
      <c r="AD49" s="98" t="s">
        <v>376</v>
      </c>
      <c r="AE49" s="100">
        <v>0.17569860843986876</v>
      </c>
      <c r="AF49" s="100">
        <v>0.11</v>
      </c>
      <c r="AG49" s="98">
        <v>407.2858920692386</v>
      </c>
      <c r="AH49" s="98">
        <v>316.77791605385227</v>
      </c>
      <c r="AI49" s="100">
        <v>0.019</v>
      </c>
      <c r="AJ49" s="100">
        <v>0.729147</v>
      </c>
      <c r="AK49" s="100">
        <v>0.736695</v>
      </c>
      <c r="AL49" s="100">
        <v>0.784902</v>
      </c>
      <c r="AM49" s="100">
        <v>0.56</v>
      </c>
      <c r="AN49" s="100">
        <v>0.628362</v>
      </c>
      <c r="AO49" s="98">
        <v>2375.8343704038916</v>
      </c>
      <c r="AP49" s="158">
        <v>1.242876892</v>
      </c>
      <c r="AQ49" s="100">
        <v>0.11428571428571428</v>
      </c>
      <c r="AR49" s="100">
        <v>0.5853658536585366</v>
      </c>
      <c r="AS49" s="98">
        <v>531.7343590903948</v>
      </c>
      <c r="AT49" s="98">
        <v>373.3454010634687</v>
      </c>
      <c r="AU49" s="98" t="s">
        <v>660</v>
      </c>
      <c r="AV49" s="98">
        <v>350.7184070596221</v>
      </c>
      <c r="AW49" s="98">
        <v>758.0042991288607</v>
      </c>
      <c r="AX49" s="98">
        <v>859.8257721461704</v>
      </c>
      <c r="AY49" s="98">
        <v>1810.159520307727</v>
      </c>
      <c r="AZ49" s="98">
        <v>644.8693291096278</v>
      </c>
      <c r="BA49" s="100" t="s">
        <v>660</v>
      </c>
      <c r="BB49" s="100" t="s">
        <v>660</v>
      </c>
      <c r="BC49" s="100" t="s">
        <v>660</v>
      </c>
      <c r="BD49" s="158">
        <v>1.080451279</v>
      </c>
      <c r="BE49" s="158">
        <v>1.422828369</v>
      </c>
      <c r="BF49" s="162">
        <v>1067</v>
      </c>
      <c r="BG49" s="162">
        <v>357</v>
      </c>
      <c r="BH49" s="162">
        <v>1934</v>
      </c>
      <c r="BI49" s="162">
        <v>950</v>
      </c>
      <c r="BJ49" s="162">
        <v>409</v>
      </c>
      <c r="BK49" s="97"/>
      <c r="BL49" s="97"/>
      <c r="BM49" s="97"/>
      <c r="BN49" s="97"/>
    </row>
    <row r="50" spans="1:66" ht="12.75">
      <c r="A50" s="79" t="s">
        <v>625</v>
      </c>
      <c r="B50" s="79" t="s">
        <v>348</v>
      </c>
      <c r="C50" s="79" t="s">
        <v>173</v>
      </c>
      <c r="D50" s="99">
        <v>6134</v>
      </c>
      <c r="E50" s="99">
        <v>1476</v>
      </c>
      <c r="F50" s="99" t="s">
        <v>399</v>
      </c>
      <c r="G50" s="99">
        <v>27</v>
      </c>
      <c r="H50" s="99">
        <v>12</v>
      </c>
      <c r="I50" s="99">
        <v>146</v>
      </c>
      <c r="J50" s="99">
        <v>754</v>
      </c>
      <c r="K50" s="99">
        <v>263</v>
      </c>
      <c r="L50" s="99">
        <v>1224</v>
      </c>
      <c r="M50" s="99">
        <v>586</v>
      </c>
      <c r="N50" s="99">
        <v>282</v>
      </c>
      <c r="O50" s="99">
        <v>113</v>
      </c>
      <c r="P50" s="159">
        <v>113</v>
      </c>
      <c r="Q50" s="99">
        <v>19</v>
      </c>
      <c r="R50" s="99">
        <v>37</v>
      </c>
      <c r="S50" s="99">
        <v>17</v>
      </c>
      <c r="T50" s="99">
        <v>15</v>
      </c>
      <c r="U50" s="99" t="s">
        <v>660</v>
      </c>
      <c r="V50" s="99">
        <v>26</v>
      </c>
      <c r="W50" s="99">
        <v>59</v>
      </c>
      <c r="X50" s="99">
        <v>20</v>
      </c>
      <c r="Y50" s="99">
        <v>78</v>
      </c>
      <c r="Z50" s="99">
        <v>52</v>
      </c>
      <c r="AA50" s="99" t="s">
        <v>660</v>
      </c>
      <c r="AB50" s="99" t="s">
        <v>660</v>
      </c>
      <c r="AC50" s="99" t="s">
        <v>660</v>
      </c>
      <c r="AD50" s="98" t="s">
        <v>376</v>
      </c>
      <c r="AE50" s="100">
        <v>0.24062601891098795</v>
      </c>
      <c r="AF50" s="100">
        <v>0.05</v>
      </c>
      <c r="AG50" s="98">
        <v>440.16954678839255</v>
      </c>
      <c r="AH50" s="98">
        <v>195.63090968373004</v>
      </c>
      <c r="AI50" s="100">
        <v>0.024</v>
      </c>
      <c r="AJ50" s="100">
        <v>0.778122</v>
      </c>
      <c r="AK50" s="100">
        <v>0.778107</v>
      </c>
      <c r="AL50" s="100">
        <v>0.844138</v>
      </c>
      <c r="AM50" s="100">
        <v>0.632147</v>
      </c>
      <c r="AN50" s="100">
        <v>0.708543</v>
      </c>
      <c r="AO50" s="98">
        <v>1842.1910661884579</v>
      </c>
      <c r="AP50" s="158">
        <v>0.7978184509</v>
      </c>
      <c r="AQ50" s="100">
        <v>0.168141592920354</v>
      </c>
      <c r="AR50" s="100">
        <v>0.5135135135135135</v>
      </c>
      <c r="AS50" s="98">
        <v>277.14378871861754</v>
      </c>
      <c r="AT50" s="98">
        <v>244.53863710466254</v>
      </c>
      <c r="AU50" s="98" t="s">
        <v>660</v>
      </c>
      <c r="AV50" s="98">
        <v>423.8669709814151</v>
      </c>
      <c r="AW50" s="98">
        <v>961.8519726116726</v>
      </c>
      <c r="AX50" s="98">
        <v>326.0515161395501</v>
      </c>
      <c r="AY50" s="98">
        <v>1271.6009129442452</v>
      </c>
      <c r="AZ50" s="98">
        <v>847.7339419628302</v>
      </c>
      <c r="BA50" s="100" t="s">
        <v>660</v>
      </c>
      <c r="BB50" s="100" t="s">
        <v>660</v>
      </c>
      <c r="BC50" s="100" t="s">
        <v>660</v>
      </c>
      <c r="BD50" s="158">
        <v>0.6575153351</v>
      </c>
      <c r="BE50" s="158">
        <v>0.9591978455</v>
      </c>
      <c r="BF50" s="162">
        <v>969</v>
      </c>
      <c r="BG50" s="162">
        <v>338</v>
      </c>
      <c r="BH50" s="162">
        <v>1450</v>
      </c>
      <c r="BI50" s="162">
        <v>927</v>
      </c>
      <c r="BJ50" s="162">
        <v>398</v>
      </c>
      <c r="BK50" s="97"/>
      <c r="BL50" s="97"/>
      <c r="BM50" s="97"/>
      <c r="BN50" s="97"/>
    </row>
    <row r="51" spans="1:66" ht="12.75">
      <c r="A51" s="79" t="s">
        <v>591</v>
      </c>
      <c r="B51" s="79" t="s">
        <v>312</v>
      </c>
      <c r="C51" s="79" t="s">
        <v>173</v>
      </c>
      <c r="D51" s="99">
        <v>3624</v>
      </c>
      <c r="E51" s="99">
        <v>797</v>
      </c>
      <c r="F51" s="99" t="s">
        <v>399</v>
      </c>
      <c r="G51" s="99">
        <v>27</v>
      </c>
      <c r="H51" s="99">
        <v>7</v>
      </c>
      <c r="I51" s="99">
        <v>106</v>
      </c>
      <c r="J51" s="99">
        <v>465</v>
      </c>
      <c r="K51" s="99">
        <v>145</v>
      </c>
      <c r="L51" s="99">
        <v>728</v>
      </c>
      <c r="M51" s="99">
        <v>372</v>
      </c>
      <c r="N51" s="99">
        <v>168</v>
      </c>
      <c r="O51" s="99">
        <v>69</v>
      </c>
      <c r="P51" s="159">
        <v>69</v>
      </c>
      <c r="Q51" s="99">
        <v>15</v>
      </c>
      <c r="R51" s="99">
        <v>26</v>
      </c>
      <c r="S51" s="99">
        <v>22</v>
      </c>
      <c r="T51" s="99">
        <v>8</v>
      </c>
      <c r="U51" s="99" t="s">
        <v>660</v>
      </c>
      <c r="V51" s="99">
        <v>9</v>
      </c>
      <c r="W51" s="99">
        <v>36</v>
      </c>
      <c r="X51" s="99">
        <v>17</v>
      </c>
      <c r="Y51" s="99">
        <v>47</v>
      </c>
      <c r="Z51" s="99">
        <v>25</v>
      </c>
      <c r="AA51" s="99" t="s">
        <v>660</v>
      </c>
      <c r="AB51" s="99" t="s">
        <v>660</v>
      </c>
      <c r="AC51" s="99" t="s">
        <v>660</v>
      </c>
      <c r="AD51" s="98" t="s">
        <v>376</v>
      </c>
      <c r="AE51" s="100">
        <v>0.21992273730684328</v>
      </c>
      <c r="AF51" s="100">
        <v>0.05</v>
      </c>
      <c r="AG51" s="98">
        <v>745.0331125827814</v>
      </c>
      <c r="AH51" s="98">
        <v>193.15673289183223</v>
      </c>
      <c r="AI51" s="100">
        <v>0.028999999999999998</v>
      </c>
      <c r="AJ51" s="100">
        <v>0.776294</v>
      </c>
      <c r="AK51" s="100">
        <v>0.796703</v>
      </c>
      <c r="AL51" s="100">
        <v>0.82167</v>
      </c>
      <c r="AM51" s="100">
        <v>0.628378</v>
      </c>
      <c r="AN51" s="100">
        <v>0.674699</v>
      </c>
      <c r="AO51" s="98">
        <v>1903.9735099337747</v>
      </c>
      <c r="AP51" s="158">
        <v>0.8546568298</v>
      </c>
      <c r="AQ51" s="100">
        <v>0.21739130434782608</v>
      </c>
      <c r="AR51" s="100">
        <v>0.5769230769230769</v>
      </c>
      <c r="AS51" s="98">
        <v>607.0640176600441</v>
      </c>
      <c r="AT51" s="98">
        <v>220.7505518763797</v>
      </c>
      <c r="AU51" s="98" t="s">
        <v>660</v>
      </c>
      <c r="AV51" s="98">
        <v>248.34437086092714</v>
      </c>
      <c r="AW51" s="98">
        <v>993.3774834437086</v>
      </c>
      <c r="AX51" s="98">
        <v>469.09492273730683</v>
      </c>
      <c r="AY51" s="98">
        <v>1296.9094922737306</v>
      </c>
      <c r="AZ51" s="98">
        <v>689.8454746136865</v>
      </c>
      <c r="BA51" s="101" t="s">
        <v>660</v>
      </c>
      <c r="BB51" s="101" t="s">
        <v>660</v>
      </c>
      <c r="BC51" s="101" t="s">
        <v>660</v>
      </c>
      <c r="BD51" s="158">
        <v>0.6649740601</v>
      </c>
      <c r="BE51" s="158">
        <v>1.081622925</v>
      </c>
      <c r="BF51" s="162">
        <v>599</v>
      </c>
      <c r="BG51" s="162">
        <v>182</v>
      </c>
      <c r="BH51" s="162">
        <v>886</v>
      </c>
      <c r="BI51" s="162">
        <v>592</v>
      </c>
      <c r="BJ51" s="162">
        <v>249</v>
      </c>
      <c r="BK51" s="97"/>
      <c r="BL51" s="97"/>
      <c r="BM51" s="97"/>
      <c r="BN51" s="97"/>
    </row>
    <row r="52" spans="1:66" ht="12.75">
      <c r="A52" s="79" t="s">
        <v>635</v>
      </c>
      <c r="B52" s="79" t="s">
        <v>358</v>
      </c>
      <c r="C52" s="79" t="s">
        <v>173</v>
      </c>
      <c r="D52" s="99">
        <v>5141</v>
      </c>
      <c r="E52" s="99">
        <v>1000</v>
      </c>
      <c r="F52" s="99" t="s">
        <v>398</v>
      </c>
      <c r="G52" s="99">
        <v>23</v>
      </c>
      <c r="H52" s="99">
        <v>15</v>
      </c>
      <c r="I52" s="99">
        <v>70</v>
      </c>
      <c r="J52" s="99">
        <v>40</v>
      </c>
      <c r="K52" s="99">
        <v>39</v>
      </c>
      <c r="L52" s="99">
        <v>61</v>
      </c>
      <c r="M52" s="99">
        <v>307</v>
      </c>
      <c r="N52" s="99">
        <v>146</v>
      </c>
      <c r="O52" s="99">
        <v>168</v>
      </c>
      <c r="P52" s="159">
        <v>168</v>
      </c>
      <c r="Q52" s="99">
        <v>17</v>
      </c>
      <c r="R52" s="99">
        <v>32</v>
      </c>
      <c r="S52" s="99">
        <v>19</v>
      </c>
      <c r="T52" s="99">
        <v>30</v>
      </c>
      <c r="U52" s="99" t="s">
        <v>660</v>
      </c>
      <c r="V52" s="99">
        <v>31</v>
      </c>
      <c r="W52" s="99">
        <v>44</v>
      </c>
      <c r="X52" s="99">
        <v>21</v>
      </c>
      <c r="Y52" s="99">
        <v>91</v>
      </c>
      <c r="Z52" s="99">
        <v>49</v>
      </c>
      <c r="AA52" s="99" t="s">
        <v>660</v>
      </c>
      <c r="AB52" s="99" t="s">
        <v>660</v>
      </c>
      <c r="AC52" s="99" t="s">
        <v>660</v>
      </c>
      <c r="AD52" s="98" t="s">
        <v>376</v>
      </c>
      <c r="AE52" s="100">
        <v>0.19451468585878234</v>
      </c>
      <c r="AF52" s="100">
        <v>0.16</v>
      </c>
      <c r="AG52" s="98">
        <v>447.3837774751994</v>
      </c>
      <c r="AH52" s="98">
        <v>291.7720287881735</v>
      </c>
      <c r="AI52" s="100">
        <v>0.013999999999999999</v>
      </c>
      <c r="AJ52" s="100">
        <v>0.888889</v>
      </c>
      <c r="AK52" s="100">
        <v>0.928571</v>
      </c>
      <c r="AL52" s="100">
        <v>0.859155</v>
      </c>
      <c r="AM52" s="100">
        <v>0.540493</v>
      </c>
      <c r="AN52" s="100">
        <v>0.591093</v>
      </c>
      <c r="AO52" s="98">
        <v>3267.846722427543</v>
      </c>
      <c r="AP52" s="158">
        <v>1.6431639100000002</v>
      </c>
      <c r="AQ52" s="100">
        <v>0.10119047619047619</v>
      </c>
      <c r="AR52" s="100">
        <v>0.53125</v>
      </c>
      <c r="AS52" s="98">
        <v>369.57790313168647</v>
      </c>
      <c r="AT52" s="98">
        <v>583.544057576347</v>
      </c>
      <c r="AU52" s="98" t="s">
        <v>660</v>
      </c>
      <c r="AV52" s="98">
        <v>602.9955261622252</v>
      </c>
      <c r="AW52" s="98">
        <v>855.8646177786422</v>
      </c>
      <c r="AX52" s="98">
        <v>408.4808403034429</v>
      </c>
      <c r="AY52" s="98">
        <v>1770.0836413149193</v>
      </c>
      <c r="AZ52" s="98">
        <v>953.1219607080335</v>
      </c>
      <c r="BA52" s="100" t="s">
        <v>660</v>
      </c>
      <c r="BB52" s="100" t="s">
        <v>660</v>
      </c>
      <c r="BC52" s="100" t="s">
        <v>660</v>
      </c>
      <c r="BD52" s="158">
        <v>1.4040830990000002</v>
      </c>
      <c r="BE52" s="158">
        <v>1.911283875</v>
      </c>
      <c r="BF52" s="162">
        <v>45</v>
      </c>
      <c r="BG52" s="162">
        <v>42</v>
      </c>
      <c r="BH52" s="162">
        <v>71</v>
      </c>
      <c r="BI52" s="162">
        <v>568</v>
      </c>
      <c r="BJ52" s="162">
        <v>247</v>
      </c>
      <c r="BK52" s="97"/>
      <c r="BL52" s="97"/>
      <c r="BM52" s="97"/>
      <c r="BN52" s="97"/>
    </row>
    <row r="53" spans="1:66" ht="12.75">
      <c r="A53" s="79" t="s">
        <v>640</v>
      </c>
      <c r="B53" s="79" t="s">
        <v>363</v>
      </c>
      <c r="C53" s="79" t="s">
        <v>173</v>
      </c>
      <c r="D53" s="99">
        <v>4037</v>
      </c>
      <c r="E53" s="99">
        <v>741</v>
      </c>
      <c r="F53" s="99" t="s">
        <v>399</v>
      </c>
      <c r="G53" s="99">
        <v>13</v>
      </c>
      <c r="H53" s="99" t="s">
        <v>660</v>
      </c>
      <c r="I53" s="99">
        <v>87</v>
      </c>
      <c r="J53" s="99">
        <v>500</v>
      </c>
      <c r="K53" s="99">
        <v>167</v>
      </c>
      <c r="L53" s="99">
        <v>900</v>
      </c>
      <c r="M53" s="99">
        <v>327</v>
      </c>
      <c r="N53" s="99">
        <v>167</v>
      </c>
      <c r="O53" s="99">
        <v>87</v>
      </c>
      <c r="P53" s="159">
        <v>87</v>
      </c>
      <c r="Q53" s="99">
        <v>6</v>
      </c>
      <c r="R53" s="99">
        <v>15</v>
      </c>
      <c r="S53" s="99">
        <v>20</v>
      </c>
      <c r="T53" s="99">
        <v>11</v>
      </c>
      <c r="U53" s="99" t="s">
        <v>660</v>
      </c>
      <c r="V53" s="99">
        <v>20</v>
      </c>
      <c r="W53" s="99">
        <v>18</v>
      </c>
      <c r="X53" s="99">
        <v>8</v>
      </c>
      <c r="Y53" s="99">
        <v>44</v>
      </c>
      <c r="Z53" s="99">
        <v>14</v>
      </c>
      <c r="AA53" s="99" t="s">
        <v>660</v>
      </c>
      <c r="AB53" s="99" t="s">
        <v>660</v>
      </c>
      <c r="AC53" s="99" t="s">
        <v>660</v>
      </c>
      <c r="AD53" s="98" t="s">
        <v>376</v>
      </c>
      <c r="AE53" s="100">
        <v>0.18355214268020809</v>
      </c>
      <c r="AF53" s="100">
        <v>0.07</v>
      </c>
      <c r="AG53" s="98">
        <v>322.0213029477335</v>
      </c>
      <c r="AH53" s="98" t="s">
        <v>660</v>
      </c>
      <c r="AI53" s="100">
        <v>0.022000000000000002</v>
      </c>
      <c r="AJ53" s="100">
        <v>0.83612</v>
      </c>
      <c r="AK53" s="100">
        <v>0.902703</v>
      </c>
      <c r="AL53" s="100">
        <v>0.896414</v>
      </c>
      <c r="AM53" s="100">
        <v>0.628846</v>
      </c>
      <c r="AN53" s="100">
        <v>0.726087</v>
      </c>
      <c r="AO53" s="98">
        <v>2155.0656428040625</v>
      </c>
      <c r="AP53" s="158">
        <v>1.090139923</v>
      </c>
      <c r="AQ53" s="100">
        <v>0.06896551724137931</v>
      </c>
      <c r="AR53" s="100">
        <v>0.4</v>
      </c>
      <c r="AS53" s="98">
        <v>495.41738915035916</v>
      </c>
      <c r="AT53" s="98">
        <v>272.47956403269757</v>
      </c>
      <c r="AU53" s="98" t="s">
        <v>660</v>
      </c>
      <c r="AV53" s="98">
        <v>495.41738915035916</v>
      </c>
      <c r="AW53" s="98">
        <v>445.87565023532323</v>
      </c>
      <c r="AX53" s="98">
        <v>198.16695566014369</v>
      </c>
      <c r="AY53" s="98">
        <v>1089.9182561307903</v>
      </c>
      <c r="AZ53" s="98">
        <v>346.79217240525145</v>
      </c>
      <c r="BA53" s="100" t="s">
        <v>660</v>
      </c>
      <c r="BB53" s="100" t="s">
        <v>660</v>
      </c>
      <c r="BC53" s="100" t="s">
        <v>660</v>
      </c>
      <c r="BD53" s="158">
        <v>0.8731574249</v>
      </c>
      <c r="BE53" s="158">
        <v>1.344683533</v>
      </c>
      <c r="BF53" s="162">
        <v>598</v>
      </c>
      <c r="BG53" s="162">
        <v>185</v>
      </c>
      <c r="BH53" s="162">
        <v>1004</v>
      </c>
      <c r="BI53" s="162">
        <v>520</v>
      </c>
      <c r="BJ53" s="162">
        <v>230</v>
      </c>
      <c r="BK53" s="97"/>
      <c r="BL53" s="97"/>
      <c r="BM53" s="97"/>
      <c r="BN53" s="97"/>
    </row>
    <row r="54" spans="1:66" ht="12.75">
      <c r="A54" s="79" t="s">
        <v>618</v>
      </c>
      <c r="B54" s="79" t="s">
        <v>340</v>
      </c>
      <c r="C54" s="79" t="s">
        <v>173</v>
      </c>
      <c r="D54" s="99">
        <v>8111</v>
      </c>
      <c r="E54" s="99">
        <v>1528</v>
      </c>
      <c r="F54" s="99" t="s">
        <v>399</v>
      </c>
      <c r="G54" s="99">
        <v>40</v>
      </c>
      <c r="H54" s="99">
        <v>24</v>
      </c>
      <c r="I54" s="99">
        <v>174</v>
      </c>
      <c r="J54" s="99">
        <v>836</v>
      </c>
      <c r="K54" s="99">
        <v>261</v>
      </c>
      <c r="L54" s="99">
        <v>1619</v>
      </c>
      <c r="M54" s="99">
        <v>606</v>
      </c>
      <c r="N54" s="99">
        <v>255</v>
      </c>
      <c r="O54" s="99">
        <v>213</v>
      </c>
      <c r="P54" s="159">
        <v>213</v>
      </c>
      <c r="Q54" s="99">
        <v>28</v>
      </c>
      <c r="R54" s="99">
        <v>43</v>
      </c>
      <c r="S54" s="99">
        <v>56</v>
      </c>
      <c r="T54" s="99">
        <v>26</v>
      </c>
      <c r="U54" s="99" t="s">
        <v>660</v>
      </c>
      <c r="V54" s="99">
        <v>48</v>
      </c>
      <c r="W54" s="99">
        <v>55</v>
      </c>
      <c r="X54" s="99">
        <v>74</v>
      </c>
      <c r="Y54" s="99">
        <v>105</v>
      </c>
      <c r="Z54" s="99">
        <v>58</v>
      </c>
      <c r="AA54" s="99" t="s">
        <v>660</v>
      </c>
      <c r="AB54" s="99" t="s">
        <v>660</v>
      </c>
      <c r="AC54" s="99" t="s">
        <v>660</v>
      </c>
      <c r="AD54" s="98" t="s">
        <v>376</v>
      </c>
      <c r="AE54" s="100">
        <v>0.1883861422759216</v>
      </c>
      <c r="AF54" s="100">
        <v>0.07</v>
      </c>
      <c r="AG54" s="98">
        <v>493.15744051288374</v>
      </c>
      <c r="AH54" s="98">
        <v>295.89446430773023</v>
      </c>
      <c r="AI54" s="100">
        <v>0.021</v>
      </c>
      <c r="AJ54" s="100">
        <v>0.731409</v>
      </c>
      <c r="AK54" s="100">
        <v>0.754335</v>
      </c>
      <c r="AL54" s="100">
        <v>0.831536</v>
      </c>
      <c r="AM54" s="100">
        <v>0.570621</v>
      </c>
      <c r="AN54" s="100">
        <v>0.614458</v>
      </c>
      <c r="AO54" s="98">
        <v>2626.063370731106</v>
      </c>
      <c r="AP54" s="158">
        <v>1.2803587340000002</v>
      </c>
      <c r="AQ54" s="100">
        <v>0.13145539906103287</v>
      </c>
      <c r="AR54" s="100">
        <v>0.6511627906976745</v>
      </c>
      <c r="AS54" s="98">
        <v>690.4204167180372</v>
      </c>
      <c r="AT54" s="98">
        <v>320.55233633337446</v>
      </c>
      <c r="AU54" s="98" t="s">
        <v>660</v>
      </c>
      <c r="AV54" s="98">
        <v>591.7889286154605</v>
      </c>
      <c r="AW54" s="98">
        <v>678.0914807052152</v>
      </c>
      <c r="AX54" s="98">
        <v>912.3412649488349</v>
      </c>
      <c r="AY54" s="98">
        <v>1294.5382813463198</v>
      </c>
      <c r="AZ54" s="98">
        <v>715.0782887436815</v>
      </c>
      <c r="BA54" s="100" t="s">
        <v>660</v>
      </c>
      <c r="BB54" s="100" t="s">
        <v>660</v>
      </c>
      <c r="BC54" s="100" t="s">
        <v>660</v>
      </c>
      <c r="BD54" s="158">
        <v>1.114175873</v>
      </c>
      <c r="BE54" s="158">
        <v>1.464338989</v>
      </c>
      <c r="BF54" s="162">
        <v>1143</v>
      </c>
      <c r="BG54" s="162">
        <v>346</v>
      </c>
      <c r="BH54" s="162">
        <v>1947</v>
      </c>
      <c r="BI54" s="162">
        <v>1062</v>
      </c>
      <c r="BJ54" s="162">
        <v>415</v>
      </c>
      <c r="BK54" s="97"/>
      <c r="BL54" s="97"/>
      <c r="BM54" s="97"/>
      <c r="BN54" s="97"/>
    </row>
    <row r="55" spans="1:66" ht="12.75">
      <c r="A55" s="79" t="s">
        <v>634</v>
      </c>
      <c r="B55" s="79" t="s">
        <v>357</v>
      </c>
      <c r="C55" s="79" t="s">
        <v>173</v>
      </c>
      <c r="D55" s="99">
        <v>8849</v>
      </c>
      <c r="E55" s="99">
        <v>933</v>
      </c>
      <c r="F55" s="99" t="s">
        <v>397</v>
      </c>
      <c r="G55" s="99">
        <v>20</v>
      </c>
      <c r="H55" s="99">
        <v>15</v>
      </c>
      <c r="I55" s="99">
        <v>97</v>
      </c>
      <c r="J55" s="99">
        <v>755</v>
      </c>
      <c r="K55" s="99">
        <v>255</v>
      </c>
      <c r="L55" s="99">
        <v>1871</v>
      </c>
      <c r="M55" s="99">
        <v>430</v>
      </c>
      <c r="N55" s="99">
        <v>205</v>
      </c>
      <c r="O55" s="99">
        <v>155</v>
      </c>
      <c r="P55" s="159">
        <v>155</v>
      </c>
      <c r="Q55" s="99">
        <v>15</v>
      </c>
      <c r="R55" s="99">
        <v>36</v>
      </c>
      <c r="S55" s="99">
        <v>30</v>
      </c>
      <c r="T55" s="99">
        <v>23</v>
      </c>
      <c r="U55" s="99">
        <v>9</v>
      </c>
      <c r="V55" s="99">
        <v>24</v>
      </c>
      <c r="W55" s="99">
        <v>36</v>
      </c>
      <c r="X55" s="99">
        <v>33</v>
      </c>
      <c r="Y55" s="99">
        <v>87</v>
      </c>
      <c r="Z55" s="99">
        <v>43</v>
      </c>
      <c r="AA55" s="99" t="s">
        <v>660</v>
      </c>
      <c r="AB55" s="99" t="s">
        <v>660</v>
      </c>
      <c r="AC55" s="99" t="s">
        <v>660</v>
      </c>
      <c r="AD55" s="98" t="s">
        <v>376</v>
      </c>
      <c r="AE55" s="100">
        <v>0.10543564244547407</v>
      </c>
      <c r="AF55" s="100">
        <v>0.12</v>
      </c>
      <c r="AG55" s="98">
        <v>226.01423889705052</v>
      </c>
      <c r="AH55" s="98">
        <v>169.5106791727879</v>
      </c>
      <c r="AI55" s="100">
        <v>0.011000000000000001</v>
      </c>
      <c r="AJ55" s="100">
        <v>0.799788</v>
      </c>
      <c r="AK55" s="100">
        <v>0.806962</v>
      </c>
      <c r="AL55" s="100">
        <v>0.786465</v>
      </c>
      <c r="AM55" s="100">
        <v>0.547771</v>
      </c>
      <c r="AN55" s="100">
        <v>0.564738</v>
      </c>
      <c r="AO55" s="98">
        <v>1751.6103514521415</v>
      </c>
      <c r="AP55" s="158">
        <v>1.109792175</v>
      </c>
      <c r="AQ55" s="100">
        <v>0.0967741935483871</v>
      </c>
      <c r="AR55" s="100">
        <v>0.4166666666666667</v>
      </c>
      <c r="AS55" s="98">
        <v>339.0213583455758</v>
      </c>
      <c r="AT55" s="98">
        <v>259.9163747316081</v>
      </c>
      <c r="AU55" s="98">
        <v>101.70640750367274</v>
      </c>
      <c r="AV55" s="98">
        <v>271.2170866764606</v>
      </c>
      <c r="AW55" s="98">
        <v>406.82563001469094</v>
      </c>
      <c r="AX55" s="98">
        <v>372.92349418013333</v>
      </c>
      <c r="AY55" s="98">
        <v>983.1619392021697</v>
      </c>
      <c r="AZ55" s="98">
        <v>485.9306136286586</v>
      </c>
      <c r="BA55" s="100" t="s">
        <v>660</v>
      </c>
      <c r="BB55" s="100" t="s">
        <v>660</v>
      </c>
      <c r="BC55" s="100" t="s">
        <v>660</v>
      </c>
      <c r="BD55" s="158">
        <v>0.9419568634</v>
      </c>
      <c r="BE55" s="158">
        <v>1.298907166</v>
      </c>
      <c r="BF55" s="162">
        <v>944</v>
      </c>
      <c r="BG55" s="162">
        <v>316</v>
      </c>
      <c r="BH55" s="162">
        <v>2379</v>
      </c>
      <c r="BI55" s="162">
        <v>785</v>
      </c>
      <c r="BJ55" s="162">
        <v>363</v>
      </c>
      <c r="BK55" s="97"/>
      <c r="BL55" s="97"/>
      <c r="BM55" s="97"/>
      <c r="BN55" s="97"/>
    </row>
    <row r="56" spans="1:66" ht="12.75">
      <c r="A56" s="79" t="s">
        <v>609</v>
      </c>
      <c r="B56" s="79" t="s">
        <v>330</v>
      </c>
      <c r="C56" s="79" t="s">
        <v>173</v>
      </c>
      <c r="D56" s="99">
        <v>8474</v>
      </c>
      <c r="E56" s="99">
        <v>1783</v>
      </c>
      <c r="F56" s="99" t="s">
        <v>399</v>
      </c>
      <c r="G56" s="99">
        <v>45</v>
      </c>
      <c r="H56" s="99">
        <v>17</v>
      </c>
      <c r="I56" s="99">
        <v>132</v>
      </c>
      <c r="J56" s="99">
        <v>1053</v>
      </c>
      <c r="K56" s="99">
        <v>350</v>
      </c>
      <c r="L56" s="99">
        <v>1715</v>
      </c>
      <c r="M56" s="99">
        <v>752</v>
      </c>
      <c r="N56" s="99">
        <v>337</v>
      </c>
      <c r="O56" s="99">
        <v>172</v>
      </c>
      <c r="P56" s="159">
        <v>172</v>
      </c>
      <c r="Q56" s="99">
        <v>18</v>
      </c>
      <c r="R56" s="99">
        <v>44</v>
      </c>
      <c r="S56" s="99">
        <v>32</v>
      </c>
      <c r="T56" s="99">
        <v>27</v>
      </c>
      <c r="U56" s="99">
        <v>7</v>
      </c>
      <c r="V56" s="99">
        <v>25</v>
      </c>
      <c r="W56" s="99">
        <v>51</v>
      </c>
      <c r="X56" s="99">
        <v>35</v>
      </c>
      <c r="Y56" s="99">
        <v>92</v>
      </c>
      <c r="Z56" s="99">
        <v>52</v>
      </c>
      <c r="AA56" s="99" t="s">
        <v>660</v>
      </c>
      <c r="AB56" s="99" t="s">
        <v>660</v>
      </c>
      <c r="AC56" s="99" t="s">
        <v>660</v>
      </c>
      <c r="AD56" s="98" t="s">
        <v>376</v>
      </c>
      <c r="AE56" s="100">
        <v>0.21040830776492803</v>
      </c>
      <c r="AF56" s="100">
        <v>0.08</v>
      </c>
      <c r="AG56" s="98">
        <v>531.036110455511</v>
      </c>
      <c r="AH56" s="98">
        <v>200.61364172763749</v>
      </c>
      <c r="AI56" s="100">
        <v>0.016</v>
      </c>
      <c r="AJ56" s="100">
        <v>0.799544</v>
      </c>
      <c r="AK56" s="100">
        <v>0.802752</v>
      </c>
      <c r="AL56" s="100">
        <v>0.827703</v>
      </c>
      <c r="AM56" s="100">
        <v>0.5798</v>
      </c>
      <c r="AN56" s="100">
        <v>0.618349</v>
      </c>
      <c r="AO56" s="98">
        <v>2029.7380221855087</v>
      </c>
      <c r="AP56" s="158">
        <v>0.9345028687</v>
      </c>
      <c r="AQ56" s="100">
        <v>0.10465116279069768</v>
      </c>
      <c r="AR56" s="100">
        <v>0.4090909090909091</v>
      </c>
      <c r="AS56" s="98">
        <v>377.62567854614116</v>
      </c>
      <c r="AT56" s="98">
        <v>318.6216662733066</v>
      </c>
      <c r="AU56" s="98">
        <v>82.60561718196837</v>
      </c>
      <c r="AV56" s="98">
        <v>295.02006136417276</v>
      </c>
      <c r="AW56" s="98">
        <v>601.8409251829124</v>
      </c>
      <c r="AX56" s="98">
        <v>413.0280859098419</v>
      </c>
      <c r="AY56" s="98">
        <v>1085.6738258201558</v>
      </c>
      <c r="AZ56" s="98">
        <v>613.6417276374793</v>
      </c>
      <c r="BA56" s="100" t="s">
        <v>660</v>
      </c>
      <c r="BB56" s="100" t="s">
        <v>660</v>
      </c>
      <c r="BC56" s="100" t="s">
        <v>660</v>
      </c>
      <c r="BD56" s="158">
        <v>0.8000603485000001</v>
      </c>
      <c r="BE56" s="158">
        <v>1.085071945</v>
      </c>
      <c r="BF56" s="162">
        <v>1317</v>
      </c>
      <c r="BG56" s="162">
        <v>436</v>
      </c>
      <c r="BH56" s="162">
        <v>2072</v>
      </c>
      <c r="BI56" s="162">
        <v>1297</v>
      </c>
      <c r="BJ56" s="162">
        <v>545</v>
      </c>
      <c r="BK56" s="97"/>
      <c r="BL56" s="97"/>
      <c r="BM56" s="97"/>
      <c r="BN56" s="97"/>
    </row>
    <row r="57" spans="1:66" ht="12.75">
      <c r="A57" s="79" t="s">
        <v>619</v>
      </c>
      <c r="B57" s="79" t="s">
        <v>341</v>
      </c>
      <c r="C57" s="79" t="s">
        <v>173</v>
      </c>
      <c r="D57" s="99">
        <v>3155</v>
      </c>
      <c r="E57" s="99">
        <v>611</v>
      </c>
      <c r="F57" s="99" t="s">
        <v>399</v>
      </c>
      <c r="G57" s="99">
        <v>13</v>
      </c>
      <c r="H57" s="99">
        <v>7</v>
      </c>
      <c r="I57" s="99">
        <v>67</v>
      </c>
      <c r="J57" s="99">
        <v>347</v>
      </c>
      <c r="K57" s="99">
        <v>45</v>
      </c>
      <c r="L57" s="99">
        <v>606</v>
      </c>
      <c r="M57" s="99">
        <v>258</v>
      </c>
      <c r="N57" s="99">
        <v>120</v>
      </c>
      <c r="O57" s="99">
        <v>47</v>
      </c>
      <c r="P57" s="159">
        <v>47</v>
      </c>
      <c r="Q57" s="99" t="s">
        <v>660</v>
      </c>
      <c r="R57" s="99">
        <v>16</v>
      </c>
      <c r="S57" s="99">
        <v>15</v>
      </c>
      <c r="T57" s="99">
        <v>8</v>
      </c>
      <c r="U57" s="99" t="s">
        <v>660</v>
      </c>
      <c r="V57" s="99">
        <v>9</v>
      </c>
      <c r="W57" s="99">
        <v>20</v>
      </c>
      <c r="X57" s="99">
        <v>19</v>
      </c>
      <c r="Y57" s="99">
        <v>37</v>
      </c>
      <c r="Z57" s="99">
        <v>19</v>
      </c>
      <c r="AA57" s="99" t="s">
        <v>660</v>
      </c>
      <c r="AB57" s="99" t="s">
        <v>660</v>
      </c>
      <c r="AC57" s="99" t="s">
        <v>660</v>
      </c>
      <c r="AD57" s="98" t="s">
        <v>376</v>
      </c>
      <c r="AE57" s="100">
        <v>0.1936608557844691</v>
      </c>
      <c r="AF57" s="100">
        <v>0.06</v>
      </c>
      <c r="AG57" s="98">
        <v>412.0443740095087</v>
      </c>
      <c r="AH57" s="98">
        <v>221.87004754358162</v>
      </c>
      <c r="AI57" s="100">
        <v>0.021</v>
      </c>
      <c r="AJ57" s="100">
        <v>0.688492</v>
      </c>
      <c r="AK57" s="100">
        <v>0.633803</v>
      </c>
      <c r="AL57" s="100">
        <v>0.770992</v>
      </c>
      <c r="AM57" s="100">
        <v>0.51497</v>
      </c>
      <c r="AN57" s="100">
        <v>0.560748</v>
      </c>
      <c r="AO57" s="98">
        <v>1489.6988906497622</v>
      </c>
      <c r="AP57" s="158">
        <v>0.6978663635</v>
      </c>
      <c r="AQ57" s="100" t="s">
        <v>660</v>
      </c>
      <c r="AR57" s="100" t="s">
        <v>660</v>
      </c>
      <c r="AS57" s="98">
        <v>475.43581616481777</v>
      </c>
      <c r="AT57" s="98">
        <v>253.56576862123615</v>
      </c>
      <c r="AU57" s="98" t="s">
        <v>660</v>
      </c>
      <c r="AV57" s="98">
        <v>285.26148969889067</v>
      </c>
      <c r="AW57" s="98">
        <v>633.9144215530903</v>
      </c>
      <c r="AX57" s="98">
        <v>602.2187004754359</v>
      </c>
      <c r="AY57" s="98">
        <v>1172.7416798732172</v>
      </c>
      <c r="AZ57" s="98">
        <v>602.2187004754359</v>
      </c>
      <c r="BA57" s="100" t="s">
        <v>660</v>
      </c>
      <c r="BB57" s="100" t="s">
        <v>660</v>
      </c>
      <c r="BC57" s="100" t="s">
        <v>660</v>
      </c>
      <c r="BD57" s="158">
        <v>0.5127659606999999</v>
      </c>
      <c r="BE57" s="158">
        <v>0.9280142975</v>
      </c>
      <c r="BF57" s="162">
        <v>504</v>
      </c>
      <c r="BG57" s="162">
        <v>71</v>
      </c>
      <c r="BH57" s="162">
        <v>786</v>
      </c>
      <c r="BI57" s="162">
        <v>501</v>
      </c>
      <c r="BJ57" s="162">
        <v>214</v>
      </c>
      <c r="BK57" s="97"/>
      <c r="BL57" s="97"/>
      <c r="BM57" s="97"/>
      <c r="BN57" s="97"/>
    </row>
    <row r="58" spans="1:66" ht="12.75">
      <c r="A58" s="79" t="s">
        <v>652</v>
      </c>
      <c r="B58" s="79" t="s">
        <v>557</v>
      </c>
      <c r="C58" s="79" t="s">
        <v>173</v>
      </c>
      <c r="D58" s="99">
        <v>6832</v>
      </c>
      <c r="E58" s="99">
        <v>923</v>
      </c>
      <c r="F58" s="99" t="s">
        <v>398</v>
      </c>
      <c r="G58" s="99">
        <v>16</v>
      </c>
      <c r="H58" s="99">
        <v>9</v>
      </c>
      <c r="I58" s="99">
        <v>87</v>
      </c>
      <c r="J58" s="99">
        <v>540</v>
      </c>
      <c r="K58" s="99">
        <v>207</v>
      </c>
      <c r="L58" s="99">
        <v>1390</v>
      </c>
      <c r="M58" s="99">
        <v>336</v>
      </c>
      <c r="N58" s="99">
        <v>174</v>
      </c>
      <c r="O58" s="99">
        <v>129</v>
      </c>
      <c r="P58" s="159">
        <v>129</v>
      </c>
      <c r="Q58" s="99">
        <v>10</v>
      </c>
      <c r="R58" s="99">
        <v>22</v>
      </c>
      <c r="S58" s="99">
        <v>21</v>
      </c>
      <c r="T58" s="99">
        <v>15</v>
      </c>
      <c r="U58" s="99">
        <v>7</v>
      </c>
      <c r="V58" s="99">
        <v>12</v>
      </c>
      <c r="W58" s="99">
        <v>22</v>
      </c>
      <c r="X58" s="99">
        <v>29</v>
      </c>
      <c r="Y58" s="99">
        <v>74</v>
      </c>
      <c r="Z58" s="99">
        <v>22</v>
      </c>
      <c r="AA58" s="99" t="s">
        <v>660</v>
      </c>
      <c r="AB58" s="99" t="s">
        <v>660</v>
      </c>
      <c r="AC58" s="99" t="s">
        <v>660</v>
      </c>
      <c r="AD58" s="98" t="s">
        <v>376</v>
      </c>
      <c r="AE58" s="100">
        <v>0.13509953161592506</v>
      </c>
      <c r="AF58" s="100">
        <v>0.12</v>
      </c>
      <c r="AG58" s="98">
        <v>234.192037470726</v>
      </c>
      <c r="AH58" s="98">
        <v>131.73302107728338</v>
      </c>
      <c r="AI58" s="100">
        <v>0.013000000000000001</v>
      </c>
      <c r="AJ58" s="100">
        <v>0.772532</v>
      </c>
      <c r="AK58" s="100">
        <v>0.790076</v>
      </c>
      <c r="AL58" s="100">
        <v>0.803933</v>
      </c>
      <c r="AM58" s="100">
        <v>0.502994</v>
      </c>
      <c r="AN58" s="100">
        <v>0.527273</v>
      </c>
      <c r="AO58" s="98">
        <v>1888.1733021077284</v>
      </c>
      <c r="AP58" s="158">
        <v>1.146803818</v>
      </c>
      <c r="AQ58" s="100">
        <v>0.07751937984496124</v>
      </c>
      <c r="AR58" s="100">
        <v>0.45454545454545453</v>
      </c>
      <c r="AS58" s="98">
        <v>307.37704918032784</v>
      </c>
      <c r="AT58" s="98">
        <v>219.55503512880563</v>
      </c>
      <c r="AU58" s="98">
        <v>102.45901639344262</v>
      </c>
      <c r="AV58" s="98">
        <v>175.6440281030445</v>
      </c>
      <c r="AW58" s="98">
        <v>322.0140515222482</v>
      </c>
      <c r="AX58" s="98">
        <v>424.4730679156909</v>
      </c>
      <c r="AY58" s="98">
        <v>1083.1381733021078</v>
      </c>
      <c r="AZ58" s="98">
        <v>322.0140515222482</v>
      </c>
      <c r="BA58" s="100" t="s">
        <v>660</v>
      </c>
      <c r="BB58" s="100" t="s">
        <v>660</v>
      </c>
      <c r="BC58" s="100" t="s">
        <v>660</v>
      </c>
      <c r="BD58" s="158">
        <v>0.9574552155</v>
      </c>
      <c r="BE58" s="158">
        <v>1.362639465</v>
      </c>
      <c r="BF58" s="162">
        <v>699</v>
      </c>
      <c r="BG58" s="162">
        <v>262</v>
      </c>
      <c r="BH58" s="162">
        <v>1729</v>
      </c>
      <c r="BI58" s="162">
        <v>668</v>
      </c>
      <c r="BJ58" s="162">
        <v>330</v>
      </c>
      <c r="BK58" s="97"/>
      <c r="BL58" s="97"/>
      <c r="BM58" s="97"/>
      <c r="BN58" s="97"/>
    </row>
    <row r="59" spans="1:66" ht="12.75">
      <c r="A59" s="79" t="s">
        <v>578</v>
      </c>
      <c r="B59" s="79" t="s">
        <v>299</v>
      </c>
      <c r="C59" s="79" t="s">
        <v>173</v>
      </c>
      <c r="D59" s="99">
        <v>17234</v>
      </c>
      <c r="E59" s="99">
        <v>3132</v>
      </c>
      <c r="F59" s="99" t="s">
        <v>396</v>
      </c>
      <c r="G59" s="99">
        <v>75</v>
      </c>
      <c r="H59" s="99">
        <v>47</v>
      </c>
      <c r="I59" s="99">
        <v>299</v>
      </c>
      <c r="J59" s="99">
        <v>1534</v>
      </c>
      <c r="K59" s="99">
        <v>448</v>
      </c>
      <c r="L59" s="99">
        <v>3113</v>
      </c>
      <c r="M59" s="99">
        <v>1141</v>
      </c>
      <c r="N59" s="99">
        <v>538</v>
      </c>
      <c r="O59" s="99">
        <v>316</v>
      </c>
      <c r="P59" s="159">
        <v>316</v>
      </c>
      <c r="Q59" s="99">
        <v>36</v>
      </c>
      <c r="R59" s="99">
        <v>106</v>
      </c>
      <c r="S59" s="99">
        <v>55</v>
      </c>
      <c r="T59" s="99">
        <v>53</v>
      </c>
      <c r="U59" s="99">
        <v>24</v>
      </c>
      <c r="V59" s="99">
        <v>44</v>
      </c>
      <c r="W59" s="99">
        <v>123</v>
      </c>
      <c r="X59" s="99">
        <v>49</v>
      </c>
      <c r="Y59" s="99">
        <v>255</v>
      </c>
      <c r="Z59" s="99">
        <v>123</v>
      </c>
      <c r="AA59" s="99" t="s">
        <v>660</v>
      </c>
      <c r="AB59" s="99" t="s">
        <v>660</v>
      </c>
      <c r="AC59" s="99" t="s">
        <v>660</v>
      </c>
      <c r="AD59" s="98" t="s">
        <v>376</v>
      </c>
      <c r="AE59" s="100">
        <v>0.18173378205872112</v>
      </c>
      <c r="AF59" s="100">
        <v>0.18</v>
      </c>
      <c r="AG59" s="98">
        <v>435.1862597191598</v>
      </c>
      <c r="AH59" s="98">
        <v>272.71672275734016</v>
      </c>
      <c r="AI59" s="100">
        <v>0.017</v>
      </c>
      <c r="AJ59" s="100">
        <v>0.703993</v>
      </c>
      <c r="AK59" s="100">
        <v>0.759322</v>
      </c>
      <c r="AL59" s="100">
        <v>0.76656</v>
      </c>
      <c r="AM59" s="100">
        <v>0.54489</v>
      </c>
      <c r="AN59" s="100">
        <v>0.59056</v>
      </c>
      <c r="AO59" s="98">
        <v>1833.5847742833932</v>
      </c>
      <c r="AP59" s="158">
        <v>0.9397840118</v>
      </c>
      <c r="AQ59" s="100">
        <v>0.11392405063291139</v>
      </c>
      <c r="AR59" s="100">
        <v>0.33962264150943394</v>
      </c>
      <c r="AS59" s="98">
        <v>319.1365904607172</v>
      </c>
      <c r="AT59" s="98">
        <v>307.53162353487295</v>
      </c>
      <c r="AU59" s="98">
        <v>139.25960311013114</v>
      </c>
      <c r="AV59" s="98">
        <v>255.30927236857374</v>
      </c>
      <c r="AW59" s="98">
        <v>713.7054659394221</v>
      </c>
      <c r="AX59" s="98">
        <v>284.3216896831844</v>
      </c>
      <c r="AY59" s="98">
        <v>1479.6332830451433</v>
      </c>
      <c r="AZ59" s="98">
        <v>713.7054659394221</v>
      </c>
      <c r="BA59" s="101" t="s">
        <v>660</v>
      </c>
      <c r="BB59" s="101" t="s">
        <v>660</v>
      </c>
      <c r="BC59" s="101" t="s">
        <v>660</v>
      </c>
      <c r="BD59" s="158">
        <v>0.8390115356</v>
      </c>
      <c r="BE59" s="158">
        <v>1.049326706</v>
      </c>
      <c r="BF59" s="162">
        <v>2179</v>
      </c>
      <c r="BG59" s="162">
        <v>590</v>
      </c>
      <c r="BH59" s="162">
        <v>4061</v>
      </c>
      <c r="BI59" s="162">
        <v>2094</v>
      </c>
      <c r="BJ59" s="162">
        <v>911</v>
      </c>
      <c r="BK59" s="97"/>
      <c r="BL59" s="97"/>
      <c r="BM59" s="97"/>
      <c r="BN59" s="97"/>
    </row>
    <row r="60" spans="1:66" ht="12.75">
      <c r="A60" s="79" t="s">
        <v>582</v>
      </c>
      <c r="B60" s="79" t="s">
        <v>303</v>
      </c>
      <c r="C60" s="79" t="s">
        <v>173</v>
      </c>
      <c r="D60" s="99">
        <v>7988</v>
      </c>
      <c r="E60" s="99">
        <v>1747</v>
      </c>
      <c r="F60" s="99" t="s">
        <v>397</v>
      </c>
      <c r="G60" s="99">
        <v>39</v>
      </c>
      <c r="H60" s="99">
        <v>27</v>
      </c>
      <c r="I60" s="99">
        <v>140</v>
      </c>
      <c r="J60" s="99">
        <v>1088</v>
      </c>
      <c r="K60" s="99">
        <v>432</v>
      </c>
      <c r="L60" s="99">
        <v>1591</v>
      </c>
      <c r="M60" s="99">
        <v>818</v>
      </c>
      <c r="N60" s="99">
        <v>374</v>
      </c>
      <c r="O60" s="99">
        <v>78</v>
      </c>
      <c r="P60" s="159">
        <v>78</v>
      </c>
      <c r="Q60" s="99">
        <v>21</v>
      </c>
      <c r="R60" s="99">
        <v>54</v>
      </c>
      <c r="S60" s="99">
        <v>7</v>
      </c>
      <c r="T60" s="99">
        <v>14</v>
      </c>
      <c r="U60" s="99">
        <v>7</v>
      </c>
      <c r="V60" s="99">
        <v>12</v>
      </c>
      <c r="W60" s="99">
        <v>70</v>
      </c>
      <c r="X60" s="99">
        <v>22</v>
      </c>
      <c r="Y60" s="99">
        <v>103</v>
      </c>
      <c r="Z60" s="99">
        <v>51</v>
      </c>
      <c r="AA60" s="99" t="s">
        <v>660</v>
      </c>
      <c r="AB60" s="99" t="s">
        <v>660</v>
      </c>
      <c r="AC60" s="99" t="s">
        <v>660</v>
      </c>
      <c r="AD60" s="98" t="s">
        <v>376</v>
      </c>
      <c r="AE60" s="100">
        <v>0.2187030545818728</v>
      </c>
      <c r="AF60" s="100">
        <v>0.1</v>
      </c>
      <c r="AG60" s="98">
        <v>488.23234852278415</v>
      </c>
      <c r="AH60" s="98">
        <v>338.0070105157737</v>
      </c>
      <c r="AI60" s="100">
        <v>0.018000000000000002</v>
      </c>
      <c r="AJ60" s="100">
        <v>0.816204</v>
      </c>
      <c r="AK60" s="100">
        <v>0.838835</v>
      </c>
      <c r="AL60" s="100">
        <v>0.815897</v>
      </c>
      <c r="AM60" s="100">
        <v>0.621581</v>
      </c>
      <c r="AN60" s="100">
        <v>0.670251</v>
      </c>
      <c r="AO60" s="98">
        <v>976.4646970455683</v>
      </c>
      <c r="AP60" s="158">
        <v>0.4410310745</v>
      </c>
      <c r="AQ60" s="100">
        <v>0.2692307692307692</v>
      </c>
      <c r="AR60" s="100">
        <v>0.3888888888888889</v>
      </c>
      <c r="AS60" s="98">
        <v>87.63144717075613</v>
      </c>
      <c r="AT60" s="98">
        <v>175.26289434151226</v>
      </c>
      <c r="AU60" s="98">
        <v>87.63144717075613</v>
      </c>
      <c r="AV60" s="98">
        <v>150.22533800701052</v>
      </c>
      <c r="AW60" s="98">
        <v>876.3144717075613</v>
      </c>
      <c r="AX60" s="98">
        <v>275.4131196795193</v>
      </c>
      <c r="AY60" s="98">
        <v>1289.4341512268402</v>
      </c>
      <c r="AZ60" s="98">
        <v>638.4576865297947</v>
      </c>
      <c r="BA60" s="100" t="s">
        <v>660</v>
      </c>
      <c r="BB60" s="100" t="s">
        <v>660</v>
      </c>
      <c r="BC60" s="100" t="s">
        <v>660</v>
      </c>
      <c r="BD60" s="158">
        <v>0.34861675259999997</v>
      </c>
      <c r="BE60" s="158">
        <v>0.5504267502</v>
      </c>
      <c r="BF60" s="162">
        <v>1333</v>
      </c>
      <c r="BG60" s="162">
        <v>515</v>
      </c>
      <c r="BH60" s="162">
        <v>1950</v>
      </c>
      <c r="BI60" s="162">
        <v>1316</v>
      </c>
      <c r="BJ60" s="162">
        <v>558</v>
      </c>
      <c r="BK60" s="97"/>
      <c r="BL60" s="97"/>
      <c r="BM60" s="97"/>
      <c r="BN60" s="97"/>
    </row>
    <row r="61" spans="1:66" ht="12.75">
      <c r="A61" s="79" t="s">
        <v>564</v>
      </c>
      <c r="B61" s="79" t="s">
        <v>285</v>
      </c>
      <c r="C61" s="79" t="s">
        <v>173</v>
      </c>
      <c r="D61" s="99">
        <v>10953</v>
      </c>
      <c r="E61" s="99">
        <v>1969</v>
      </c>
      <c r="F61" s="99" t="s">
        <v>397</v>
      </c>
      <c r="G61" s="99">
        <v>55</v>
      </c>
      <c r="H61" s="99">
        <v>35</v>
      </c>
      <c r="I61" s="99">
        <v>194</v>
      </c>
      <c r="J61" s="99">
        <v>1311</v>
      </c>
      <c r="K61" s="99">
        <v>426</v>
      </c>
      <c r="L61" s="99">
        <v>2268</v>
      </c>
      <c r="M61" s="99">
        <v>884</v>
      </c>
      <c r="N61" s="99">
        <v>405</v>
      </c>
      <c r="O61" s="99">
        <v>284</v>
      </c>
      <c r="P61" s="159">
        <v>284</v>
      </c>
      <c r="Q61" s="99">
        <v>27</v>
      </c>
      <c r="R61" s="99">
        <v>58</v>
      </c>
      <c r="S61" s="99">
        <v>41</v>
      </c>
      <c r="T61" s="99">
        <v>46</v>
      </c>
      <c r="U61" s="99">
        <v>10</v>
      </c>
      <c r="V61" s="99">
        <v>46</v>
      </c>
      <c r="W61" s="99">
        <v>73</v>
      </c>
      <c r="X61" s="99">
        <v>50</v>
      </c>
      <c r="Y61" s="99">
        <v>126</v>
      </c>
      <c r="Z61" s="99">
        <v>76</v>
      </c>
      <c r="AA61" s="99" t="s">
        <v>660</v>
      </c>
      <c r="AB61" s="99" t="s">
        <v>660</v>
      </c>
      <c r="AC61" s="99" t="s">
        <v>660</v>
      </c>
      <c r="AD61" s="98" t="s">
        <v>376</v>
      </c>
      <c r="AE61" s="100">
        <v>0.17976810006390942</v>
      </c>
      <c r="AF61" s="100">
        <v>0.12</v>
      </c>
      <c r="AG61" s="98">
        <v>502.14553090477494</v>
      </c>
      <c r="AH61" s="98">
        <v>319.5471560303113</v>
      </c>
      <c r="AI61" s="100">
        <v>0.018000000000000002</v>
      </c>
      <c r="AJ61" s="100">
        <v>0.822976</v>
      </c>
      <c r="AK61" s="100">
        <v>0.835294</v>
      </c>
      <c r="AL61" s="100">
        <v>0.804826</v>
      </c>
      <c r="AM61" s="100">
        <v>0.584656</v>
      </c>
      <c r="AN61" s="100">
        <v>0.621166</v>
      </c>
      <c r="AO61" s="98">
        <v>2592.8969232173836</v>
      </c>
      <c r="AP61" s="158">
        <v>1.288834381</v>
      </c>
      <c r="AQ61" s="100">
        <v>0.09507042253521127</v>
      </c>
      <c r="AR61" s="100">
        <v>0.46551724137931033</v>
      </c>
      <c r="AS61" s="98">
        <v>374.3266684926504</v>
      </c>
      <c r="AT61" s="98">
        <v>419.9762622112663</v>
      </c>
      <c r="AU61" s="98">
        <v>91.29918743723181</v>
      </c>
      <c r="AV61" s="98">
        <v>419.9762622112663</v>
      </c>
      <c r="AW61" s="98">
        <v>666.4840682917923</v>
      </c>
      <c r="AX61" s="98">
        <v>456.49593718615904</v>
      </c>
      <c r="AY61" s="98">
        <v>1150.369761709121</v>
      </c>
      <c r="AZ61" s="98">
        <v>693.8738245229617</v>
      </c>
      <c r="BA61" s="100" t="s">
        <v>660</v>
      </c>
      <c r="BB61" s="100" t="s">
        <v>660</v>
      </c>
      <c r="BC61" s="100" t="s">
        <v>660</v>
      </c>
      <c r="BD61" s="158">
        <v>1.143283234</v>
      </c>
      <c r="BE61" s="158">
        <v>1.44778183</v>
      </c>
      <c r="BF61" s="162">
        <v>1593</v>
      </c>
      <c r="BG61" s="162">
        <v>510</v>
      </c>
      <c r="BH61" s="162">
        <v>2818</v>
      </c>
      <c r="BI61" s="162">
        <v>1512</v>
      </c>
      <c r="BJ61" s="162">
        <v>652</v>
      </c>
      <c r="BK61" s="97"/>
      <c r="BL61" s="97"/>
      <c r="BM61" s="97"/>
      <c r="BN61" s="97"/>
    </row>
    <row r="62" spans="1:66" ht="12.75">
      <c r="A62" s="79" t="s">
        <v>565</v>
      </c>
      <c r="B62" s="79" t="s">
        <v>286</v>
      </c>
      <c r="C62" s="79" t="s">
        <v>173</v>
      </c>
      <c r="D62" s="99">
        <v>13171</v>
      </c>
      <c r="E62" s="99">
        <v>2512</v>
      </c>
      <c r="F62" s="99" t="s">
        <v>398</v>
      </c>
      <c r="G62" s="99">
        <v>67</v>
      </c>
      <c r="H62" s="99">
        <v>32</v>
      </c>
      <c r="I62" s="99">
        <v>237</v>
      </c>
      <c r="J62" s="99">
        <v>1552</v>
      </c>
      <c r="K62" s="99">
        <v>659</v>
      </c>
      <c r="L62" s="99">
        <v>2651</v>
      </c>
      <c r="M62" s="99">
        <v>1063</v>
      </c>
      <c r="N62" s="99">
        <v>487</v>
      </c>
      <c r="O62" s="99">
        <v>283</v>
      </c>
      <c r="P62" s="159">
        <v>283</v>
      </c>
      <c r="Q62" s="99">
        <v>34</v>
      </c>
      <c r="R62" s="99">
        <v>66</v>
      </c>
      <c r="S62" s="99">
        <v>34</v>
      </c>
      <c r="T62" s="99">
        <v>56</v>
      </c>
      <c r="U62" s="99">
        <v>12</v>
      </c>
      <c r="V62" s="99">
        <v>42</v>
      </c>
      <c r="W62" s="99">
        <v>96</v>
      </c>
      <c r="X62" s="99">
        <v>79</v>
      </c>
      <c r="Y62" s="99">
        <v>151</v>
      </c>
      <c r="Z62" s="99">
        <v>114</v>
      </c>
      <c r="AA62" s="99" t="s">
        <v>660</v>
      </c>
      <c r="AB62" s="99" t="s">
        <v>660</v>
      </c>
      <c r="AC62" s="99" t="s">
        <v>660</v>
      </c>
      <c r="AD62" s="98" t="s">
        <v>376</v>
      </c>
      <c r="AE62" s="100">
        <v>0.19072204084731606</v>
      </c>
      <c r="AF62" s="100">
        <v>0.15</v>
      </c>
      <c r="AG62" s="98">
        <v>508.6933414319338</v>
      </c>
      <c r="AH62" s="98">
        <v>242.95801381823705</v>
      </c>
      <c r="AI62" s="100">
        <v>0.018000000000000002</v>
      </c>
      <c r="AJ62" s="100">
        <v>0.789822</v>
      </c>
      <c r="AK62" s="100">
        <v>0.814586</v>
      </c>
      <c r="AL62" s="100">
        <v>0.810208</v>
      </c>
      <c r="AM62" s="100">
        <v>0.569363</v>
      </c>
      <c r="AN62" s="100">
        <v>0.614899</v>
      </c>
      <c r="AO62" s="98">
        <v>2148.6599347050337</v>
      </c>
      <c r="AP62" s="158">
        <v>1.04795929</v>
      </c>
      <c r="AQ62" s="100">
        <v>0.12014134275618374</v>
      </c>
      <c r="AR62" s="100">
        <v>0.5151515151515151</v>
      </c>
      <c r="AS62" s="98">
        <v>258.14288968187685</v>
      </c>
      <c r="AT62" s="98">
        <v>425.17652418191483</v>
      </c>
      <c r="AU62" s="98">
        <v>91.10925518183889</v>
      </c>
      <c r="AV62" s="98">
        <v>318.8823931364361</v>
      </c>
      <c r="AW62" s="98">
        <v>728.8740414547111</v>
      </c>
      <c r="AX62" s="98">
        <v>599.8025966137727</v>
      </c>
      <c r="AY62" s="98">
        <v>1146.458127704806</v>
      </c>
      <c r="AZ62" s="98">
        <v>865.5379242274695</v>
      </c>
      <c r="BA62" s="100" t="s">
        <v>660</v>
      </c>
      <c r="BB62" s="100" t="s">
        <v>660</v>
      </c>
      <c r="BC62" s="100" t="s">
        <v>660</v>
      </c>
      <c r="BD62" s="158">
        <v>0.9294081878999999</v>
      </c>
      <c r="BE62" s="158">
        <v>1.177442017</v>
      </c>
      <c r="BF62" s="162">
        <v>1965</v>
      </c>
      <c r="BG62" s="162">
        <v>809</v>
      </c>
      <c r="BH62" s="162">
        <v>3272</v>
      </c>
      <c r="BI62" s="162">
        <v>1867</v>
      </c>
      <c r="BJ62" s="162">
        <v>792</v>
      </c>
      <c r="BK62" s="97"/>
      <c r="BL62" s="97"/>
      <c r="BM62" s="97"/>
      <c r="BN62" s="97"/>
    </row>
    <row r="63" spans="1:66" ht="12.75">
      <c r="A63" s="79" t="s">
        <v>598</v>
      </c>
      <c r="B63" s="79" t="s">
        <v>319</v>
      </c>
      <c r="C63" s="79" t="s">
        <v>173</v>
      </c>
      <c r="D63" s="99">
        <v>9295</v>
      </c>
      <c r="E63" s="99">
        <v>1550</v>
      </c>
      <c r="F63" s="99" t="s">
        <v>398</v>
      </c>
      <c r="G63" s="99">
        <v>57</v>
      </c>
      <c r="H63" s="99">
        <v>29</v>
      </c>
      <c r="I63" s="99">
        <v>187</v>
      </c>
      <c r="J63" s="99">
        <v>919</v>
      </c>
      <c r="K63" s="99">
        <v>312</v>
      </c>
      <c r="L63" s="99">
        <v>1864</v>
      </c>
      <c r="M63" s="99">
        <v>658</v>
      </c>
      <c r="N63" s="99">
        <v>278</v>
      </c>
      <c r="O63" s="99">
        <v>122</v>
      </c>
      <c r="P63" s="159">
        <v>122</v>
      </c>
      <c r="Q63" s="99">
        <v>17</v>
      </c>
      <c r="R63" s="99">
        <v>38</v>
      </c>
      <c r="S63" s="99">
        <v>22</v>
      </c>
      <c r="T63" s="99">
        <v>22</v>
      </c>
      <c r="U63" s="99">
        <v>9</v>
      </c>
      <c r="V63" s="99">
        <v>17</v>
      </c>
      <c r="W63" s="99">
        <v>55</v>
      </c>
      <c r="X63" s="99">
        <v>27</v>
      </c>
      <c r="Y63" s="99">
        <v>73</v>
      </c>
      <c r="Z63" s="99">
        <v>69</v>
      </c>
      <c r="AA63" s="99" t="s">
        <v>660</v>
      </c>
      <c r="AB63" s="99" t="s">
        <v>660</v>
      </c>
      <c r="AC63" s="99" t="s">
        <v>660</v>
      </c>
      <c r="AD63" s="98" t="s">
        <v>376</v>
      </c>
      <c r="AE63" s="100">
        <v>0.16675632060247444</v>
      </c>
      <c r="AF63" s="100">
        <v>0.14</v>
      </c>
      <c r="AG63" s="98">
        <v>613.2329209252287</v>
      </c>
      <c r="AH63" s="98">
        <v>311.9956966110812</v>
      </c>
      <c r="AI63" s="100">
        <v>0.02</v>
      </c>
      <c r="AJ63" s="100">
        <v>0.773569</v>
      </c>
      <c r="AK63" s="100">
        <v>0.802057</v>
      </c>
      <c r="AL63" s="100">
        <v>0.803795</v>
      </c>
      <c r="AM63" s="100">
        <v>0.5875</v>
      </c>
      <c r="AN63" s="100">
        <v>0.600432</v>
      </c>
      <c r="AO63" s="98">
        <v>1312.533620225928</v>
      </c>
      <c r="AP63" s="158">
        <v>0.697671814</v>
      </c>
      <c r="AQ63" s="100">
        <v>0.13934426229508196</v>
      </c>
      <c r="AR63" s="100">
        <v>0.4473684210526316</v>
      </c>
      <c r="AS63" s="98">
        <v>236.68639053254438</v>
      </c>
      <c r="AT63" s="98">
        <v>236.68639053254438</v>
      </c>
      <c r="AU63" s="98">
        <v>96.82625067240451</v>
      </c>
      <c r="AV63" s="98">
        <v>182.8940290478752</v>
      </c>
      <c r="AW63" s="98">
        <v>591.7159763313609</v>
      </c>
      <c r="AX63" s="98">
        <v>290.47875201721354</v>
      </c>
      <c r="AY63" s="98">
        <v>785.36847767617</v>
      </c>
      <c r="AZ63" s="98">
        <v>742.3345884884346</v>
      </c>
      <c r="BA63" s="100" t="s">
        <v>660</v>
      </c>
      <c r="BB63" s="100" t="s">
        <v>660</v>
      </c>
      <c r="BC63" s="100" t="s">
        <v>660</v>
      </c>
      <c r="BD63" s="158">
        <v>0.5793742752</v>
      </c>
      <c r="BE63" s="158">
        <v>0.8330210875999999</v>
      </c>
      <c r="BF63" s="162">
        <v>1188</v>
      </c>
      <c r="BG63" s="162">
        <v>389</v>
      </c>
      <c r="BH63" s="162">
        <v>2319</v>
      </c>
      <c r="BI63" s="162">
        <v>1120</v>
      </c>
      <c r="BJ63" s="162">
        <v>463</v>
      </c>
      <c r="BK63" s="97"/>
      <c r="BL63" s="97"/>
      <c r="BM63" s="97"/>
      <c r="BN63" s="97"/>
    </row>
    <row r="64" spans="1:66" ht="12.75">
      <c r="A64" s="79" t="s">
        <v>617</v>
      </c>
      <c r="B64" s="79" t="s">
        <v>339</v>
      </c>
      <c r="C64" s="79" t="s">
        <v>173</v>
      </c>
      <c r="D64" s="99">
        <v>3094</v>
      </c>
      <c r="E64" s="99">
        <v>511</v>
      </c>
      <c r="F64" s="99" t="s">
        <v>398</v>
      </c>
      <c r="G64" s="99">
        <v>14</v>
      </c>
      <c r="H64" s="99">
        <v>9</v>
      </c>
      <c r="I64" s="99">
        <v>34</v>
      </c>
      <c r="J64" s="99">
        <v>323</v>
      </c>
      <c r="K64" s="99">
        <v>145</v>
      </c>
      <c r="L64" s="99">
        <v>607</v>
      </c>
      <c r="M64" s="99">
        <v>222</v>
      </c>
      <c r="N64" s="99">
        <v>104</v>
      </c>
      <c r="O64" s="99">
        <v>58</v>
      </c>
      <c r="P64" s="159">
        <v>58</v>
      </c>
      <c r="Q64" s="99" t="s">
        <v>660</v>
      </c>
      <c r="R64" s="99">
        <v>13</v>
      </c>
      <c r="S64" s="99">
        <v>8</v>
      </c>
      <c r="T64" s="99">
        <v>13</v>
      </c>
      <c r="U64" s="99" t="s">
        <v>660</v>
      </c>
      <c r="V64" s="99">
        <v>18</v>
      </c>
      <c r="W64" s="99">
        <v>24</v>
      </c>
      <c r="X64" s="99">
        <v>19</v>
      </c>
      <c r="Y64" s="99">
        <v>28</v>
      </c>
      <c r="Z64" s="99">
        <v>23</v>
      </c>
      <c r="AA64" s="99" t="s">
        <v>660</v>
      </c>
      <c r="AB64" s="99" t="s">
        <v>660</v>
      </c>
      <c r="AC64" s="99" t="s">
        <v>660</v>
      </c>
      <c r="AD64" s="98" t="s">
        <v>376</v>
      </c>
      <c r="AE64" s="100">
        <v>0.16515837104072398</v>
      </c>
      <c r="AF64" s="100">
        <v>0.15</v>
      </c>
      <c r="AG64" s="98">
        <v>452.4886877828054</v>
      </c>
      <c r="AH64" s="98">
        <v>290.88558500323205</v>
      </c>
      <c r="AI64" s="100">
        <v>0.011000000000000001</v>
      </c>
      <c r="AJ64" s="100">
        <v>0.751163</v>
      </c>
      <c r="AK64" s="100">
        <v>0.775401</v>
      </c>
      <c r="AL64" s="100">
        <v>0.84072</v>
      </c>
      <c r="AM64" s="100">
        <v>0.510345</v>
      </c>
      <c r="AN64" s="100">
        <v>0.568306</v>
      </c>
      <c r="AO64" s="98">
        <v>1874.5959922430511</v>
      </c>
      <c r="AP64" s="158">
        <v>0.9778681946000001</v>
      </c>
      <c r="AQ64" s="100" t="s">
        <v>660</v>
      </c>
      <c r="AR64" s="100" t="s">
        <v>660</v>
      </c>
      <c r="AS64" s="98">
        <v>258.5649644473174</v>
      </c>
      <c r="AT64" s="98">
        <v>420.16806722689074</v>
      </c>
      <c r="AU64" s="98" t="s">
        <v>660</v>
      </c>
      <c r="AV64" s="98">
        <v>581.7711700064641</v>
      </c>
      <c r="AW64" s="98">
        <v>775.6948933419521</v>
      </c>
      <c r="AX64" s="98">
        <v>614.0917905623788</v>
      </c>
      <c r="AY64" s="98">
        <v>904.9773755656108</v>
      </c>
      <c r="AZ64" s="98">
        <v>743.3742727860375</v>
      </c>
      <c r="BA64" s="100" t="s">
        <v>660</v>
      </c>
      <c r="BB64" s="100" t="s">
        <v>660</v>
      </c>
      <c r="BC64" s="100" t="s">
        <v>660</v>
      </c>
      <c r="BD64" s="158">
        <v>0.7425363159</v>
      </c>
      <c r="BE64" s="158">
        <v>1.264121323</v>
      </c>
      <c r="BF64" s="162">
        <v>430</v>
      </c>
      <c r="BG64" s="162">
        <v>187</v>
      </c>
      <c r="BH64" s="162">
        <v>722</v>
      </c>
      <c r="BI64" s="162">
        <v>435</v>
      </c>
      <c r="BJ64" s="162">
        <v>183</v>
      </c>
      <c r="BK64" s="97"/>
      <c r="BL64" s="97"/>
      <c r="BM64" s="97"/>
      <c r="BN64" s="97"/>
    </row>
    <row r="65" spans="1:66" ht="12.75">
      <c r="A65" s="79" t="s">
        <v>631</v>
      </c>
      <c r="B65" s="79" t="s">
        <v>354</v>
      </c>
      <c r="C65" s="79" t="s">
        <v>173</v>
      </c>
      <c r="D65" s="99">
        <v>7878</v>
      </c>
      <c r="E65" s="99">
        <v>1550</v>
      </c>
      <c r="F65" s="99" t="s">
        <v>397</v>
      </c>
      <c r="G65" s="99">
        <v>43</v>
      </c>
      <c r="H65" s="99">
        <v>25</v>
      </c>
      <c r="I65" s="99">
        <v>155</v>
      </c>
      <c r="J65" s="99">
        <v>863</v>
      </c>
      <c r="K65" s="99">
        <v>344</v>
      </c>
      <c r="L65" s="99">
        <v>1555</v>
      </c>
      <c r="M65" s="99">
        <v>693</v>
      </c>
      <c r="N65" s="99">
        <v>318</v>
      </c>
      <c r="O65" s="99">
        <v>183</v>
      </c>
      <c r="P65" s="159">
        <v>183</v>
      </c>
      <c r="Q65" s="99">
        <v>20</v>
      </c>
      <c r="R65" s="99">
        <v>43</v>
      </c>
      <c r="S65" s="99">
        <v>33</v>
      </c>
      <c r="T65" s="99">
        <v>28</v>
      </c>
      <c r="U65" s="99" t="s">
        <v>660</v>
      </c>
      <c r="V65" s="99">
        <v>35</v>
      </c>
      <c r="W65" s="99">
        <v>65</v>
      </c>
      <c r="X65" s="99">
        <v>16</v>
      </c>
      <c r="Y65" s="99">
        <v>90</v>
      </c>
      <c r="Z65" s="99">
        <v>59</v>
      </c>
      <c r="AA65" s="99" t="s">
        <v>660</v>
      </c>
      <c r="AB65" s="99" t="s">
        <v>660</v>
      </c>
      <c r="AC65" s="99" t="s">
        <v>660</v>
      </c>
      <c r="AD65" s="98" t="s">
        <v>376</v>
      </c>
      <c r="AE65" s="100">
        <v>0.19675044427519675</v>
      </c>
      <c r="AF65" s="100">
        <v>0.11</v>
      </c>
      <c r="AG65" s="98">
        <v>545.8238131505458</v>
      </c>
      <c r="AH65" s="98">
        <v>317.33942625031733</v>
      </c>
      <c r="AI65" s="100">
        <v>0.02</v>
      </c>
      <c r="AJ65" s="100">
        <v>0.767794</v>
      </c>
      <c r="AK65" s="100">
        <v>0.834951</v>
      </c>
      <c r="AL65" s="100">
        <v>0.815417</v>
      </c>
      <c r="AM65" s="100">
        <v>0.615453</v>
      </c>
      <c r="AN65" s="100">
        <v>0.642424</v>
      </c>
      <c r="AO65" s="98">
        <v>2322.924600152323</v>
      </c>
      <c r="AP65" s="158">
        <v>1.116418533</v>
      </c>
      <c r="AQ65" s="100">
        <v>0.1092896174863388</v>
      </c>
      <c r="AR65" s="100">
        <v>0.46511627906976744</v>
      </c>
      <c r="AS65" s="98">
        <v>418.88804265041887</v>
      </c>
      <c r="AT65" s="98">
        <v>355.42015740035544</v>
      </c>
      <c r="AU65" s="98" t="s">
        <v>660</v>
      </c>
      <c r="AV65" s="98">
        <v>444.27519675044425</v>
      </c>
      <c r="AW65" s="98">
        <v>825.0825082508251</v>
      </c>
      <c r="AX65" s="98">
        <v>203.0972328002031</v>
      </c>
      <c r="AY65" s="98">
        <v>1142.4219345011425</v>
      </c>
      <c r="AZ65" s="98">
        <v>748.921045950749</v>
      </c>
      <c r="BA65" s="100" t="s">
        <v>660</v>
      </c>
      <c r="BB65" s="100" t="s">
        <v>660</v>
      </c>
      <c r="BC65" s="100" t="s">
        <v>660</v>
      </c>
      <c r="BD65" s="158">
        <v>0.9605199432</v>
      </c>
      <c r="BE65" s="158">
        <v>1.290411224</v>
      </c>
      <c r="BF65" s="162">
        <v>1124</v>
      </c>
      <c r="BG65" s="162">
        <v>412</v>
      </c>
      <c r="BH65" s="162">
        <v>1907</v>
      </c>
      <c r="BI65" s="162">
        <v>1126</v>
      </c>
      <c r="BJ65" s="162">
        <v>495</v>
      </c>
      <c r="BK65" s="97"/>
      <c r="BL65" s="97"/>
      <c r="BM65" s="97"/>
      <c r="BN65" s="97"/>
    </row>
    <row r="66" spans="1:66" ht="12.75">
      <c r="A66" s="79" t="s">
        <v>630</v>
      </c>
      <c r="B66" s="79" t="s">
        <v>353</v>
      </c>
      <c r="C66" s="79" t="s">
        <v>173</v>
      </c>
      <c r="D66" s="99">
        <v>8410</v>
      </c>
      <c r="E66" s="99">
        <v>1398</v>
      </c>
      <c r="F66" s="99" t="s">
        <v>398</v>
      </c>
      <c r="G66" s="99">
        <v>39</v>
      </c>
      <c r="H66" s="99">
        <v>25</v>
      </c>
      <c r="I66" s="99">
        <v>79</v>
      </c>
      <c r="J66" s="99">
        <v>870</v>
      </c>
      <c r="K66" s="99">
        <v>300</v>
      </c>
      <c r="L66" s="99">
        <v>1589</v>
      </c>
      <c r="M66" s="99">
        <v>544</v>
      </c>
      <c r="N66" s="99">
        <v>261</v>
      </c>
      <c r="O66" s="99">
        <v>154</v>
      </c>
      <c r="P66" s="159">
        <v>154</v>
      </c>
      <c r="Q66" s="99">
        <v>20</v>
      </c>
      <c r="R66" s="99">
        <v>43</v>
      </c>
      <c r="S66" s="99">
        <v>41</v>
      </c>
      <c r="T66" s="99">
        <v>25</v>
      </c>
      <c r="U66" s="99">
        <v>8</v>
      </c>
      <c r="V66" s="99">
        <v>18</v>
      </c>
      <c r="W66" s="99">
        <v>37</v>
      </c>
      <c r="X66" s="99">
        <v>27</v>
      </c>
      <c r="Y66" s="99">
        <v>68</v>
      </c>
      <c r="Z66" s="99">
        <v>71</v>
      </c>
      <c r="AA66" s="99" t="s">
        <v>660</v>
      </c>
      <c r="AB66" s="99" t="s">
        <v>660</v>
      </c>
      <c r="AC66" s="99" t="s">
        <v>660</v>
      </c>
      <c r="AD66" s="98" t="s">
        <v>376</v>
      </c>
      <c r="AE66" s="100">
        <v>0.166230677764566</v>
      </c>
      <c r="AF66" s="100">
        <v>0.16</v>
      </c>
      <c r="AG66" s="98">
        <v>463.7336504161712</v>
      </c>
      <c r="AH66" s="98">
        <v>297.2651605231867</v>
      </c>
      <c r="AI66" s="100">
        <v>0.009000000000000001</v>
      </c>
      <c r="AJ66" s="100">
        <v>0.794521</v>
      </c>
      <c r="AK66" s="100">
        <v>0.842697</v>
      </c>
      <c r="AL66" s="100">
        <v>0.777017</v>
      </c>
      <c r="AM66" s="100">
        <v>0.522073</v>
      </c>
      <c r="AN66" s="100">
        <v>0.564935</v>
      </c>
      <c r="AO66" s="98">
        <v>1831.15338882283</v>
      </c>
      <c r="AP66" s="158">
        <v>0.9597257996</v>
      </c>
      <c r="AQ66" s="100">
        <v>0.12987012987012986</v>
      </c>
      <c r="AR66" s="100">
        <v>0.46511627906976744</v>
      </c>
      <c r="AS66" s="98">
        <v>487.51486325802614</v>
      </c>
      <c r="AT66" s="98">
        <v>297.2651605231867</v>
      </c>
      <c r="AU66" s="98">
        <v>95.12485136741974</v>
      </c>
      <c r="AV66" s="98">
        <v>214.0309155766944</v>
      </c>
      <c r="AW66" s="98">
        <v>439.95243757431626</v>
      </c>
      <c r="AX66" s="98">
        <v>321.04637336504163</v>
      </c>
      <c r="AY66" s="98">
        <v>808.5612366230678</v>
      </c>
      <c r="AZ66" s="98">
        <v>844.2330558858501</v>
      </c>
      <c r="BA66" s="100" t="s">
        <v>660</v>
      </c>
      <c r="BB66" s="100" t="s">
        <v>660</v>
      </c>
      <c r="BC66" s="100" t="s">
        <v>660</v>
      </c>
      <c r="BD66" s="158">
        <v>0.8141343689</v>
      </c>
      <c r="BE66" s="158">
        <v>1.123840637</v>
      </c>
      <c r="BF66" s="162">
        <v>1095</v>
      </c>
      <c r="BG66" s="162">
        <v>356</v>
      </c>
      <c r="BH66" s="162">
        <v>2045</v>
      </c>
      <c r="BI66" s="162">
        <v>1042</v>
      </c>
      <c r="BJ66" s="162">
        <v>462</v>
      </c>
      <c r="BK66" s="97"/>
      <c r="BL66" s="97"/>
      <c r="BM66" s="97"/>
      <c r="BN66" s="97"/>
    </row>
    <row r="67" spans="1:66" ht="12.75">
      <c r="A67" s="79" t="s">
        <v>608</v>
      </c>
      <c r="B67" s="79" t="s">
        <v>329</v>
      </c>
      <c r="C67" s="79" t="s">
        <v>173</v>
      </c>
      <c r="D67" s="99">
        <v>14891</v>
      </c>
      <c r="E67" s="99">
        <v>2460</v>
      </c>
      <c r="F67" s="99" t="s">
        <v>398</v>
      </c>
      <c r="G67" s="99">
        <v>73</v>
      </c>
      <c r="H67" s="99">
        <v>37</v>
      </c>
      <c r="I67" s="99">
        <v>233</v>
      </c>
      <c r="J67" s="99">
        <v>183</v>
      </c>
      <c r="K67" s="99">
        <v>177</v>
      </c>
      <c r="L67" s="99">
        <v>257</v>
      </c>
      <c r="M67" s="99">
        <v>1021</v>
      </c>
      <c r="N67" s="99">
        <v>473</v>
      </c>
      <c r="O67" s="99">
        <v>392</v>
      </c>
      <c r="P67" s="159">
        <v>392</v>
      </c>
      <c r="Q67" s="99">
        <v>42</v>
      </c>
      <c r="R67" s="99">
        <v>88</v>
      </c>
      <c r="S67" s="99">
        <v>72</v>
      </c>
      <c r="T67" s="99">
        <v>55</v>
      </c>
      <c r="U67" s="99">
        <v>12</v>
      </c>
      <c r="V67" s="99">
        <v>76</v>
      </c>
      <c r="W67" s="99">
        <v>115</v>
      </c>
      <c r="X67" s="99">
        <v>68</v>
      </c>
      <c r="Y67" s="99">
        <v>165</v>
      </c>
      <c r="Z67" s="99">
        <v>119</v>
      </c>
      <c r="AA67" s="99" t="s">
        <v>660</v>
      </c>
      <c r="AB67" s="99" t="s">
        <v>660</v>
      </c>
      <c r="AC67" s="99" t="s">
        <v>660</v>
      </c>
      <c r="AD67" s="98" t="s">
        <v>376</v>
      </c>
      <c r="AE67" s="100">
        <v>0.1652004566516688</v>
      </c>
      <c r="AF67" s="100">
        <v>0.14</v>
      </c>
      <c r="AG67" s="98">
        <v>490.2289973809684</v>
      </c>
      <c r="AH67" s="98">
        <v>248.47223154925794</v>
      </c>
      <c r="AI67" s="100">
        <v>0.016</v>
      </c>
      <c r="AJ67" s="100">
        <v>0.806167</v>
      </c>
      <c r="AK67" s="100">
        <v>0.793722</v>
      </c>
      <c r="AL67" s="100">
        <v>0.842623</v>
      </c>
      <c r="AM67" s="100">
        <v>0.561606</v>
      </c>
      <c r="AN67" s="100">
        <v>0.594221</v>
      </c>
      <c r="AO67" s="98">
        <v>2632.462561278625</v>
      </c>
      <c r="AP67" s="158">
        <v>1.3908779910000002</v>
      </c>
      <c r="AQ67" s="100">
        <v>0.10714285714285714</v>
      </c>
      <c r="AR67" s="100">
        <v>0.4772727272727273</v>
      </c>
      <c r="AS67" s="98">
        <v>483.51353166342085</v>
      </c>
      <c r="AT67" s="98">
        <v>369.35061446511315</v>
      </c>
      <c r="AU67" s="98">
        <v>80.58558861057014</v>
      </c>
      <c r="AV67" s="98">
        <v>510.3753945336109</v>
      </c>
      <c r="AW67" s="98">
        <v>772.2785575179639</v>
      </c>
      <c r="AX67" s="98">
        <v>456.6516687932308</v>
      </c>
      <c r="AY67" s="98">
        <v>1108.0518433953396</v>
      </c>
      <c r="AZ67" s="98">
        <v>799.1404203881539</v>
      </c>
      <c r="BA67" s="100" t="s">
        <v>660</v>
      </c>
      <c r="BB67" s="100" t="s">
        <v>660</v>
      </c>
      <c r="BC67" s="100" t="s">
        <v>660</v>
      </c>
      <c r="BD67" s="158">
        <v>1.256578445</v>
      </c>
      <c r="BE67" s="158">
        <v>1.535620728</v>
      </c>
      <c r="BF67" s="162">
        <v>227</v>
      </c>
      <c r="BG67" s="162">
        <v>223</v>
      </c>
      <c r="BH67" s="162">
        <v>305</v>
      </c>
      <c r="BI67" s="162">
        <v>1818</v>
      </c>
      <c r="BJ67" s="162">
        <v>796</v>
      </c>
      <c r="BK67" s="97"/>
      <c r="BL67" s="97"/>
      <c r="BM67" s="97"/>
      <c r="BN67" s="97"/>
    </row>
    <row r="68" spans="1:66" ht="12.75">
      <c r="A68" s="79" t="s">
        <v>571</v>
      </c>
      <c r="B68" s="79" t="s">
        <v>292</v>
      </c>
      <c r="C68" s="79" t="s">
        <v>173</v>
      </c>
      <c r="D68" s="99">
        <v>11502</v>
      </c>
      <c r="E68" s="99">
        <v>2477</v>
      </c>
      <c r="F68" s="99" t="s">
        <v>398</v>
      </c>
      <c r="G68" s="99">
        <v>81</v>
      </c>
      <c r="H68" s="99">
        <v>40</v>
      </c>
      <c r="I68" s="99">
        <v>213</v>
      </c>
      <c r="J68" s="99">
        <v>1211</v>
      </c>
      <c r="K68" s="99">
        <v>427</v>
      </c>
      <c r="L68" s="99">
        <v>2122</v>
      </c>
      <c r="M68" s="99">
        <v>835</v>
      </c>
      <c r="N68" s="99">
        <v>381</v>
      </c>
      <c r="O68" s="99">
        <v>271</v>
      </c>
      <c r="P68" s="159">
        <v>271</v>
      </c>
      <c r="Q68" s="99">
        <v>24</v>
      </c>
      <c r="R68" s="99">
        <v>62</v>
      </c>
      <c r="S68" s="99">
        <v>77</v>
      </c>
      <c r="T68" s="99">
        <v>46</v>
      </c>
      <c r="U68" s="99">
        <v>12</v>
      </c>
      <c r="V68" s="99">
        <v>25</v>
      </c>
      <c r="W68" s="99">
        <v>101</v>
      </c>
      <c r="X68" s="99">
        <v>36</v>
      </c>
      <c r="Y68" s="99">
        <v>187</v>
      </c>
      <c r="Z68" s="99">
        <v>116</v>
      </c>
      <c r="AA68" s="99" t="s">
        <v>660</v>
      </c>
      <c r="AB68" s="99" t="s">
        <v>660</v>
      </c>
      <c r="AC68" s="99" t="s">
        <v>660</v>
      </c>
      <c r="AD68" s="98" t="s">
        <v>376</v>
      </c>
      <c r="AE68" s="100">
        <v>0.21535385150408626</v>
      </c>
      <c r="AF68" s="100">
        <v>0.16</v>
      </c>
      <c r="AG68" s="98">
        <v>704.2253521126761</v>
      </c>
      <c r="AH68" s="98">
        <v>347.7656059815684</v>
      </c>
      <c r="AI68" s="100">
        <v>0.019</v>
      </c>
      <c r="AJ68" s="100">
        <v>0.744315</v>
      </c>
      <c r="AK68" s="100">
        <v>0.799625</v>
      </c>
      <c r="AL68" s="100">
        <v>0.785344</v>
      </c>
      <c r="AM68" s="100">
        <v>0.555925</v>
      </c>
      <c r="AN68" s="100">
        <v>0.563609</v>
      </c>
      <c r="AO68" s="98">
        <v>2356.111980525126</v>
      </c>
      <c r="AP68" s="158">
        <v>1.103002777</v>
      </c>
      <c r="AQ68" s="100">
        <v>0.08856088560885608</v>
      </c>
      <c r="AR68" s="100">
        <v>0.3870967741935484</v>
      </c>
      <c r="AS68" s="98">
        <v>669.4487915145193</v>
      </c>
      <c r="AT68" s="98">
        <v>399.9304468788037</v>
      </c>
      <c r="AU68" s="98">
        <v>104.32968179447053</v>
      </c>
      <c r="AV68" s="98">
        <v>217.35350373848027</v>
      </c>
      <c r="AW68" s="98">
        <v>878.1081551034603</v>
      </c>
      <c r="AX68" s="98">
        <v>312.98904538341156</v>
      </c>
      <c r="AY68" s="98">
        <v>1625.8042079638324</v>
      </c>
      <c r="AZ68" s="98">
        <v>1008.5202573465484</v>
      </c>
      <c r="BA68" s="100" t="s">
        <v>660</v>
      </c>
      <c r="BB68" s="100" t="s">
        <v>660</v>
      </c>
      <c r="BC68" s="100" t="s">
        <v>660</v>
      </c>
      <c r="BD68" s="158">
        <v>0.9755764771</v>
      </c>
      <c r="BE68" s="158">
        <v>1.242449341</v>
      </c>
      <c r="BF68" s="162">
        <v>1627</v>
      </c>
      <c r="BG68" s="162">
        <v>534</v>
      </c>
      <c r="BH68" s="162">
        <v>2702</v>
      </c>
      <c r="BI68" s="162">
        <v>1502</v>
      </c>
      <c r="BJ68" s="162">
        <v>676</v>
      </c>
      <c r="BK68" s="97"/>
      <c r="BL68" s="97"/>
      <c r="BM68" s="97"/>
      <c r="BN68" s="97"/>
    </row>
    <row r="69" spans="1:66" ht="12.75">
      <c r="A69" s="79" t="s">
        <v>574</v>
      </c>
      <c r="B69" s="79" t="s">
        <v>295</v>
      </c>
      <c r="C69" s="79" t="s">
        <v>173</v>
      </c>
      <c r="D69" s="99">
        <v>10589</v>
      </c>
      <c r="E69" s="99">
        <v>1712</v>
      </c>
      <c r="F69" s="99" t="s">
        <v>398</v>
      </c>
      <c r="G69" s="99">
        <v>54</v>
      </c>
      <c r="H69" s="99">
        <v>27</v>
      </c>
      <c r="I69" s="99">
        <v>116</v>
      </c>
      <c r="J69" s="99">
        <v>1134</v>
      </c>
      <c r="K69" s="99">
        <v>393</v>
      </c>
      <c r="L69" s="99">
        <v>1917</v>
      </c>
      <c r="M69" s="99">
        <v>618</v>
      </c>
      <c r="N69" s="99">
        <v>261</v>
      </c>
      <c r="O69" s="99">
        <v>234</v>
      </c>
      <c r="P69" s="159">
        <v>234</v>
      </c>
      <c r="Q69" s="99">
        <v>30</v>
      </c>
      <c r="R69" s="99">
        <v>56</v>
      </c>
      <c r="S69" s="99">
        <v>48</v>
      </c>
      <c r="T69" s="99">
        <v>44</v>
      </c>
      <c r="U69" s="99">
        <v>9</v>
      </c>
      <c r="V69" s="99">
        <v>25</v>
      </c>
      <c r="W69" s="99">
        <v>49</v>
      </c>
      <c r="X69" s="99">
        <v>48</v>
      </c>
      <c r="Y69" s="99">
        <v>139</v>
      </c>
      <c r="Z69" s="99">
        <v>71</v>
      </c>
      <c r="AA69" s="99" t="s">
        <v>660</v>
      </c>
      <c r="AB69" s="99" t="s">
        <v>660</v>
      </c>
      <c r="AC69" s="99" t="s">
        <v>660</v>
      </c>
      <c r="AD69" s="98" t="s">
        <v>376</v>
      </c>
      <c r="AE69" s="100">
        <v>0.16167721220134101</v>
      </c>
      <c r="AF69" s="100">
        <v>0.13</v>
      </c>
      <c r="AG69" s="98">
        <v>509.96316932665974</v>
      </c>
      <c r="AH69" s="98">
        <v>254.98158466332987</v>
      </c>
      <c r="AI69" s="100">
        <v>0.011000000000000001</v>
      </c>
      <c r="AJ69" s="100">
        <v>0.817592</v>
      </c>
      <c r="AK69" s="100">
        <v>0.830867</v>
      </c>
      <c r="AL69" s="100">
        <v>0.768953</v>
      </c>
      <c r="AM69" s="100">
        <v>0.499596</v>
      </c>
      <c r="AN69" s="100">
        <v>0.537037</v>
      </c>
      <c r="AO69" s="98">
        <v>2209.8404004155254</v>
      </c>
      <c r="AP69" s="158">
        <v>1.182943039</v>
      </c>
      <c r="AQ69" s="100">
        <v>0.1282051282051282</v>
      </c>
      <c r="AR69" s="100">
        <v>0.5357142857142857</v>
      </c>
      <c r="AS69" s="98">
        <v>453.30059495703085</v>
      </c>
      <c r="AT69" s="98">
        <v>415.5255453772783</v>
      </c>
      <c r="AU69" s="98">
        <v>84.99386155444328</v>
      </c>
      <c r="AV69" s="98">
        <v>236.09405987345357</v>
      </c>
      <c r="AW69" s="98">
        <v>462.74435735196903</v>
      </c>
      <c r="AX69" s="98">
        <v>453.30059495703085</v>
      </c>
      <c r="AY69" s="98">
        <v>1312.682972896402</v>
      </c>
      <c r="AZ69" s="98">
        <v>670.5071300406082</v>
      </c>
      <c r="BA69" s="100" t="s">
        <v>660</v>
      </c>
      <c r="BB69" s="100" t="s">
        <v>660</v>
      </c>
      <c r="BC69" s="100" t="s">
        <v>660</v>
      </c>
      <c r="BD69" s="158">
        <v>1.036219788</v>
      </c>
      <c r="BE69" s="158">
        <v>1.344618683</v>
      </c>
      <c r="BF69" s="162">
        <v>1387</v>
      </c>
      <c r="BG69" s="162">
        <v>473</v>
      </c>
      <c r="BH69" s="162">
        <v>2493</v>
      </c>
      <c r="BI69" s="162">
        <v>1237</v>
      </c>
      <c r="BJ69" s="162">
        <v>486</v>
      </c>
      <c r="BK69" s="97"/>
      <c r="BL69" s="97"/>
      <c r="BM69" s="97"/>
      <c r="BN69" s="97"/>
    </row>
    <row r="70" spans="1:66" ht="12.75">
      <c r="A70" s="79" t="s">
        <v>575</v>
      </c>
      <c r="B70" s="79" t="s">
        <v>296</v>
      </c>
      <c r="C70" s="79" t="s">
        <v>173</v>
      </c>
      <c r="D70" s="99">
        <v>13780</v>
      </c>
      <c r="E70" s="99">
        <v>2298</v>
      </c>
      <c r="F70" s="99" t="s">
        <v>398</v>
      </c>
      <c r="G70" s="99">
        <v>78</v>
      </c>
      <c r="H70" s="99">
        <v>35</v>
      </c>
      <c r="I70" s="99">
        <v>215</v>
      </c>
      <c r="J70" s="99">
        <v>88</v>
      </c>
      <c r="K70" s="99">
        <v>87</v>
      </c>
      <c r="L70" s="99">
        <v>140</v>
      </c>
      <c r="M70" s="99">
        <v>895</v>
      </c>
      <c r="N70" s="99">
        <v>433</v>
      </c>
      <c r="O70" s="99">
        <v>249</v>
      </c>
      <c r="P70" s="159">
        <v>249</v>
      </c>
      <c r="Q70" s="99">
        <v>24</v>
      </c>
      <c r="R70" s="99">
        <v>68</v>
      </c>
      <c r="S70" s="99">
        <v>70</v>
      </c>
      <c r="T70" s="99">
        <v>22</v>
      </c>
      <c r="U70" s="99" t="s">
        <v>660</v>
      </c>
      <c r="V70" s="99">
        <v>47</v>
      </c>
      <c r="W70" s="99">
        <v>87</v>
      </c>
      <c r="X70" s="99">
        <v>56</v>
      </c>
      <c r="Y70" s="99">
        <v>135</v>
      </c>
      <c r="Z70" s="99">
        <v>102</v>
      </c>
      <c r="AA70" s="99" t="s">
        <v>660</v>
      </c>
      <c r="AB70" s="99" t="s">
        <v>660</v>
      </c>
      <c r="AC70" s="99" t="s">
        <v>660</v>
      </c>
      <c r="AD70" s="98" t="s">
        <v>376</v>
      </c>
      <c r="AE70" s="100">
        <v>0.1667634252539913</v>
      </c>
      <c r="AF70" s="100">
        <v>0.16</v>
      </c>
      <c r="AG70" s="98">
        <v>566.0377358490566</v>
      </c>
      <c r="AH70" s="98">
        <v>253.99129172714078</v>
      </c>
      <c r="AI70" s="100">
        <v>0.016</v>
      </c>
      <c r="AJ70" s="100">
        <v>0.814815</v>
      </c>
      <c r="AK70" s="100">
        <v>0.813084</v>
      </c>
      <c r="AL70" s="100">
        <v>0.838323</v>
      </c>
      <c r="AM70" s="100">
        <v>0.55281</v>
      </c>
      <c r="AN70" s="100">
        <v>0.616809</v>
      </c>
      <c r="AO70" s="98">
        <v>1806.966618287373</v>
      </c>
      <c r="AP70" s="158">
        <v>0.9678025055</v>
      </c>
      <c r="AQ70" s="100">
        <v>0.0963855421686747</v>
      </c>
      <c r="AR70" s="100">
        <v>0.35294117647058826</v>
      </c>
      <c r="AS70" s="98">
        <v>507.98258345428155</v>
      </c>
      <c r="AT70" s="98">
        <v>159.65166908563134</v>
      </c>
      <c r="AU70" s="98" t="s">
        <v>660</v>
      </c>
      <c r="AV70" s="98">
        <v>341.0740203193033</v>
      </c>
      <c r="AW70" s="98">
        <v>631.3497822931785</v>
      </c>
      <c r="AX70" s="98">
        <v>406.3860667634253</v>
      </c>
      <c r="AY70" s="98">
        <v>979.6806966618287</v>
      </c>
      <c r="AZ70" s="98">
        <v>740.2031930333817</v>
      </c>
      <c r="BA70" s="100" t="s">
        <v>660</v>
      </c>
      <c r="BB70" s="100" t="s">
        <v>660</v>
      </c>
      <c r="BC70" s="100" t="s">
        <v>660</v>
      </c>
      <c r="BD70" s="158">
        <v>0.8513166046</v>
      </c>
      <c r="BE70" s="158">
        <v>1.095776978</v>
      </c>
      <c r="BF70" s="162">
        <v>108</v>
      </c>
      <c r="BG70" s="162">
        <v>107</v>
      </c>
      <c r="BH70" s="162">
        <v>167</v>
      </c>
      <c r="BI70" s="162">
        <v>1619</v>
      </c>
      <c r="BJ70" s="162">
        <v>702</v>
      </c>
      <c r="BK70" s="97"/>
      <c r="BL70" s="97"/>
      <c r="BM70" s="97"/>
      <c r="BN70" s="97"/>
    </row>
    <row r="71" spans="1:66" ht="12.75">
      <c r="A71" s="79" t="s">
        <v>632</v>
      </c>
      <c r="B71" s="79" t="s">
        <v>355</v>
      </c>
      <c r="C71" s="79" t="s">
        <v>173</v>
      </c>
      <c r="D71" s="99">
        <v>1633</v>
      </c>
      <c r="E71" s="99">
        <v>329</v>
      </c>
      <c r="F71" s="99" t="s">
        <v>397</v>
      </c>
      <c r="G71" s="99" t="s">
        <v>660</v>
      </c>
      <c r="H71" s="99" t="s">
        <v>660</v>
      </c>
      <c r="I71" s="99">
        <v>21</v>
      </c>
      <c r="J71" s="99">
        <v>156</v>
      </c>
      <c r="K71" s="99">
        <v>39</v>
      </c>
      <c r="L71" s="99">
        <v>290</v>
      </c>
      <c r="M71" s="99">
        <v>131</v>
      </c>
      <c r="N71" s="99">
        <v>56</v>
      </c>
      <c r="O71" s="99" t="s">
        <v>660</v>
      </c>
      <c r="P71" s="159" t="s">
        <v>660</v>
      </c>
      <c r="Q71" s="99" t="s">
        <v>660</v>
      </c>
      <c r="R71" s="99" t="s">
        <v>660</v>
      </c>
      <c r="S71" s="99" t="s">
        <v>660</v>
      </c>
      <c r="T71" s="99" t="s">
        <v>660</v>
      </c>
      <c r="U71" s="99" t="s">
        <v>660</v>
      </c>
      <c r="V71" s="99" t="s">
        <v>660</v>
      </c>
      <c r="W71" s="99">
        <v>8</v>
      </c>
      <c r="X71" s="99" t="s">
        <v>660</v>
      </c>
      <c r="Y71" s="99">
        <v>11</v>
      </c>
      <c r="Z71" s="99" t="s">
        <v>660</v>
      </c>
      <c r="AA71" s="99" t="s">
        <v>660</v>
      </c>
      <c r="AB71" s="99" t="s">
        <v>660</v>
      </c>
      <c r="AC71" s="99" t="s">
        <v>660</v>
      </c>
      <c r="AD71" s="98" t="s">
        <v>376</v>
      </c>
      <c r="AE71" s="100">
        <v>0.20146968769136558</v>
      </c>
      <c r="AF71" s="100">
        <v>0.09</v>
      </c>
      <c r="AG71" s="98" t="s">
        <v>660</v>
      </c>
      <c r="AH71" s="98" t="s">
        <v>660</v>
      </c>
      <c r="AI71" s="100">
        <v>0.013000000000000001</v>
      </c>
      <c r="AJ71" s="100">
        <v>0.787879</v>
      </c>
      <c r="AK71" s="100">
        <v>0.764706</v>
      </c>
      <c r="AL71" s="100">
        <v>0.734177</v>
      </c>
      <c r="AM71" s="100">
        <v>0.595455</v>
      </c>
      <c r="AN71" s="100">
        <v>0.589474</v>
      </c>
      <c r="AO71" s="98" t="s">
        <v>660</v>
      </c>
      <c r="AP71" s="158" t="s">
        <v>660</v>
      </c>
      <c r="AQ71" s="100" t="s">
        <v>660</v>
      </c>
      <c r="AR71" s="100" t="s">
        <v>660</v>
      </c>
      <c r="AS71" s="98" t="s">
        <v>660</v>
      </c>
      <c r="AT71" s="98" t="s">
        <v>660</v>
      </c>
      <c r="AU71" s="98" t="s">
        <v>660</v>
      </c>
      <c r="AV71" s="98" t="s">
        <v>660</v>
      </c>
      <c r="AW71" s="98">
        <v>489.8958971218616</v>
      </c>
      <c r="AX71" s="98" t="s">
        <v>660</v>
      </c>
      <c r="AY71" s="98">
        <v>673.6068585425597</v>
      </c>
      <c r="AZ71" s="98" t="s">
        <v>660</v>
      </c>
      <c r="BA71" s="100" t="s">
        <v>660</v>
      </c>
      <c r="BB71" s="100" t="s">
        <v>660</v>
      </c>
      <c r="BC71" s="100" t="s">
        <v>660</v>
      </c>
      <c r="BD71" s="158" t="s">
        <v>660</v>
      </c>
      <c r="BE71" s="158" t="s">
        <v>660</v>
      </c>
      <c r="BF71" s="162">
        <v>198</v>
      </c>
      <c r="BG71" s="162">
        <v>51</v>
      </c>
      <c r="BH71" s="162">
        <v>395</v>
      </c>
      <c r="BI71" s="162">
        <v>220</v>
      </c>
      <c r="BJ71" s="162">
        <v>95</v>
      </c>
      <c r="BK71" s="97"/>
      <c r="BL71" s="97"/>
      <c r="BM71" s="97"/>
      <c r="BN71" s="97"/>
    </row>
    <row r="72" spans="1:66" ht="12.75">
      <c r="A72" s="79" t="s">
        <v>585</v>
      </c>
      <c r="B72" s="79" t="s">
        <v>306</v>
      </c>
      <c r="C72" s="79" t="s">
        <v>173</v>
      </c>
      <c r="D72" s="99">
        <v>8659</v>
      </c>
      <c r="E72" s="99">
        <v>1329</v>
      </c>
      <c r="F72" s="99" t="s">
        <v>398</v>
      </c>
      <c r="G72" s="99">
        <v>52</v>
      </c>
      <c r="H72" s="99">
        <v>15</v>
      </c>
      <c r="I72" s="99">
        <v>126</v>
      </c>
      <c r="J72" s="99">
        <v>857</v>
      </c>
      <c r="K72" s="99">
        <v>313</v>
      </c>
      <c r="L72" s="99">
        <v>1782</v>
      </c>
      <c r="M72" s="99">
        <v>534</v>
      </c>
      <c r="N72" s="99">
        <v>239</v>
      </c>
      <c r="O72" s="99">
        <v>168</v>
      </c>
      <c r="P72" s="159">
        <v>168</v>
      </c>
      <c r="Q72" s="99">
        <v>18</v>
      </c>
      <c r="R72" s="99">
        <v>45</v>
      </c>
      <c r="S72" s="99">
        <v>25</v>
      </c>
      <c r="T72" s="99">
        <v>37</v>
      </c>
      <c r="U72" s="99">
        <v>6</v>
      </c>
      <c r="V72" s="99">
        <v>21</v>
      </c>
      <c r="W72" s="99">
        <v>68</v>
      </c>
      <c r="X72" s="99">
        <v>36</v>
      </c>
      <c r="Y72" s="99">
        <v>97</v>
      </c>
      <c r="Z72" s="99">
        <v>56</v>
      </c>
      <c r="AA72" s="99" t="s">
        <v>660</v>
      </c>
      <c r="AB72" s="99" t="s">
        <v>660</v>
      </c>
      <c r="AC72" s="99" t="s">
        <v>660</v>
      </c>
      <c r="AD72" s="98" t="s">
        <v>376</v>
      </c>
      <c r="AE72" s="100">
        <v>0.1534819263194364</v>
      </c>
      <c r="AF72" s="100">
        <v>0.15</v>
      </c>
      <c r="AG72" s="98">
        <v>600.5312391731147</v>
      </c>
      <c r="AH72" s="98">
        <v>173.23016514609077</v>
      </c>
      <c r="AI72" s="100">
        <v>0.015</v>
      </c>
      <c r="AJ72" s="100">
        <v>0.774164</v>
      </c>
      <c r="AK72" s="100">
        <v>0.828042</v>
      </c>
      <c r="AL72" s="100">
        <v>0.825765</v>
      </c>
      <c r="AM72" s="100">
        <v>0.530815</v>
      </c>
      <c r="AN72" s="100">
        <v>0.578692</v>
      </c>
      <c r="AO72" s="98">
        <v>1940.1778496362167</v>
      </c>
      <c r="AP72" s="158">
        <v>1.068039246</v>
      </c>
      <c r="AQ72" s="100">
        <v>0.10714285714285714</v>
      </c>
      <c r="AR72" s="100">
        <v>0.4</v>
      </c>
      <c r="AS72" s="98">
        <v>288.71694191015126</v>
      </c>
      <c r="AT72" s="98">
        <v>427.3010740270239</v>
      </c>
      <c r="AU72" s="98">
        <v>69.2920660584363</v>
      </c>
      <c r="AV72" s="98">
        <v>242.5222312045271</v>
      </c>
      <c r="AW72" s="98">
        <v>785.3100819956115</v>
      </c>
      <c r="AX72" s="98">
        <v>415.75239635061786</v>
      </c>
      <c r="AY72" s="98">
        <v>1120.221734611387</v>
      </c>
      <c r="AZ72" s="98">
        <v>646.7259498787389</v>
      </c>
      <c r="BA72" s="100" t="s">
        <v>660</v>
      </c>
      <c r="BB72" s="100" t="s">
        <v>660</v>
      </c>
      <c r="BC72" s="100" t="s">
        <v>660</v>
      </c>
      <c r="BD72" s="158">
        <v>0.9126393127</v>
      </c>
      <c r="BE72" s="158">
        <v>1.242314453</v>
      </c>
      <c r="BF72" s="162">
        <v>1107</v>
      </c>
      <c r="BG72" s="162">
        <v>378</v>
      </c>
      <c r="BH72" s="162">
        <v>2158</v>
      </c>
      <c r="BI72" s="162">
        <v>1006</v>
      </c>
      <c r="BJ72" s="162">
        <v>413</v>
      </c>
      <c r="BK72" s="97"/>
      <c r="BL72" s="97"/>
      <c r="BM72" s="97"/>
      <c r="BN72" s="97"/>
    </row>
    <row r="73" spans="1:66" ht="12.75">
      <c r="A73" s="79" t="s">
        <v>644</v>
      </c>
      <c r="B73" s="79" t="s">
        <v>367</v>
      </c>
      <c r="C73" s="79" t="s">
        <v>173</v>
      </c>
      <c r="D73" s="99">
        <v>2947</v>
      </c>
      <c r="E73" s="99">
        <v>324</v>
      </c>
      <c r="F73" s="99" t="s">
        <v>397</v>
      </c>
      <c r="G73" s="99">
        <v>21</v>
      </c>
      <c r="H73" s="99" t="s">
        <v>660</v>
      </c>
      <c r="I73" s="99">
        <v>24</v>
      </c>
      <c r="J73" s="99">
        <v>7</v>
      </c>
      <c r="K73" s="99" t="s">
        <v>660</v>
      </c>
      <c r="L73" s="99">
        <v>14</v>
      </c>
      <c r="M73" s="99">
        <v>168</v>
      </c>
      <c r="N73" s="99">
        <v>82</v>
      </c>
      <c r="O73" s="99">
        <v>40</v>
      </c>
      <c r="P73" s="159">
        <v>40</v>
      </c>
      <c r="Q73" s="99" t="s">
        <v>660</v>
      </c>
      <c r="R73" s="99">
        <v>12</v>
      </c>
      <c r="S73" s="99">
        <v>10</v>
      </c>
      <c r="T73" s="99" t="s">
        <v>660</v>
      </c>
      <c r="U73" s="99" t="s">
        <v>660</v>
      </c>
      <c r="V73" s="99">
        <v>11</v>
      </c>
      <c r="W73" s="99">
        <v>18</v>
      </c>
      <c r="X73" s="99">
        <v>16</v>
      </c>
      <c r="Y73" s="99">
        <v>25</v>
      </c>
      <c r="Z73" s="99">
        <v>15</v>
      </c>
      <c r="AA73" s="99" t="s">
        <v>660</v>
      </c>
      <c r="AB73" s="99" t="s">
        <v>660</v>
      </c>
      <c r="AC73" s="99" t="s">
        <v>660</v>
      </c>
      <c r="AD73" s="98" t="s">
        <v>376</v>
      </c>
      <c r="AE73" s="100">
        <v>0.10994231421784866</v>
      </c>
      <c r="AF73" s="100">
        <v>0.09</v>
      </c>
      <c r="AG73" s="98">
        <v>712.5890736342043</v>
      </c>
      <c r="AH73" s="98" t="s">
        <v>660</v>
      </c>
      <c r="AI73" s="100">
        <v>0.008</v>
      </c>
      <c r="AJ73" s="100">
        <v>0.875</v>
      </c>
      <c r="AK73" s="100" t="s">
        <v>660</v>
      </c>
      <c r="AL73" s="100">
        <v>0.933333</v>
      </c>
      <c r="AM73" s="100">
        <v>0.624535</v>
      </c>
      <c r="AN73" s="100">
        <v>0.66129</v>
      </c>
      <c r="AO73" s="98">
        <v>1357.312521208008</v>
      </c>
      <c r="AP73" s="158">
        <v>0.7881553649999999</v>
      </c>
      <c r="AQ73" s="100" t="s">
        <v>660</v>
      </c>
      <c r="AR73" s="100" t="s">
        <v>660</v>
      </c>
      <c r="AS73" s="98">
        <v>339.328130302002</v>
      </c>
      <c r="AT73" s="98" t="s">
        <v>660</v>
      </c>
      <c r="AU73" s="98" t="s">
        <v>660</v>
      </c>
      <c r="AV73" s="98">
        <v>373.26094333220226</v>
      </c>
      <c r="AW73" s="98">
        <v>610.7906345436037</v>
      </c>
      <c r="AX73" s="98">
        <v>542.9250084832032</v>
      </c>
      <c r="AY73" s="98">
        <v>848.3203257550051</v>
      </c>
      <c r="AZ73" s="98">
        <v>508.99219545300303</v>
      </c>
      <c r="BA73" s="100" t="s">
        <v>660</v>
      </c>
      <c r="BB73" s="100" t="s">
        <v>660</v>
      </c>
      <c r="BC73" s="100" t="s">
        <v>660</v>
      </c>
      <c r="BD73" s="158">
        <v>0.5630697632</v>
      </c>
      <c r="BE73" s="158">
        <v>1.073243942</v>
      </c>
      <c r="BF73" s="162">
        <v>8</v>
      </c>
      <c r="BG73" s="162" t="s">
        <v>660</v>
      </c>
      <c r="BH73" s="162">
        <v>15</v>
      </c>
      <c r="BI73" s="162">
        <v>269</v>
      </c>
      <c r="BJ73" s="162">
        <v>124</v>
      </c>
      <c r="BK73" s="97"/>
      <c r="BL73" s="97"/>
      <c r="BM73" s="97"/>
      <c r="BN73" s="97"/>
    </row>
    <row r="74" spans="1:66" ht="12.75">
      <c r="A74" s="79" t="s">
        <v>601</v>
      </c>
      <c r="B74" s="79" t="s">
        <v>322</v>
      </c>
      <c r="C74" s="79" t="s">
        <v>173</v>
      </c>
      <c r="D74" s="99">
        <v>9104</v>
      </c>
      <c r="E74" s="99">
        <v>1718</v>
      </c>
      <c r="F74" s="99" t="s">
        <v>398</v>
      </c>
      <c r="G74" s="99">
        <v>46</v>
      </c>
      <c r="H74" s="99">
        <v>27</v>
      </c>
      <c r="I74" s="99">
        <v>85</v>
      </c>
      <c r="J74" s="99">
        <v>962</v>
      </c>
      <c r="K74" s="99">
        <v>323</v>
      </c>
      <c r="L74" s="99">
        <v>1857</v>
      </c>
      <c r="M74" s="99">
        <v>622</v>
      </c>
      <c r="N74" s="99">
        <v>294</v>
      </c>
      <c r="O74" s="99">
        <v>153</v>
      </c>
      <c r="P74" s="159">
        <v>153</v>
      </c>
      <c r="Q74" s="99">
        <v>25</v>
      </c>
      <c r="R74" s="99">
        <v>53</v>
      </c>
      <c r="S74" s="99">
        <v>34</v>
      </c>
      <c r="T74" s="99">
        <v>22</v>
      </c>
      <c r="U74" s="99">
        <v>12</v>
      </c>
      <c r="V74" s="99">
        <v>21</v>
      </c>
      <c r="W74" s="99">
        <v>48</v>
      </c>
      <c r="X74" s="99">
        <v>35</v>
      </c>
      <c r="Y74" s="99">
        <v>86</v>
      </c>
      <c r="Z74" s="99">
        <v>63</v>
      </c>
      <c r="AA74" s="99" t="s">
        <v>660</v>
      </c>
      <c r="AB74" s="99" t="s">
        <v>660</v>
      </c>
      <c r="AC74" s="99" t="s">
        <v>660</v>
      </c>
      <c r="AD74" s="98" t="s">
        <v>376</v>
      </c>
      <c r="AE74" s="100">
        <v>0.18870826010544817</v>
      </c>
      <c r="AF74" s="100">
        <v>0.16</v>
      </c>
      <c r="AG74" s="98">
        <v>505.2724077328647</v>
      </c>
      <c r="AH74" s="98">
        <v>296.572934973638</v>
      </c>
      <c r="AI74" s="100">
        <v>0.009000000000000001</v>
      </c>
      <c r="AJ74" s="100">
        <v>0.790468</v>
      </c>
      <c r="AK74" s="100">
        <v>0.84555</v>
      </c>
      <c r="AL74" s="100">
        <v>0.825333</v>
      </c>
      <c r="AM74" s="100">
        <v>0.539931</v>
      </c>
      <c r="AN74" s="100">
        <v>0.595142</v>
      </c>
      <c r="AO74" s="98">
        <v>1680.5799648506152</v>
      </c>
      <c r="AP74" s="158">
        <v>0.8402003479</v>
      </c>
      <c r="AQ74" s="100">
        <v>0.16339869281045752</v>
      </c>
      <c r="AR74" s="100">
        <v>0.4716981132075472</v>
      </c>
      <c r="AS74" s="98">
        <v>373.4622144112478</v>
      </c>
      <c r="AT74" s="98">
        <v>241.65202108963092</v>
      </c>
      <c r="AU74" s="98">
        <v>131.81019332161688</v>
      </c>
      <c r="AV74" s="98">
        <v>230.66783831282953</v>
      </c>
      <c r="AW74" s="98">
        <v>527.2407732864675</v>
      </c>
      <c r="AX74" s="98">
        <v>384.4463971880492</v>
      </c>
      <c r="AY74" s="98">
        <v>944.6397188049209</v>
      </c>
      <c r="AZ74" s="98">
        <v>692.0035149384886</v>
      </c>
      <c r="BA74" s="100" t="s">
        <v>660</v>
      </c>
      <c r="BB74" s="100" t="s">
        <v>660</v>
      </c>
      <c r="BC74" s="100" t="s">
        <v>660</v>
      </c>
      <c r="BD74" s="158">
        <v>0.7123425293</v>
      </c>
      <c r="BE74" s="158">
        <v>0.9843818665</v>
      </c>
      <c r="BF74" s="162">
        <v>1217</v>
      </c>
      <c r="BG74" s="162">
        <v>382</v>
      </c>
      <c r="BH74" s="162">
        <v>2250</v>
      </c>
      <c r="BI74" s="162">
        <v>1152</v>
      </c>
      <c r="BJ74" s="162">
        <v>494</v>
      </c>
      <c r="BK74" s="97"/>
      <c r="BL74" s="97"/>
      <c r="BM74" s="97"/>
      <c r="BN74" s="97"/>
    </row>
    <row r="75" spans="1:66" ht="12.75">
      <c r="A75" s="79" t="s">
        <v>593</v>
      </c>
      <c r="B75" s="79" t="s">
        <v>314</v>
      </c>
      <c r="C75" s="79" t="s">
        <v>173</v>
      </c>
      <c r="D75" s="99">
        <v>9495</v>
      </c>
      <c r="E75" s="99">
        <v>1682</v>
      </c>
      <c r="F75" s="99" t="s">
        <v>396</v>
      </c>
      <c r="G75" s="99">
        <v>54</v>
      </c>
      <c r="H75" s="99">
        <v>31</v>
      </c>
      <c r="I75" s="99">
        <v>161</v>
      </c>
      <c r="J75" s="99">
        <v>937</v>
      </c>
      <c r="K75" s="99">
        <v>325</v>
      </c>
      <c r="L75" s="99">
        <v>1765</v>
      </c>
      <c r="M75" s="99">
        <v>555</v>
      </c>
      <c r="N75" s="99">
        <v>248</v>
      </c>
      <c r="O75" s="99">
        <v>210</v>
      </c>
      <c r="P75" s="159">
        <v>210</v>
      </c>
      <c r="Q75" s="99">
        <v>26</v>
      </c>
      <c r="R75" s="99">
        <v>50</v>
      </c>
      <c r="S75" s="99">
        <v>33</v>
      </c>
      <c r="T75" s="99">
        <v>38</v>
      </c>
      <c r="U75" s="99">
        <v>18</v>
      </c>
      <c r="V75" s="99">
        <v>10</v>
      </c>
      <c r="W75" s="99">
        <v>68</v>
      </c>
      <c r="X75" s="99">
        <v>34</v>
      </c>
      <c r="Y75" s="99">
        <v>142</v>
      </c>
      <c r="Z75" s="99">
        <v>66</v>
      </c>
      <c r="AA75" s="99" t="s">
        <v>660</v>
      </c>
      <c r="AB75" s="99" t="s">
        <v>660</v>
      </c>
      <c r="AC75" s="99" t="s">
        <v>660</v>
      </c>
      <c r="AD75" s="98" t="s">
        <v>376</v>
      </c>
      <c r="AE75" s="100">
        <v>0.1771458662453923</v>
      </c>
      <c r="AF75" s="100">
        <v>0.21</v>
      </c>
      <c r="AG75" s="98">
        <v>568.7203791469194</v>
      </c>
      <c r="AH75" s="98">
        <v>326.4876250658241</v>
      </c>
      <c r="AI75" s="100">
        <v>0.017</v>
      </c>
      <c r="AJ75" s="100">
        <v>0.742472</v>
      </c>
      <c r="AK75" s="100">
        <v>0.764706</v>
      </c>
      <c r="AL75" s="100">
        <v>0.813739</v>
      </c>
      <c r="AM75" s="100">
        <v>0.503173</v>
      </c>
      <c r="AN75" s="100">
        <v>0.519916</v>
      </c>
      <c r="AO75" s="98">
        <v>2211.690363349131</v>
      </c>
      <c r="AP75" s="158">
        <v>1.165451889</v>
      </c>
      <c r="AQ75" s="100">
        <v>0.12380952380952381</v>
      </c>
      <c r="AR75" s="100">
        <v>0.52</v>
      </c>
      <c r="AS75" s="98">
        <v>347.55134281200634</v>
      </c>
      <c r="AT75" s="98">
        <v>400.2106371774618</v>
      </c>
      <c r="AU75" s="98">
        <v>189.5734597156398</v>
      </c>
      <c r="AV75" s="98">
        <v>105.318588730911</v>
      </c>
      <c r="AW75" s="98">
        <v>716.1664033701949</v>
      </c>
      <c r="AX75" s="98">
        <v>358.08320168509744</v>
      </c>
      <c r="AY75" s="98">
        <v>1495.5239599789363</v>
      </c>
      <c r="AZ75" s="98">
        <v>695.1026856240127</v>
      </c>
      <c r="BA75" s="100" t="s">
        <v>660</v>
      </c>
      <c r="BB75" s="100" t="s">
        <v>660</v>
      </c>
      <c r="BC75" s="100" t="s">
        <v>660</v>
      </c>
      <c r="BD75" s="158">
        <v>1.013144531</v>
      </c>
      <c r="BE75" s="158">
        <v>1.334193268</v>
      </c>
      <c r="BF75" s="162">
        <v>1262</v>
      </c>
      <c r="BG75" s="162">
        <v>425</v>
      </c>
      <c r="BH75" s="162">
        <v>2169</v>
      </c>
      <c r="BI75" s="162">
        <v>1103</v>
      </c>
      <c r="BJ75" s="162">
        <v>477</v>
      </c>
      <c r="BK75" s="97"/>
      <c r="BL75" s="97"/>
      <c r="BM75" s="97"/>
      <c r="BN75" s="97"/>
    </row>
    <row r="76" spans="1:66" ht="12.75">
      <c r="A76" s="79" t="s">
        <v>606</v>
      </c>
      <c r="B76" s="79" t="s">
        <v>327</v>
      </c>
      <c r="C76" s="79" t="s">
        <v>173</v>
      </c>
      <c r="D76" s="99">
        <v>5202</v>
      </c>
      <c r="E76" s="99">
        <v>1037</v>
      </c>
      <c r="F76" s="99" t="s">
        <v>398</v>
      </c>
      <c r="G76" s="99">
        <v>28</v>
      </c>
      <c r="H76" s="99">
        <v>7</v>
      </c>
      <c r="I76" s="99">
        <v>79</v>
      </c>
      <c r="J76" s="99">
        <v>504</v>
      </c>
      <c r="K76" s="99">
        <v>145</v>
      </c>
      <c r="L76" s="99">
        <v>1027</v>
      </c>
      <c r="M76" s="99">
        <v>358</v>
      </c>
      <c r="N76" s="99">
        <v>178</v>
      </c>
      <c r="O76" s="99">
        <v>123</v>
      </c>
      <c r="P76" s="159">
        <v>123</v>
      </c>
      <c r="Q76" s="99">
        <v>15</v>
      </c>
      <c r="R76" s="99">
        <v>21</v>
      </c>
      <c r="S76" s="99">
        <v>29</v>
      </c>
      <c r="T76" s="99">
        <v>20</v>
      </c>
      <c r="U76" s="99" t="s">
        <v>660</v>
      </c>
      <c r="V76" s="99">
        <v>20</v>
      </c>
      <c r="W76" s="99">
        <v>29</v>
      </c>
      <c r="X76" s="99">
        <v>21</v>
      </c>
      <c r="Y76" s="99">
        <v>57</v>
      </c>
      <c r="Z76" s="99">
        <v>38</v>
      </c>
      <c r="AA76" s="99" t="s">
        <v>660</v>
      </c>
      <c r="AB76" s="99" t="s">
        <v>660</v>
      </c>
      <c r="AC76" s="99" t="s">
        <v>660</v>
      </c>
      <c r="AD76" s="98" t="s">
        <v>376</v>
      </c>
      <c r="AE76" s="100">
        <v>0.19934640522875818</v>
      </c>
      <c r="AF76" s="100">
        <v>0.14</v>
      </c>
      <c r="AG76" s="98">
        <v>538.2545174932718</v>
      </c>
      <c r="AH76" s="98">
        <v>134.56362937331795</v>
      </c>
      <c r="AI76" s="100">
        <v>0.015</v>
      </c>
      <c r="AJ76" s="100">
        <v>0.783826</v>
      </c>
      <c r="AK76" s="100">
        <v>0.810056</v>
      </c>
      <c r="AL76" s="100">
        <v>0.830906</v>
      </c>
      <c r="AM76" s="100">
        <v>0.539157</v>
      </c>
      <c r="AN76" s="100">
        <v>0.609589</v>
      </c>
      <c r="AO76" s="98">
        <v>2364.475201845444</v>
      </c>
      <c r="AP76" s="158">
        <v>1.159365997</v>
      </c>
      <c r="AQ76" s="100">
        <v>0.12195121951219512</v>
      </c>
      <c r="AR76" s="100">
        <v>0.7142857142857143</v>
      </c>
      <c r="AS76" s="98">
        <v>557.4778931180315</v>
      </c>
      <c r="AT76" s="98">
        <v>384.46751249519417</v>
      </c>
      <c r="AU76" s="98" t="s">
        <v>660</v>
      </c>
      <c r="AV76" s="98">
        <v>384.46751249519417</v>
      </c>
      <c r="AW76" s="98">
        <v>557.4778931180315</v>
      </c>
      <c r="AX76" s="98">
        <v>403.69088811995385</v>
      </c>
      <c r="AY76" s="98">
        <v>1095.7324106113033</v>
      </c>
      <c r="AZ76" s="98">
        <v>730.4882737408689</v>
      </c>
      <c r="BA76" s="100" t="s">
        <v>660</v>
      </c>
      <c r="BB76" s="100" t="s">
        <v>660</v>
      </c>
      <c r="BC76" s="100" t="s">
        <v>660</v>
      </c>
      <c r="BD76" s="158">
        <v>0.9635465240000001</v>
      </c>
      <c r="BE76" s="158">
        <v>1.3832878109999998</v>
      </c>
      <c r="BF76" s="162">
        <v>643</v>
      </c>
      <c r="BG76" s="162">
        <v>179</v>
      </c>
      <c r="BH76" s="162">
        <v>1236</v>
      </c>
      <c r="BI76" s="162">
        <v>664</v>
      </c>
      <c r="BJ76" s="162">
        <v>292</v>
      </c>
      <c r="BK76" s="97"/>
      <c r="BL76" s="97"/>
      <c r="BM76" s="97"/>
      <c r="BN76" s="97"/>
    </row>
    <row r="77" spans="1:66" ht="12.75">
      <c r="A77" s="79" t="s">
        <v>613</v>
      </c>
      <c r="B77" s="79" t="s">
        <v>334</v>
      </c>
      <c r="C77" s="79" t="s">
        <v>173</v>
      </c>
      <c r="D77" s="99">
        <v>13234</v>
      </c>
      <c r="E77" s="99">
        <v>2525</v>
      </c>
      <c r="F77" s="99" t="s">
        <v>397</v>
      </c>
      <c r="G77" s="99">
        <v>54</v>
      </c>
      <c r="H77" s="99">
        <v>40</v>
      </c>
      <c r="I77" s="99">
        <v>224</v>
      </c>
      <c r="J77" s="99">
        <v>1429</v>
      </c>
      <c r="K77" s="99">
        <v>443</v>
      </c>
      <c r="L77" s="99">
        <v>2744</v>
      </c>
      <c r="M77" s="99">
        <v>1019</v>
      </c>
      <c r="N77" s="99">
        <v>429</v>
      </c>
      <c r="O77" s="99">
        <v>214</v>
      </c>
      <c r="P77" s="159">
        <v>214</v>
      </c>
      <c r="Q77" s="99">
        <v>34</v>
      </c>
      <c r="R77" s="99">
        <v>72</v>
      </c>
      <c r="S77" s="99">
        <v>47</v>
      </c>
      <c r="T77" s="99">
        <v>37</v>
      </c>
      <c r="U77" s="99">
        <v>9</v>
      </c>
      <c r="V77" s="99">
        <v>33</v>
      </c>
      <c r="W77" s="99">
        <v>73</v>
      </c>
      <c r="X77" s="99">
        <v>49</v>
      </c>
      <c r="Y77" s="99">
        <v>120</v>
      </c>
      <c r="Z77" s="99">
        <v>94</v>
      </c>
      <c r="AA77" s="99" t="s">
        <v>660</v>
      </c>
      <c r="AB77" s="99" t="s">
        <v>660</v>
      </c>
      <c r="AC77" s="99" t="s">
        <v>660</v>
      </c>
      <c r="AD77" s="98" t="s">
        <v>376</v>
      </c>
      <c r="AE77" s="100">
        <v>0.1907964334290464</v>
      </c>
      <c r="AF77" s="100">
        <v>0.09</v>
      </c>
      <c r="AG77" s="98">
        <v>408.0398972343963</v>
      </c>
      <c r="AH77" s="98">
        <v>302.2517757291824</v>
      </c>
      <c r="AI77" s="100">
        <v>0.017</v>
      </c>
      <c r="AJ77" s="100">
        <v>0.804617</v>
      </c>
      <c r="AK77" s="100">
        <v>0.818854</v>
      </c>
      <c r="AL77" s="100">
        <v>0.820574</v>
      </c>
      <c r="AM77" s="100">
        <v>0.602246</v>
      </c>
      <c r="AN77" s="100">
        <v>0.589286</v>
      </c>
      <c r="AO77" s="98">
        <v>1617.047000151126</v>
      </c>
      <c r="AP77" s="158">
        <v>0.7912591553</v>
      </c>
      <c r="AQ77" s="100">
        <v>0.1588785046728972</v>
      </c>
      <c r="AR77" s="100">
        <v>0.4722222222222222</v>
      </c>
      <c r="AS77" s="98">
        <v>355.14583648178933</v>
      </c>
      <c r="AT77" s="98">
        <v>279.58289254949375</v>
      </c>
      <c r="AU77" s="98">
        <v>68.00664953906605</v>
      </c>
      <c r="AV77" s="98">
        <v>249.3577149765755</v>
      </c>
      <c r="AW77" s="98">
        <v>551.6094907057579</v>
      </c>
      <c r="AX77" s="98">
        <v>370.25842526824846</v>
      </c>
      <c r="AY77" s="98">
        <v>906.7553271875472</v>
      </c>
      <c r="AZ77" s="98">
        <v>710.2916729635787</v>
      </c>
      <c r="BA77" s="100" t="s">
        <v>660</v>
      </c>
      <c r="BB77" s="100" t="s">
        <v>660</v>
      </c>
      <c r="BC77" s="100" t="s">
        <v>660</v>
      </c>
      <c r="BD77" s="158">
        <v>0.6887902832</v>
      </c>
      <c r="BE77" s="158">
        <v>0.9046747589</v>
      </c>
      <c r="BF77" s="162">
        <v>1776</v>
      </c>
      <c r="BG77" s="162">
        <v>541</v>
      </c>
      <c r="BH77" s="162">
        <v>3344</v>
      </c>
      <c r="BI77" s="162">
        <v>1692</v>
      </c>
      <c r="BJ77" s="162">
        <v>728</v>
      </c>
      <c r="BK77" s="97"/>
      <c r="BL77" s="97"/>
      <c r="BM77" s="97"/>
      <c r="BN77" s="97"/>
    </row>
    <row r="78" spans="1:66" ht="12.75">
      <c r="A78" s="79" t="s">
        <v>563</v>
      </c>
      <c r="B78" s="79" t="s">
        <v>284</v>
      </c>
      <c r="C78" s="79" t="s">
        <v>173</v>
      </c>
      <c r="D78" s="99">
        <v>11013</v>
      </c>
      <c r="E78" s="99">
        <v>1797</v>
      </c>
      <c r="F78" s="99" t="s">
        <v>397</v>
      </c>
      <c r="G78" s="99">
        <v>44</v>
      </c>
      <c r="H78" s="99">
        <v>29</v>
      </c>
      <c r="I78" s="99">
        <v>206</v>
      </c>
      <c r="J78" s="99">
        <v>1181</v>
      </c>
      <c r="K78" s="99">
        <v>402</v>
      </c>
      <c r="L78" s="99">
        <v>2202</v>
      </c>
      <c r="M78" s="99">
        <v>839</v>
      </c>
      <c r="N78" s="99">
        <v>402</v>
      </c>
      <c r="O78" s="99">
        <v>231</v>
      </c>
      <c r="P78" s="159">
        <v>231</v>
      </c>
      <c r="Q78" s="99">
        <v>30</v>
      </c>
      <c r="R78" s="99">
        <v>52</v>
      </c>
      <c r="S78" s="99">
        <v>33</v>
      </c>
      <c r="T78" s="99">
        <v>48</v>
      </c>
      <c r="U78" s="99" t="s">
        <v>660</v>
      </c>
      <c r="V78" s="99">
        <v>33</v>
      </c>
      <c r="W78" s="99">
        <v>73</v>
      </c>
      <c r="X78" s="99">
        <v>70</v>
      </c>
      <c r="Y78" s="99">
        <v>128</v>
      </c>
      <c r="Z78" s="99">
        <v>76</v>
      </c>
      <c r="AA78" s="99" t="s">
        <v>660</v>
      </c>
      <c r="AB78" s="99" t="s">
        <v>660</v>
      </c>
      <c r="AC78" s="99" t="s">
        <v>660</v>
      </c>
      <c r="AD78" s="98" t="s">
        <v>376</v>
      </c>
      <c r="AE78" s="100">
        <v>0.16317079814764368</v>
      </c>
      <c r="AF78" s="100">
        <v>0.09</v>
      </c>
      <c r="AG78" s="98">
        <v>399.5278307454826</v>
      </c>
      <c r="AH78" s="98">
        <v>263.325161173159</v>
      </c>
      <c r="AI78" s="100">
        <v>0.019</v>
      </c>
      <c r="AJ78" s="100">
        <v>0.73491</v>
      </c>
      <c r="AK78" s="100">
        <v>0.789784</v>
      </c>
      <c r="AL78" s="100">
        <v>0.785587</v>
      </c>
      <c r="AM78" s="100">
        <v>0.56008</v>
      </c>
      <c r="AN78" s="100">
        <v>0.61374</v>
      </c>
      <c r="AO78" s="98">
        <v>2097.5211114137837</v>
      </c>
      <c r="AP78" s="158">
        <v>1.075478897</v>
      </c>
      <c r="AQ78" s="100">
        <v>0.12987012987012986</v>
      </c>
      <c r="AR78" s="100">
        <v>0.5769230769230769</v>
      </c>
      <c r="AS78" s="98">
        <v>299.645873059112</v>
      </c>
      <c r="AT78" s="98">
        <v>435.8485426314356</v>
      </c>
      <c r="AU78" s="98" t="s">
        <v>660</v>
      </c>
      <c r="AV78" s="98">
        <v>299.645873059112</v>
      </c>
      <c r="AW78" s="98">
        <v>662.8529919186416</v>
      </c>
      <c r="AX78" s="98">
        <v>635.6124580041769</v>
      </c>
      <c r="AY78" s="98">
        <v>1162.262780350495</v>
      </c>
      <c r="AZ78" s="98">
        <v>690.0935258331064</v>
      </c>
      <c r="BA78" s="100" t="s">
        <v>660</v>
      </c>
      <c r="BB78" s="100" t="s">
        <v>660</v>
      </c>
      <c r="BC78" s="100" t="s">
        <v>660</v>
      </c>
      <c r="BD78" s="158">
        <v>0.9412502289</v>
      </c>
      <c r="BE78" s="158">
        <v>1.2234799189999999</v>
      </c>
      <c r="BF78" s="162">
        <v>1607</v>
      </c>
      <c r="BG78" s="162">
        <v>509</v>
      </c>
      <c r="BH78" s="162">
        <v>2803</v>
      </c>
      <c r="BI78" s="162">
        <v>1498</v>
      </c>
      <c r="BJ78" s="162">
        <v>655</v>
      </c>
      <c r="BK78" s="97"/>
      <c r="BL78" s="97"/>
      <c r="BM78" s="97"/>
      <c r="BN78" s="97"/>
    </row>
    <row r="79" spans="1:66" ht="12.75">
      <c r="A79" s="79" t="s">
        <v>587</v>
      </c>
      <c r="B79" s="79" t="s">
        <v>308</v>
      </c>
      <c r="C79" s="79" t="s">
        <v>173</v>
      </c>
      <c r="D79" s="99">
        <v>14727</v>
      </c>
      <c r="E79" s="99">
        <v>2706</v>
      </c>
      <c r="F79" s="99" t="s">
        <v>396</v>
      </c>
      <c r="G79" s="99">
        <v>100</v>
      </c>
      <c r="H79" s="99">
        <v>30</v>
      </c>
      <c r="I79" s="99">
        <v>250</v>
      </c>
      <c r="J79" s="99">
        <v>1238</v>
      </c>
      <c r="K79" s="99">
        <v>311</v>
      </c>
      <c r="L79" s="99">
        <v>2538</v>
      </c>
      <c r="M79" s="99">
        <v>816</v>
      </c>
      <c r="N79" s="99">
        <v>392</v>
      </c>
      <c r="O79" s="99">
        <v>200</v>
      </c>
      <c r="P79" s="159">
        <v>200</v>
      </c>
      <c r="Q79" s="99">
        <v>40</v>
      </c>
      <c r="R79" s="99">
        <v>86</v>
      </c>
      <c r="S79" s="99">
        <v>33</v>
      </c>
      <c r="T79" s="99">
        <v>34</v>
      </c>
      <c r="U79" s="99">
        <v>21</v>
      </c>
      <c r="V79" s="99">
        <v>20</v>
      </c>
      <c r="W79" s="99">
        <v>78</v>
      </c>
      <c r="X79" s="99">
        <v>62</v>
      </c>
      <c r="Y79" s="99">
        <v>156</v>
      </c>
      <c r="Z79" s="99">
        <v>96</v>
      </c>
      <c r="AA79" s="99" t="s">
        <v>660</v>
      </c>
      <c r="AB79" s="99" t="s">
        <v>660</v>
      </c>
      <c r="AC79" s="99" t="s">
        <v>660</v>
      </c>
      <c r="AD79" s="98" t="s">
        <v>376</v>
      </c>
      <c r="AE79" s="100">
        <v>0.18374414341006315</v>
      </c>
      <c r="AF79" s="100">
        <v>0.23</v>
      </c>
      <c r="AG79" s="98">
        <v>679.0249202145719</v>
      </c>
      <c r="AH79" s="98">
        <v>203.70747606437158</v>
      </c>
      <c r="AI79" s="100">
        <v>0.017</v>
      </c>
      <c r="AJ79" s="100">
        <v>0.703809</v>
      </c>
      <c r="AK79" s="100">
        <v>0.719907</v>
      </c>
      <c r="AL79" s="100">
        <v>0.753339</v>
      </c>
      <c r="AM79" s="100">
        <v>0.525097</v>
      </c>
      <c r="AN79" s="100">
        <v>0.571429</v>
      </c>
      <c r="AO79" s="98">
        <v>1358.0498404291438</v>
      </c>
      <c r="AP79" s="158">
        <v>0.7161326599</v>
      </c>
      <c r="AQ79" s="100">
        <v>0.2</v>
      </c>
      <c r="AR79" s="100">
        <v>0.46511627906976744</v>
      </c>
      <c r="AS79" s="98">
        <v>224.0782236708087</v>
      </c>
      <c r="AT79" s="98">
        <v>230.86847287295444</v>
      </c>
      <c r="AU79" s="98">
        <v>142.5952332450601</v>
      </c>
      <c r="AV79" s="98">
        <v>135.80498404291438</v>
      </c>
      <c r="AW79" s="98">
        <v>529.6394377673661</v>
      </c>
      <c r="AX79" s="98">
        <v>420.99545053303456</v>
      </c>
      <c r="AY79" s="98">
        <v>1059.2788755347322</v>
      </c>
      <c r="AZ79" s="98">
        <v>651.863923405989</v>
      </c>
      <c r="BA79" s="100" t="s">
        <v>660</v>
      </c>
      <c r="BB79" s="100" t="s">
        <v>660</v>
      </c>
      <c r="BC79" s="100" t="s">
        <v>660</v>
      </c>
      <c r="BD79" s="158">
        <v>0.6203172684</v>
      </c>
      <c r="BE79" s="158">
        <v>0.8225570679</v>
      </c>
      <c r="BF79" s="162">
        <v>1759</v>
      </c>
      <c r="BG79" s="162">
        <v>432</v>
      </c>
      <c r="BH79" s="162">
        <v>3369</v>
      </c>
      <c r="BI79" s="162">
        <v>1554</v>
      </c>
      <c r="BJ79" s="162">
        <v>686</v>
      </c>
      <c r="BK79" s="97"/>
      <c r="BL79" s="97"/>
      <c r="BM79" s="97"/>
      <c r="BN79" s="97"/>
    </row>
    <row r="80" spans="1:66" ht="12.75">
      <c r="A80" s="79" t="s">
        <v>581</v>
      </c>
      <c r="B80" s="79" t="s">
        <v>302</v>
      </c>
      <c r="C80" s="79" t="s">
        <v>173</v>
      </c>
      <c r="D80" s="99">
        <v>7150</v>
      </c>
      <c r="E80" s="99">
        <v>1108</v>
      </c>
      <c r="F80" s="99" t="s">
        <v>398</v>
      </c>
      <c r="G80" s="99">
        <v>35</v>
      </c>
      <c r="H80" s="99">
        <v>21</v>
      </c>
      <c r="I80" s="99">
        <v>124</v>
      </c>
      <c r="J80" s="99">
        <v>672</v>
      </c>
      <c r="K80" s="99">
        <v>283</v>
      </c>
      <c r="L80" s="99">
        <v>1422</v>
      </c>
      <c r="M80" s="99">
        <v>443</v>
      </c>
      <c r="N80" s="99">
        <v>208</v>
      </c>
      <c r="O80" s="99">
        <v>177</v>
      </c>
      <c r="P80" s="159">
        <v>177</v>
      </c>
      <c r="Q80" s="99">
        <v>19</v>
      </c>
      <c r="R80" s="99">
        <v>36</v>
      </c>
      <c r="S80" s="99">
        <v>44</v>
      </c>
      <c r="T80" s="99">
        <v>23</v>
      </c>
      <c r="U80" s="99">
        <v>6</v>
      </c>
      <c r="V80" s="99">
        <v>32</v>
      </c>
      <c r="W80" s="99">
        <v>29</v>
      </c>
      <c r="X80" s="99">
        <v>45</v>
      </c>
      <c r="Y80" s="99">
        <v>71</v>
      </c>
      <c r="Z80" s="99">
        <v>56</v>
      </c>
      <c r="AA80" s="99" t="s">
        <v>660</v>
      </c>
      <c r="AB80" s="99" t="s">
        <v>660</v>
      </c>
      <c r="AC80" s="99" t="s">
        <v>660</v>
      </c>
      <c r="AD80" s="98" t="s">
        <v>376</v>
      </c>
      <c r="AE80" s="100">
        <v>0.15496503496503497</v>
      </c>
      <c r="AF80" s="100">
        <v>0.16</v>
      </c>
      <c r="AG80" s="98">
        <v>489.5104895104895</v>
      </c>
      <c r="AH80" s="98">
        <v>293.7062937062937</v>
      </c>
      <c r="AI80" s="100">
        <v>0.017</v>
      </c>
      <c r="AJ80" s="100">
        <v>0.764505</v>
      </c>
      <c r="AK80" s="100">
        <v>0.797183</v>
      </c>
      <c r="AL80" s="100">
        <v>0.801578</v>
      </c>
      <c r="AM80" s="100">
        <v>0.535024</v>
      </c>
      <c r="AN80" s="100">
        <v>0.581006</v>
      </c>
      <c r="AO80" s="98">
        <v>2475.5244755244757</v>
      </c>
      <c r="AP80" s="158">
        <v>1.350568695</v>
      </c>
      <c r="AQ80" s="100">
        <v>0.10734463276836158</v>
      </c>
      <c r="AR80" s="100">
        <v>0.5277777777777778</v>
      </c>
      <c r="AS80" s="98">
        <v>615.3846153846154</v>
      </c>
      <c r="AT80" s="98">
        <v>321.67832167832165</v>
      </c>
      <c r="AU80" s="98">
        <v>83.91608391608392</v>
      </c>
      <c r="AV80" s="98">
        <v>447.5524475524476</v>
      </c>
      <c r="AW80" s="98">
        <v>405.5944055944056</v>
      </c>
      <c r="AX80" s="98">
        <v>629.3706293706293</v>
      </c>
      <c r="AY80" s="98">
        <v>993.006993006993</v>
      </c>
      <c r="AZ80" s="98">
        <v>783.2167832167833</v>
      </c>
      <c r="BA80" s="100" t="s">
        <v>660</v>
      </c>
      <c r="BB80" s="100" t="s">
        <v>660</v>
      </c>
      <c r="BC80" s="100" t="s">
        <v>660</v>
      </c>
      <c r="BD80" s="158">
        <v>1.158925629</v>
      </c>
      <c r="BE80" s="158">
        <v>1.564851837</v>
      </c>
      <c r="BF80" s="162">
        <v>879</v>
      </c>
      <c r="BG80" s="162">
        <v>355</v>
      </c>
      <c r="BH80" s="162">
        <v>1774</v>
      </c>
      <c r="BI80" s="162">
        <v>828</v>
      </c>
      <c r="BJ80" s="162">
        <v>358</v>
      </c>
      <c r="BK80" s="97"/>
      <c r="BL80" s="97"/>
      <c r="BM80" s="97"/>
      <c r="BN80" s="97"/>
    </row>
    <row r="81" spans="1:66" ht="12.75">
      <c r="A81" s="79" t="s">
        <v>583</v>
      </c>
      <c r="B81" s="79" t="s">
        <v>304</v>
      </c>
      <c r="C81" s="79" t="s">
        <v>173</v>
      </c>
      <c r="D81" s="99">
        <v>15868</v>
      </c>
      <c r="E81" s="99">
        <v>2968</v>
      </c>
      <c r="F81" s="99" t="s">
        <v>398</v>
      </c>
      <c r="G81" s="99">
        <v>97</v>
      </c>
      <c r="H81" s="99">
        <v>47</v>
      </c>
      <c r="I81" s="99">
        <v>278</v>
      </c>
      <c r="J81" s="99">
        <v>1476</v>
      </c>
      <c r="K81" s="99">
        <v>476</v>
      </c>
      <c r="L81" s="99">
        <v>2980</v>
      </c>
      <c r="M81" s="99">
        <v>1071</v>
      </c>
      <c r="N81" s="99">
        <v>493</v>
      </c>
      <c r="O81" s="99">
        <v>339</v>
      </c>
      <c r="P81" s="159">
        <v>339</v>
      </c>
      <c r="Q81" s="99">
        <v>39</v>
      </c>
      <c r="R81" s="99">
        <v>78</v>
      </c>
      <c r="S81" s="99">
        <v>66</v>
      </c>
      <c r="T81" s="99">
        <v>60</v>
      </c>
      <c r="U81" s="99">
        <v>17</v>
      </c>
      <c r="V81" s="99">
        <v>55</v>
      </c>
      <c r="W81" s="99">
        <v>119</v>
      </c>
      <c r="X81" s="99">
        <v>41</v>
      </c>
      <c r="Y81" s="99">
        <v>225</v>
      </c>
      <c r="Z81" s="99">
        <v>91</v>
      </c>
      <c r="AA81" s="99" t="s">
        <v>660</v>
      </c>
      <c r="AB81" s="99" t="s">
        <v>660</v>
      </c>
      <c r="AC81" s="99" t="s">
        <v>660</v>
      </c>
      <c r="AD81" s="98" t="s">
        <v>376</v>
      </c>
      <c r="AE81" s="100">
        <v>0.18704310562137635</v>
      </c>
      <c r="AF81" s="100">
        <v>0.16</v>
      </c>
      <c r="AG81" s="98">
        <v>611.2931686412907</v>
      </c>
      <c r="AH81" s="98">
        <v>296.19359717670784</v>
      </c>
      <c r="AI81" s="100">
        <v>0.018000000000000002</v>
      </c>
      <c r="AJ81" s="100">
        <v>0.710298</v>
      </c>
      <c r="AK81" s="100">
        <v>0.715789</v>
      </c>
      <c r="AL81" s="100">
        <v>0.794455</v>
      </c>
      <c r="AM81" s="100">
        <v>0.542553</v>
      </c>
      <c r="AN81" s="100">
        <v>0.576608</v>
      </c>
      <c r="AO81" s="98">
        <v>2136.3750945298716</v>
      </c>
      <c r="AP81" s="158">
        <v>1.080363464</v>
      </c>
      <c r="AQ81" s="100">
        <v>0.11504424778761062</v>
      </c>
      <c r="AR81" s="100">
        <v>0.5</v>
      </c>
      <c r="AS81" s="98">
        <v>415.9314343332493</v>
      </c>
      <c r="AT81" s="98">
        <v>378.1194857574994</v>
      </c>
      <c r="AU81" s="98">
        <v>107.13385429795815</v>
      </c>
      <c r="AV81" s="98">
        <v>346.60952861104107</v>
      </c>
      <c r="AW81" s="98">
        <v>749.9369800857071</v>
      </c>
      <c r="AX81" s="98">
        <v>258.38164860095793</v>
      </c>
      <c r="AY81" s="98">
        <v>1417.9480715906227</v>
      </c>
      <c r="AZ81" s="98">
        <v>573.4812200655407</v>
      </c>
      <c r="BA81" s="100" t="s">
        <v>660</v>
      </c>
      <c r="BB81" s="100" t="s">
        <v>660</v>
      </c>
      <c r="BC81" s="100" t="s">
        <v>660</v>
      </c>
      <c r="BD81" s="158">
        <v>0.9684056854</v>
      </c>
      <c r="BE81" s="158">
        <v>1.2017134090000001</v>
      </c>
      <c r="BF81" s="162">
        <v>2078</v>
      </c>
      <c r="BG81" s="162">
        <v>665</v>
      </c>
      <c r="BH81" s="162">
        <v>3751</v>
      </c>
      <c r="BI81" s="162">
        <v>1974</v>
      </c>
      <c r="BJ81" s="162">
        <v>855</v>
      </c>
      <c r="BK81" s="97"/>
      <c r="BL81" s="97"/>
      <c r="BM81" s="97"/>
      <c r="BN81" s="97"/>
    </row>
    <row r="82" spans="1:66" ht="12.75">
      <c r="A82" s="79" t="s">
        <v>588</v>
      </c>
      <c r="B82" s="79" t="s">
        <v>309</v>
      </c>
      <c r="C82" s="79" t="s">
        <v>173</v>
      </c>
      <c r="D82" s="99">
        <v>8841</v>
      </c>
      <c r="E82" s="99">
        <v>1491</v>
      </c>
      <c r="F82" s="99" t="s">
        <v>397</v>
      </c>
      <c r="G82" s="99">
        <v>45</v>
      </c>
      <c r="H82" s="99">
        <v>25</v>
      </c>
      <c r="I82" s="99">
        <v>154</v>
      </c>
      <c r="J82" s="99">
        <v>790</v>
      </c>
      <c r="K82" s="99">
        <v>238</v>
      </c>
      <c r="L82" s="99">
        <v>1614</v>
      </c>
      <c r="M82" s="99">
        <v>587</v>
      </c>
      <c r="N82" s="99">
        <v>268</v>
      </c>
      <c r="O82" s="99">
        <v>151</v>
      </c>
      <c r="P82" s="159">
        <v>151</v>
      </c>
      <c r="Q82" s="99">
        <v>10</v>
      </c>
      <c r="R82" s="99">
        <v>28</v>
      </c>
      <c r="S82" s="99">
        <v>31</v>
      </c>
      <c r="T82" s="99">
        <v>28</v>
      </c>
      <c r="U82" s="99" t="s">
        <v>660</v>
      </c>
      <c r="V82" s="99">
        <v>20</v>
      </c>
      <c r="W82" s="99">
        <v>42</v>
      </c>
      <c r="X82" s="99">
        <v>55</v>
      </c>
      <c r="Y82" s="99">
        <v>133</v>
      </c>
      <c r="Z82" s="99">
        <v>57</v>
      </c>
      <c r="AA82" s="99" t="s">
        <v>660</v>
      </c>
      <c r="AB82" s="99" t="s">
        <v>660</v>
      </c>
      <c r="AC82" s="99" t="s">
        <v>660</v>
      </c>
      <c r="AD82" s="98" t="s">
        <v>376</v>
      </c>
      <c r="AE82" s="100">
        <v>0.16864608076009502</v>
      </c>
      <c r="AF82" s="100">
        <v>0.1</v>
      </c>
      <c r="AG82" s="98">
        <v>508.99219545300303</v>
      </c>
      <c r="AH82" s="98">
        <v>282.77344191833504</v>
      </c>
      <c r="AI82" s="100">
        <v>0.017</v>
      </c>
      <c r="AJ82" s="100">
        <v>0.718835</v>
      </c>
      <c r="AK82" s="100">
        <v>0.727829</v>
      </c>
      <c r="AL82" s="100">
        <v>0.802586</v>
      </c>
      <c r="AM82" s="100">
        <v>0.572125</v>
      </c>
      <c r="AN82" s="100">
        <v>0.609091</v>
      </c>
      <c r="AO82" s="98">
        <v>1707.9515891867436</v>
      </c>
      <c r="AP82" s="158">
        <v>0.9042691039999999</v>
      </c>
      <c r="AQ82" s="100">
        <v>0.06622516556291391</v>
      </c>
      <c r="AR82" s="100">
        <v>0.35714285714285715</v>
      </c>
      <c r="AS82" s="98">
        <v>350.63906797873545</v>
      </c>
      <c r="AT82" s="98">
        <v>316.7062549485352</v>
      </c>
      <c r="AU82" s="98" t="s">
        <v>660</v>
      </c>
      <c r="AV82" s="98">
        <v>226.21875353466802</v>
      </c>
      <c r="AW82" s="98">
        <v>475.05938242280286</v>
      </c>
      <c r="AX82" s="98">
        <v>622.1015722203371</v>
      </c>
      <c r="AY82" s="98">
        <v>1504.3547110055424</v>
      </c>
      <c r="AZ82" s="98">
        <v>644.7234475738039</v>
      </c>
      <c r="BA82" s="100" t="s">
        <v>660</v>
      </c>
      <c r="BB82" s="100" t="s">
        <v>660</v>
      </c>
      <c r="BC82" s="100" t="s">
        <v>660</v>
      </c>
      <c r="BD82" s="158">
        <v>0.7657915497000001</v>
      </c>
      <c r="BE82" s="158">
        <v>1.060550919</v>
      </c>
      <c r="BF82" s="162">
        <v>1099</v>
      </c>
      <c r="BG82" s="162">
        <v>327</v>
      </c>
      <c r="BH82" s="162">
        <v>2011</v>
      </c>
      <c r="BI82" s="162">
        <v>1026</v>
      </c>
      <c r="BJ82" s="162">
        <v>440</v>
      </c>
      <c r="BK82" s="97"/>
      <c r="BL82" s="97"/>
      <c r="BM82" s="97"/>
      <c r="BN82" s="97"/>
    </row>
    <row r="83" spans="1:66" ht="12.75">
      <c r="A83" s="79" t="s">
        <v>623</v>
      </c>
      <c r="B83" s="79" t="s">
        <v>345</v>
      </c>
      <c r="C83" s="79" t="s">
        <v>173</v>
      </c>
      <c r="D83" s="99">
        <v>4548</v>
      </c>
      <c r="E83" s="99">
        <v>1217</v>
      </c>
      <c r="F83" s="99" t="s">
        <v>399</v>
      </c>
      <c r="G83" s="99">
        <v>27</v>
      </c>
      <c r="H83" s="99">
        <v>13</v>
      </c>
      <c r="I83" s="99">
        <v>109</v>
      </c>
      <c r="J83" s="99">
        <v>540</v>
      </c>
      <c r="K83" s="99">
        <v>202</v>
      </c>
      <c r="L83" s="99">
        <v>824</v>
      </c>
      <c r="M83" s="99">
        <v>543</v>
      </c>
      <c r="N83" s="99">
        <v>266</v>
      </c>
      <c r="O83" s="99">
        <v>46</v>
      </c>
      <c r="P83" s="159">
        <v>46</v>
      </c>
      <c r="Q83" s="99">
        <v>6</v>
      </c>
      <c r="R83" s="99">
        <v>24</v>
      </c>
      <c r="S83" s="99">
        <v>7</v>
      </c>
      <c r="T83" s="99">
        <v>11</v>
      </c>
      <c r="U83" s="99" t="s">
        <v>660</v>
      </c>
      <c r="V83" s="99">
        <v>6</v>
      </c>
      <c r="W83" s="99">
        <v>39</v>
      </c>
      <c r="X83" s="99">
        <v>13</v>
      </c>
      <c r="Y83" s="99">
        <v>66</v>
      </c>
      <c r="Z83" s="99">
        <v>29</v>
      </c>
      <c r="AA83" s="99" t="s">
        <v>660</v>
      </c>
      <c r="AB83" s="99" t="s">
        <v>660</v>
      </c>
      <c r="AC83" s="99" t="s">
        <v>660</v>
      </c>
      <c r="AD83" s="98" t="s">
        <v>376</v>
      </c>
      <c r="AE83" s="100">
        <v>0.2675901495162709</v>
      </c>
      <c r="AF83" s="100">
        <v>0.08</v>
      </c>
      <c r="AG83" s="98">
        <v>593.6675461741424</v>
      </c>
      <c r="AH83" s="98">
        <v>285.83992963940193</v>
      </c>
      <c r="AI83" s="100">
        <v>0.024</v>
      </c>
      <c r="AJ83" s="100">
        <v>0.808383</v>
      </c>
      <c r="AK83" s="100">
        <v>0.874459</v>
      </c>
      <c r="AL83" s="100">
        <v>0.846865</v>
      </c>
      <c r="AM83" s="100">
        <v>0.665441</v>
      </c>
      <c r="AN83" s="100">
        <v>0.703704</v>
      </c>
      <c r="AO83" s="98">
        <v>1011.4335971855761</v>
      </c>
      <c r="AP83" s="158">
        <v>0.4357291412</v>
      </c>
      <c r="AQ83" s="100">
        <v>0.13043478260869565</v>
      </c>
      <c r="AR83" s="100">
        <v>0.25</v>
      </c>
      <c r="AS83" s="98">
        <v>153.91380826737029</v>
      </c>
      <c r="AT83" s="98">
        <v>241.8645558487247</v>
      </c>
      <c r="AU83" s="98" t="s">
        <v>660</v>
      </c>
      <c r="AV83" s="98">
        <v>131.92612137203167</v>
      </c>
      <c r="AW83" s="98">
        <v>857.5197889182058</v>
      </c>
      <c r="AX83" s="98">
        <v>285.83992963940193</v>
      </c>
      <c r="AY83" s="98">
        <v>1451.1873350923483</v>
      </c>
      <c r="AZ83" s="98">
        <v>637.6429199648197</v>
      </c>
      <c r="BA83" s="100" t="s">
        <v>660</v>
      </c>
      <c r="BB83" s="100" t="s">
        <v>660</v>
      </c>
      <c r="BC83" s="100" t="s">
        <v>660</v>
      </c>
      <c r="BD83" s="158">
        <v>0.319008503</v>
      </c>
      <c r="BE83" s="158">
        <v>0.5812016296</v>
      </c>
      <c r="BF83" s="162">
        <v>668</v>
      </c>
      <c r="BG83" s="162">
        <v>231</v>
      </c>
      <c r="BH83" s="162">
        <v>973</v>
      </c>
      <c r="BI83" s="162">
        <v>816</v>
      </c>
      <c r="BJ83" s="162">
        <v>378</v>
      </c>
      <c r="BK83" s="97"/>
      <c r="BL83" s="97"/>
      <c r="BM83" s="97"/>
      <c r="BN83" s="97"/>
    </row>
    <row r="84" spans="1:66" ht="12.75">
      <c r="A84" s="79" t="s">
        <v>586</v>
      </c>
      <c r="B84" s="79" t="s">
        <v>307</v>
      </c>
      <c r="C84" s="79" t="s">
        <v>173</v>
      </c>
      <c r="D84" s="99">
        <v>13043</v>
      </c>
      <c r="E84" s="99">
        <v>2212</v>
      </c>
      <c r="F84" s="99" t="s">
        <v>397</v>
      </c>
      <c r="G84" s="99">
        <v>67</v>
      </c>
      <c r="H84" s="99">
        <v>31</v>
      </c>
      <c r="I84" s="99">
        <v>214</v>
      </c>
      <c r="J84" s="99">
        <v>1429</v>
      </c>
      <c r="K84" s="99">
        <v>509</v>
      </c>
      <c r="L84" s="99">
        <v>2519</v>
      </c>
      <c r="M84" s="99">
        <v>920</v>
      </c>
      <c r="N84" s="99">
        <v>418</v>
      </c>
      <c r="O84" s="99">
        <v>226</v>
      </c>
      <c r="P84" s="159">
        <v>226</v>
      </c>
      <c r="Q84" s="99">
        <v>23</v>
      </c>
      <c r="R84" s="99">
        <v>44</v>
      </c>
      <c r="S84" s="99">
        <v>38</v>
      </c>
      <c r="T84" s="99">
        <v>35</v>
      </c>
      <c r="U84" s="99">
        <v>13</v>
      </c>
      <c r="V84" s="99">
        <v>25</v>
      </c>
      <c r="W84" s="99">
        <v>60</v>
      </c>
      <c r="X84" s="99">
        <v>81</v>
      </c>
      <c r="Y84" s="99">
        <v>160</v>
      </c>
      <c r="Z84" s="99">
        <v>59</v>
      </c>
      <c r="AA84" s="99" t="s">
        <v>660</v>
      </c>
      <c r="AB84" s="99" t="s">
        <v>660</v>
      </c>
      <c r="AC84" s="99" t="s">
        <v>660</v>
      </c>
      <c r="AD84" s="98" t="s">
        <v>376</v>
      </c>
      <c r="AE84" s="100">
        <v>0.16959288507245265</v>
      </c>
      <c r="AF84" s="100">
        <v>0.12</v>
      </c>
      <c r="AG84" s="98">
        <v>513.6855018017327</v>
      </c>
      <c r="AH84" s="98">
        <v>237.67538143065246</v>
      </c>
      <c r="AI84" s="100">
        <v>0.016</v>
      </c>
      <c r="AJ84" s="100">
        <v>0.81055</v>
      </c>
      <c r="AK84" s="100">
        <v>0.8144</v>
      </c>
      <c r="AL84" s="100">
        <v>0.790647</v>
      </c>
      <c r="AM84" s="100">
        <v>0.534573</v>
      </c>
      <c r="AN84" s="100">
        <v>0.558824</v>
      </c>
      <c r="AO84" s="98">
        <v>1732.7302001073372</v>
      </c>
      <c r="AP84" s="158">
        <v>0.9073600769</v>
      </c>
      <c r="AQ84" s="100">
        <v>0.10176991150442478</v>
      </c>
      <c r="AR84" s="100">
        <v>0.5227272727272727</v>
      </c>
      <c r="AS84" s="98">
        <v>291.3440159472514</v>
      </c>
      <c r="AT84" s="98">
        <v>268.3431725829947</v>
      </c>
      <c r="AU84" s="98">
        <v>99.67032124511232</v>
      </c>
      <c r="AV84" s="98">
        <v>191.67369470213907</v>
      </c>
      <c r="AW84" s="98">
        <v>460.0168672851338</v>
      </c>
      <c r="AX84" s="98">
        <v>621.0227708349306</v>
      </c>
      <c r="AY84" s="98">
        <v>1226.7116460936902</v>
      </c>
      <c r="AZ84" s="98">
        <v>452.34991949704823</v>
      </c>
      <c r="BA84" s="100" t="s">
        <v>660</v>
      </c>
      <c r="BB84" s="100" t="s">
        <v>660</v>
      </c>
      <c r="BC84" s="100" t="s">
        <v>660</v>
      </c>
      <c r="BD84" s="158">
        <v>0.7929105377000001</v>
      </c>
      <c r="BE84" s="158">
        <v>1.033689041</v>
      </c>
      <c r="BF84" s="162">
        <v>1763</v>
      </c>
      <c r="BG84" s="162">
        <v>625</v>
      </c>
      <c r="BH84" s="162">
        <v>3186</v>
      </c>
      <c r="BI84" s="162">
        <v>1721</v>
      </c>
      <c r="BJ84" s="162">
        <v>748</v>
      </c>
      <c r="BK84" s="97"/>
      <c r="BL84" s="97"/>
      <c r="BM84" s="97"/>
      <c r="BN84" s="97"/>
    </row>
    <row r="85" spans="1:66" ht="12.75">
      <c r="A85" s="79" t="s">
        <v>577</v>
      </c>
      <c r="B85" s="79" t="s">
        <v>298</v>
      </c>
      <c r="C85" s="79" t="s">
        <v>173</v>
      </c>
      <c r="D85" s="99">
        <v>9487</v>
      </c>
      <c r="E85" s="99">
        <v>1716</v>
      </c>
      <c r="F85" s="99" t="s">
        <v>397</v>
      </c>
      <c r="G85" s="99">
        <v>48</v>
      </c>
      <c r="H85" s="99">
        <v>28</v>
      </c>
      <c r="I85" s="99">
        <v>118</v>
      </c>
      <c r="J85" s="99">
        <v>72</v>
      </c>
      <c r="K85" s="99" t="s">
        <v>660</v>
      </c>
      <c r="L85" s="99">
        <v>119</v>
      </c>
      <c r="M85" s="99">
        <v>696</v>
      </c>
      <c r="N85" s="99">
        <v>348</v>
      </c>
      <c r="O85" s="99">
        <v>199</v>
      </c>
      <c r="P85" s="159">
        <v>199</v>
      </c>
      <c r="Q85" s="99">
        <v>29</v>
      </c>
      <c r="R85" s="99">
        <v>53</v>
      </c>
      <c r="S85" s="99">
        <v>38</v>
      </c>
      <c r="T85" s="99">
        <v>27</v>
      </c>
      <c r="U85" s="99">
        <v>8</v>
      </c>
      <c r="V85" s="99">
        <v>44</v>
      </c>
      <c r="W85" s="99">
        <v>65</v>
      </c>
      <c r="X85" s="99">
        <v>34</v>
      </c>
      <c r="Y85" s="99">
        <v>92</v>
      </c>
      <c r="Z85" s="99">
        <v>75</v>
      </c>
      <c r="AA85" s="99" t="s">
        <v>660</v>
      </c>
      <c r="AB85" s="99" t="s">
        <v>660</v>
      </c>
      <c r="AC85" s="99" t="s">
        <v>660</v>
      </c>
      <c r="AD85" s="98" t="s">
        <v>376</v>
      </c>
      <c r="AE85" s="100">
        <v>0.18087909771265942</v>
      </c>
      <c r="AF85" s="100">
        <v>0.12</v>
      </c>
      <c r="AG85" s="98">
        <v>505.95551807736905</v>
      </c>
      <c r="AH85" s="98">
        <v>295.1407188784653</v>
      </c>
      <c r="AI85" s="100">
        <v>0.012</v>
      </c>
      <c r="AJ85" s="100">
        <v>0.818182</v>
      </c>
      <c r="AK85" s="100" t="s">
        <v>660</v>
      </c>
      <c r="AL85" s="100">
        <v>0.875</v>
      </c>
      <c r="AM85" s="100">
        <v>0.566314</v>
      </c>
      <c r="AN85" s="100">
        <v>0.629295</v>
      </c>
      <c r="AO85" s="98">
        <v>2097.6072520290923</v>
      </c>
      <c r="AP85" s="158">
        <v>1.056763535</v>
      </c>
      <c r="AQ85" s="100">
        <v>0.1457286432160804</v>
      </c>
      <c r="AR85" s="100">
        <v>0.5471698113207547</v>
      </c>
      <c r="AS85" s="98">
        <v>400.54811847791717</v>
      </c>
      <c r="AT85" s="98">
        <v>284.5999789185201</v>
      </c>
      <c r="AU85" s="98">
        <v>84.32591967956151</v>
      </c>
      <c r="AV85" s="98">
        <v>463.79255823758825</v>
      </c>
      <c r="AW85" s="98">
        <v>685.1480973964373</v>
      </c>
      <c r="AX85" s="98">
        <v>358.3851586381364</v>
      </c>
      <c r="AY85" s="98">
        <v>969.7480763149573</v>
      </c>
      <c r="AZ85" s="98">
        <v>790.5554969958891</v>
      </c>
      <c r="BA85" s="100" t="s">
        <v>660</v>
      </c>
      <c r="BB85" s="100" t="s">
        <v>660</v>
      </c>
      <c r="BC85" s="100" t="s">
        <v>660</v>
      </c>
      <c r="BD85" s="158">
        <v>0.9150313568</v>
      </c>
      <c r="BE85" s="158">
        <v>1.214230576</v>
      </c>
      <c r="BF85" s="162">
        <v>88</v>
      </c>
      <c r="BG85" s="162" t="s">
        <v>660</v>
      </c>
      <c r="BH85" s="162">
        <v>136</v>
      </c>
      <c r="BI85" s="162">
        <v>1229</v>
      </c>
      <c r="BJ85" s="162">
        <v>553</v>
      </c>
      <c r="BK85" s="97"/>
      <c r="BL85" s="97"/>
      <c r="BM85" s="97"/>
      <c r="BN85" s="97"/>
    </row>
    <row r="86" spans="1:66" ht="12.75">
      <c r="A86" s="79" t="s">
        <v>620</v>
      </c>
      <c r="B86" s="79" t="s">
        <v>342</v>
      </c>
      <c r="C86" s="79" t="s">
        <v>173</v>
      </c>
      <c r="D86" s="99">
        <v>9055</v>
      </c>
      <c r="E86" s="99">
        <v>1458</v>
      </c>
      <c r="F86" s="99" t="s">
        <v>397</v>
      </c>
      <c r="G86" s="99">
        <v>57</v>
      </c>
      <c r="H86" s="99">
        <v>24</v>
      </c>
      <c r="I86" s="99">
        <v>137</v>
      </c>
      <c r="J86" s="99">
        <v>58</v>
      </c>
      <c r="K86" s="99" t="s">
        <v>660</v>
      </c>
      <c r="L86" s="99">
        <v>91</v>
      </c>
      <c r="M86" s="99">
        <v>607</v>
      </c>
      <c r="N86" s="99">
        <v>272</v>
      </c>
      <c r="O86" s="99">
        <v>217</v>
      </c>
      <c r="P86" s="159">
        <v>217</v>
      </c>
      <c r="Q86" s="99">
        <v>17</v>
      </c>
      <c r="R86" s="99">
        <v>42</v>
      </c>
      <c r="S86" s="99">
        <v>55</v>
      </c>
      <c r="T86" s="99">
        <v>39</v>
      </c>
      <c r="U86" s="99" t="s">
        <v>660</v>
      </c>
      <c r="V86" s="99">
        <v>43</v>
      </c>
      <c r="W86" s="99">
        <v>66</v>
      </c>
      <c r="X86" s="99">
        <v>42</v>
      </c>
      <c r="Y86" s="99">
        <v>96</v>
      </c>
      <c r="Z86" s="99">
        <v>60</v>
      </c>
      <c r="AA86" s="99" t="s">
        <v>660</v>
      </c>
      <c r="AB86" s="99" t="s">
        <v>660</v>
      </c>
      <c r="AC86" s="99" t="s">
        <v>660</v>
      </c>
      <c r="AD86" s="98" t="s">
        <v>376</v>
      </c>
      <c r="AE86" s="100">
        <v>0.16101601325234677</v>
      </c>
      <c r="AF86" s="100">
        <v>0.11</v>
      </c>
      <c r="AG86" s="98">
        <v>629.4864715626726</v>
      </c>
      <c r="AH86" s="98">
        <v>265.0469353948095</v>
      </c>
      <c r="AI86" s="100">
        <v>0.015</v>
      </c>
      <c r="AJ86" s="100">
        <v>0.852941</v>
      </c>
      <c r="AK86" s="100" t="s">
        <v>660</v>
      </c>
      <c r="AL86" s="100">
        <v>0.875</v>
      </c>
      <c r="AM86" s="100">
        <v>0.606394</v>
      </c>
      <c r="AN86" s="100">
        <v>0.669951</v>
      </c>
      <c r="AO86" s="98">
        <v>2396.4660408614027</v>
      </c>
      <c r="AP86" s="158">
        <v>1.2539989470000001</v>
      </c>
      <c r="AQ86" s="100">
        <v>0.07834101382488479</v>
      </c>
      <c r="AR86" s="100">
        <v>0.40476190476190477</v>
      </c>
      <c r="AS86" s="98">
        <v>607.3992269464384</v>
      </c>
      <c r="AT86" s="98">
        <v>430.70127001656545</v>
      </c>
      <c r="AU86" s="98" t="s">
        <v>660</v>
      </c>
      <c r="AV86" s="98">
        <v>474.8757592490337</v>
      </c>
      <c r="AW86" s="98">
        <v>728.8790723357262</v>
      </c>
      <c r="AX86" s="98">
        <v>463.8321369409166</v>
      </c>
      <c r="AY86" s="98">
        <v>1060.187741579238</v>
      </c>
      <c r="AZ86" s="98">
        <v>662.6173384870237</v>
      </c>
      <c r="BA86" s="100" t="s">
        <v>660</v>
      </c>
      <c r="BB86" s="100" t="s">
        <v>660</v>
      </c>
      <c r="BC86" s="100" t="s">
        <v>660</v>
      </c>
      <c r="BD86" s="158">
        <v>1.092692108</v>
      </c>
      <c r="BE86" s="158">
        <v>1.432411957</v>
      </c>
      <c r="BF86" s="162">
        <v>68</v>
      </c>
      <c r="BG86" s="162" t="s">
        <v>660</v>
      </c>
      <c r="BH86" s="162">
        <v>104</v>
      </c>
      <c r="BI86" s="162">
        <v>1001</v>
      </c>
      <c r="BJ86" s="162">
        <v>406</v>
      </c>
      <c r="BK86" s="97"/>
      <c r="BL86" s="97"/>
      <c r="BM86" s="97"/>
      <c r="BN86" s="97"/>
    </row>
    <row r="87" spans="1:66" ht="12.75">
      <c r="A87" s="79" t="s">
        <v>567</v>
      </c>
      <c r="B87" s="79" t="s">
        <v>288</v>
      </c>
      <c r="C87" s="79" t="s">
        <v>173</v>
      </c>
      <c r="D87" s="99">
        <v>14635</v>
      </c>
      <c r="E87" s="99">
        <v>2757</v>
      </c>
      <c r="F87" s="99" t="s">
        <v>397</v>
      </c>
      <c r="G87" s="99">
        <v>95</v>
      </c>
      <c r="H87" s="99">
        <v>36</v>
      </c>
      <c r="I87" s="99">
        <v>292</v>
      </c>
      <c r="J87" s="99">
        <v>267</v>
      </c>
      <c r="K87" s="99" t="s">
        <v>660</v>
      </c>
      <c r="L87" s="99">
        <v>372</v>
      </c>
      <c r="M87" s="99">
        <v>989</v>
      </c>
      <c r="N87" s="99">
        <v>429</v>
      </c>
      <c r="O87" s="99">
        <v>450</v>
      </c>
      <c r="P87" s="159">
        <v>450</v>
      </c>
      <c r="Q87" s="99">
        <v>44</v>
      </c>
      <c r="R87" s="99">
        <v>80</v>
      </c>
      <c r="S87" s="99">
        <v>96</v>
      </c>
      <c r="T87" s="99">
        <v>51</v>
      </c>
      <c r="U87" s="99">
        <v>18</v>
      </c>
      <c r="V87" s="99">
        <v>98</v>
      </c>
      <c r="W87" s="99">
        <v>98</v>
      </c>
      <c r="X87" s="99">
        <v>60</v>
      </c>
      <c r="Y87" s="99">
        <v>169</v>
      </c>
      <c r="Z87" s="99">
        <v>87</v>
      </c>
      <c r="AA87" s="99" t="s">
        <v>660</v>
      </c>
      <c r="AB87" s="99" t="s">
        <v>660</v>
      </c>
      <c r="AC87" s="99" t="s">
        <v>660</v>
      </c>
      <c r="AD87" s="98" t="s">
        <v>376</v>
      </c>
      <c r="AE87" s="100">
        <v>0.1883840109326956</v>
      </c>
      <c r="AF87" s="100">
        <v>0.12</v>
      </c>
      <c r="AG87" s="98">
        <v>649.1288008199522</v>
      </c>
      <c r="AH87" s="98">
        <v>245.9856508370345</v>
      </c>
      <c r="AI87" s="100">
        <v>0.02</v>
      </c>
      <c r="AJ87" s="100">
        <v>0.809091</v>
      </c>
      <c r="AK87" s="100" t="s">
        <v>660</v>
      </c>
      <c r="AL87" s="100">
        <v>0.849315</v>
      </c>
      <c r="AM87" s="100">
        <v>0.572007</v>
      </c>
      <c r="AN87" s="100">
        <v>0.598326</v>
      </c>
      <c r="AO87" s="98">
        <v>3074.8206354629315</v>
      </c>
      <c r="AP87" s="158">
        <v>1.553976898</v>
      </c>
      <c r="AQ87" s="100">
        <v>0.09777777777777778</v>
      </c>
      <c r="AR87" s="100">
        <v>0.55</v>
      </c>
      <c r="AS87" s="98">
        <v>655.9617355654253</v>
      </c>
      <c r="AT87" s="98">
        <v>348.47967201913224</v>
      </c>
      <c r="AU87" s="98">
        <v>122.99282541851726</v>
      </c>
      <c r="AV87" s="98">
        <v>669.6276050563717</v>
      </c>
      <c r="AW87" s="98">
        <v>669.6276050563717</v>
      </c>
      <c r="AX87" s="98">
        <v>409.97608472839084</v>
      </c>
      <c r="AY87" s="98">
        <v>1154.7659719849676</v>
      </c>
      <c r="AZ87" s="98">
        <v>594.4653228561667</v>
      </c>
      <c r="BA87" s="100" t="s">
        <v>660</v>
      </c>
      <c r="BB87" s="100" t="s">
        <v>660</v>
      </c>
      <c r="BC87" s="100" t="s">
        <v>660</v>
      </c>
      <c r="BD87" s="158">
        <v>1.413694916</v>
      </c>
      <c r="BE87" s="158">
        <v>1.7044116210000002</v>
      </c>
      <c r="BF87" s="162">
        <v>330</v>
      </c>
      <c r="BG87" s="162" t="s">
        <v>660</v>
      </c>
      <c r="BH87" s="162">
        <v>438</v>
      </c>
      <c r="BI87" s="162">
        <v>1729</v>
      </c>
      <c r="BJ87" s="162">
        <v>717</v>
      </c>
      <c r="BK87" s="97"/>
      <c r="BL87" s="97"/>
      <c r="BM87" s="97"/>
      <c r="BN87" s="97"/>
    </row>
    <row r="88" spans="1:66" ht="12.75">
      <c r="A88" s="79" t="s">
        <v>622</v>
      </c>
      <c r="B88" s="79" t="s">
        <v>344</v>
      </c>
      <c r="C88" s="79" t="s">
        <v>173</v>
      </c>
      <c r="D88" s="99">
        <v>8020</v>
      </c>
      <c r="E88" s="99">
        <v>1527</v>
      </c>
      <c r="F88" s="99" t="s">
        <v>399</v>
      </c>
      <c r="G88" s="99">
        <v>28</v>
      </c>
      <c r="H88" s="99">
        <v>21</v>
      </c>
      <c r="I88" s="99">
        <v>155</v>
      </c>
      <c r="J88" s="99">
        <v>860</v>
      </c>
      <c r="K88" s="99">
        <v>248</v>
      </c>
      <c r="L88" s="99">
        <v>1671</v>
      </c>
      <c r="M88" s="99">
        <v>621</v>
      </c>
      <c r="N88" s="99">
        <v>313</v>
      </c>
      <c r="O88" s="99">
        <v>153</v>
      </c>
      <c r="P88" s="159">
        <v>153</v>
      </c>
      <c r="Q88" s="99">
        <v>20</v>
      </c>
      <c r="R88" s="99">
        <v>44</v>
      </c>
      <c r="S88" s="99">
        <v>32</v>
      </c>
      <c r="T88" s="99">
        <v>28</v>
      </c>
      <c r="U88" s="99">
        <v>7</v>
      </c>
      <c r="V88" s="99">
        <v>21</v>
      </c>
      <c r="W88" s="99">
        <v>43</v>
      </c>
      <c r="X88" s="99">
        <v>28</v>
      </c>
      <c r="Y88" s="99">
        <v>77</v>
      </c>
      <c r="Z88" s="99">
        <v>77</v>
      </c>
      <c r="AA88" s="99" t="s">
        <v>660</v>
      </c>
      <c r="AB88" s="99" t="s">
        <v>660</v>
      </c>
      <c r="AC88" s="99" t="s">
        <v>660</v>
      </c>
      <c r="AD88" s="98" t="s">
        <v>376</v>
      </c>
      <c r="AE88" s="100">
        <v>0.1903990024937656</v>
      </c>
      <c r="AF88" s="100">
        <v>0.08</v>
      </c>
      <c r="AG88" s="98">
        <v>349.1271820448878</v>
      </c>
      <c r="AH88" s="98">
        <v>261.8453865336658</v>
      </c>
      <c r="AI88" s="100">
        <v>0.019</v>
      </c>
      <c r="AJ88" s="100">
        <v>0.8</v>
      </c>
      <c r="AK88" s="100">
        <v>0.849315</v>
      </c>
      <c r="AL88" s="100">
        <v>0.846934</v>
      </c>
      <c r="AM88" s="100">
        <v>0.59369</v>
      </c>
      <c r="AN88" s="100">
        <v>0.636179</v>
      </c>
      <c r="AO88" s="98">
        <v>1907.7306733167081</v>
      </c>
      <c r="AP88" s="158">
        <v>0.9443170166</v>
      </c>
      <c r="AQ88" s="100">
        <v>0.13071895424836602</v>
      </c>
      <c r="AR88" s="100">
        <v>0.45454545454545453</v>
      </c>
      <c r="AS88" s="98">
        <v>399.00249376558605</v>
      </c>
      <c r="AT88" s="98">
        <v>349.1271820448878</v>
      </c>
      <c r="AU88" s="98">
        <v>87.28179551122194</v>
      </c>
      <c r="AV88" s="98">
        <v>261.8453865336658</v>
      </c>
      <c r="AW88" s="98">
        <v>536.1596009975062</v>
      </c>
      <c r="AX88" s="98">
        <v>349.1271820448878</v>
      </c>
      <c r="AY88" s="98">
        <v>960.0997506234414</v>
      </c>
      <c r="AZ88" s="98">
        <v>960.0997506234414</v>
      </c>
      <c r="BA88" s="100" t="s">
        <v>660</v>
      </c>
      <c r="BB88" s="100" t="s">
        <v>660</v>
      </c>
      <c r="BC88" s="100" t="s">
        <v>660</v>
      </c>
      <c r="BD88" s="158">
        <v>0.8006153107</v>
      </c>
      <c r="BE88" s="158">
        <v>1.106365433</v>
      </c>
      <c r="BF88" s="162">
        <v>1075</v>
      </c>
      <c r="BG88" s="162">
        <v>292</v>
      </c>
      <c r="BH88" s="162">
        <v>1973</v>
      </c>
      <c r="BI88" s="162">
        <v>1046</v>
      </c>
      <c r="BJ88" s="162">
        <v>492</v>
      </c>
      <c r="BK88" s="97"/>
      <c r="BL88" s="97"/>
      <c r="BM88" s="97"/>
      <c r="BN88" s="97"/>
    </row>
    <row r="89" spans="1:66" ht="12.75">
      <c r="A89" s="79" t="s">
        <v>599</v>
      </c>
      <c r="B89" s="79" t="s">
        <v>320</v>
      </c>
      <c r="C89" s="79" t="s">
        <v>173</v>
      </c>
      <c r="D89" s="99">
        <v>9204</v>
      </c>
      <c r="E89" s="99">
        <v>1551</v>
      </c>
      <c r="F89" s="99" t="s">
        <v>398</v>
      </c>
      <c r="G89" s="99">
        <v>55</v>
      </c>
      <c r="H89" s="99">
        <v>16</v>
      </c>
      <c r="I89" s="99">
        <v>84</v>
      </c>
      <c r="J89" s="99">
        <v>754</v>
      </c>
      <c r="K89" s="99">
        <v>277</v>
      </c>
      <c r="L89" s="99">
        <v>1638</v>
      </c>
      <c r="M89" s="99">
        <v>505</v>
      </c>
      <c r="N89" s="99">
        <v>242</v>
      </c>
      <c r="O89" s="99">
        <v>292</v>
      </c>
      <c r="P89" s="159">
        <v>292</v>
      </c>
      <c r="Q89" s="99">
        <v>26</v>
      </c>
      <c r="R89" s="99">
        <v>51</v>
      </c>
      <c r="S89" s="99">
        <v>57</v>
      </c>
      <c r="T89" s="99">
        <v>51</v>
      </c>
      <c r="U89" s="99" t="s">
        <v>660</v>
      </c>
      <c r="V89" s="99">
        <v>41</v>
      </c>
      <c r="W89" s="99">
        <v>35</v>
      </c>
      <c r="X89" s="99">
        <v>21</v>
      </c>
      <c r="Y89" s="99">
        <v>65</v>
      </c>
      <c r="Z89" s="99">
        <v>22</v>
      </c>
      <c r="AA89" s="99" t="s">
        <v>660</v>
      </c>
      <c r="AB89" s="99" t="s">
        <v>660</v>
      </c>
      <c r="AC89" s="99" t="s">
        <v>660</v>
      </c>
      <c r="AD89" s="98" t="s">
        <v>376</v>
      </c>
      <c r="AE89" s="100">
        <v>0.16851368970013036</v>
      </c>
      <c r="AF89" s="100">
        <v>0.15</v>
      </c>
      <c r="AG89" s="98">
        <v>597.5662755323772</v>
      </c>
      <c r="AH89" s="98">
        <v>173.83746197305518</v>
      </c>
      <c r="AI89" s="100">
        <v>0.009000000000000001</v>
      </c>
      <c r="AJ89" s="100">
        <v>0.754</v>
      </c>
      <c r="AK89" s="100">
        <v>0.798271</v>
      </c>
      <c r="AL89" s="100">
        <v>0.748287</v>
      </c>
      <c r="AM89" s="100">
        <v>0.505</v>
      </c>
      <c r="AN89" s="100">
        <v>0.54382</v>
      </c>
      <c r="AO89" s="98">
        <v>3172.533681008257</v>
      </c>
      <c r="AP89" s="158">
        <v>1.7651208500000002</v>
      </c>
      <c r="AQ89" s="100">
        <v>0.08904109589041095</v>
      </c>
      <c r="AR89" s="100">
        <v>0.5098039215686274</v>
      </c>
      <c r="AS89" s="98">
        <v>619.2959582790091</v>
      </c>
      <c r="AT89" s="98">
        <v>554.1069100391135</v>
      </c>
      <c r="AU89" s="98" t="s">
        <v>660</v>
      </c>
      <c r="AV89" s="98">
        <v>445.45849630595393</v>
      </c>
      <c r="AW89" s="98">
        <v>380.26944806605826</v>
      </c>
      <c r="AX89" s="98">
        <v>228.16166883963493</v>
      </c>
      <c r="AY89" s="98">
        <v>706.2146892655368</v>
      </c>
      <c r="AZ89" s="98">
        <v>239.02651021295088</v>
      </c>
      <c r="BA89" s="100" t="s">
        <v>660</v>
      </c>
      <c r="BB89" s="100" t="s">
        <v>660</v>
      </c>
      <c r="BC89" s="100" t="s">
        <v>660</v>
      </c>
      <c r="BD89" s="158">
        <v>1.568449554</v>
      </c>
      <c r="BE89" s="158">
        <v>1.979631805</v>
      </c>
      <c r="BF89" s="162">
        <v>1000</v>
      </c>
      <c r="BG89" s="162">
        <v>347</v>
      </c>
      <c r="BH89" s="162">
        <v>2189</v>
      </c>
      <c r="BI89" s="162">
        <v>1000</v>
      </c>
      <c r="BJ89" s="162">
        <v>445</v>
      </c>
      <c r="BK89" s="97"/>
      <c r="BL89" s="97"/>
      <c r="BM89" s="97"/>
      <c r="BN89" s="97"/>
    </row>
    <row r="90" spans="1:66" ht="12.75">
      <c r="A90" s="79" t="s">
        <v>610</v>
      </c>
      <c r="B90" s="79" t="s">
        <v>331</v>
      </c>
      <c r="C90" s="79" t="s">
        <v>173</v>
      </c>
      <c r="D90" s="99">
        <v>8539</v>
      </c>
      <c r="E90" s="99">
        <v>1680</v>
      </c>
      <c r="F90" s="99" t="s">
        <v>399</v>
      </c>
      <c r="G90" s="99">
        <v>50</v>
      </c>
      <c r="H90" s="99">
        <v>23</v>
      </c>
      <c r="I90" s="99">
        <v>157</v>
      </c>
      <c r="J90" s="99">
        <v>980</v>
      </c>
      <c r="K90" s="99">
        <v>319</v>
      </c>
      <c r="L90" s="99">
        <v>1702</v>
      </c>
      <c r="M90" s="99">
        <v>693</v>
      </c>
      <c r="N90" s="99">
        <v>315</v>
      </c>
      <c r="O90" s="99">
        <v>180</v>
      </c>
      <c r="P90" s="159">
        <v>180</v>
      </c>
      <c r="Q90" s="99">
        <v>27</v>
      </c>
      <c r="R90" s="99">
        <v>54</v>
      </c>
      <c r="S90" s="99">
        <v>45</v>
      </c>
      <c r="T90" s="99">
        <v>30</v>
      </c>
      <c r="U90" s="99">
        <v>6</v>
      </c>
      <c r="V90" s="99">
        <v>24</v>
      </c>
      <c r="W90" s="99">
        <v>50</v>
      </c>
      <c r="X90" s="99">
        <v>60</v>
      </c>
      <c r="Y90" s="99">
        <v>113</v>
      </c>
      <c r="Z90" s="99">
        <v>57</v>
      </c>
      <c r="AA90" s="99" t="s">
        <v>660</v>
      </c>
      <c r="AB90" s="99" t="s">
        <v>660</v>
      </c>
      <c r="AC90" s="99" t="s">
        <v>660</v>
      </c>
      <c r="AD90" s="98" t="s">
        <v>376</v>
      </c>
      <c r="AE90" s="100">
        <v>0.19674434945543975</v>
      </c>
      <c r="AF90" s="100">
        <v>0.07</v>
      </c>
      <c r="AG90" s="98">
        <v>585.5486590935707</v>
      </c>
      <c r="AH90" s="98">
        <v>269.3523831830425</v>
      </c>
      <c r="AI90" s="100">
        <v>0.018000000000000002</v>
      </c>
      <c r="AJ90" s="100">
        <v>0.76087</v>
      </c>
      <c r="AK90" s="100">
        <v>0.785714</v>
      </c>
      <c r="AL90" s="100">
        <v>0.833497</v>
      </c>
      <c r="AM90" s="100">
        <v>0.573201</v>
      </c>
      <c r="AN90" s="100">
        <v>0.610465</v>
      </c>
      <c r="AO90" s="98">
        <v>2107.9751727368543</v>
      </c>
      <c r="AP90" s="158">
        <v>1.0148025509999998</v>
      </c>
      <c r="AQ90" s="100">
        <v>0.15</v>
      </c>
      <c r="AR90" s="100">
        <v>0.5</v>
      </c>
      <c r="AS90" s="98">
        <v>526.9937931842136</v>
      </c>
      <c r="AT90" s="98">
        <v>351.32919545614243</v>
      </c>
      <c r="AU90" s="98">
        <v>70.26583909122849</v>
      </c>
      <c r="AV90" s="98">
        <v>281.06335636491394</v>
      </c>
      <c r="AW90" s="98">
        <v>585.5486590935707</v>
      </c>
      <c r="AX90" s="98">
        <v>702.6583909122849</v>
      </c>
      <c r="AY90" s="98">
        <v>1323.3399695514697</v>
      </c>
      <c r="AZ90" s="98">
        <v>667.5254713666706</v>
      </c>
      <c r="BA90" s="100" t="s">
        <v>660</v>
      </c>
      <c r="BB90" s="100" t="s">
        <v>660</v>
      </c>
      <c r="BC90" s="100" t="s">
        <v>660</v>
      </c>
      <c r="BD90" s="158">
        <v>0.8719628906</v>
      </c>
      <c r="BE90" s="158">
        <v>1.174366913</v>
      </c>
      <c r="BF90" s="162">
        <v>1288</v>
      </c>
      <c r="BG90" s="162">
        <v>406</v>
      </c>
      <c r="BH90" s="162">
        <v>2042</v>
      </c>
      <c r="BI90" s="162">
        <v>1209</v>
      </c>
      <c r="BJ90" s="162">
        <v>516</v>
      </c>
      <c r="BK90" s="97"/>
      <c r="BL90" s="97"/>
      <c r="BM90" s="97"/>
      <c r="BN90" s="97"/>
    </row>
    <row r="91" spans="1:66" ht="12.75">
      <c r="A91" s="79" t="s">
        <v>616</v>
      </c>
      <c r="B91" s="79" t="s">
        <v>338</v>
      </c>
      <c r="C91" s="79" t="s">
        <v>173</v>
      </c>
      <c r="D91" s="99">
        <v>3404</v>
      </c>
      <c r="E91" s="99">
        <v>666</v>
      </c>
      <c r="F91" s="99" t="s">
        <v>399</v>
      </c>
      <c r="G91" s="99">
        <v>17</v>
      </c>
      <c r="H91" s="99">
        <v>6</v>
      </c>
      <c r="I91" s="99">
        <v>61</v>
      </c>
      <c r="J91" s="99">
        <v>367</v>
      </c>
      <c r="K91" s="99">
        <v>148</v>
      </c>
      <c r="L91" s="99">
        <v>673</v>
      </c>
      <c r="M91" s="99">
        <v>254</v>
      </c>
      <c r="N91" s="99">
        <v>120</v>
      </c>
      <c r="O91" s="99">
        <v>24</v>
      </c>
      <c r="P91" s="159">
        <v>24</v>
      </c>
      <c r="Q91" s="99" t="s">
        <v>660</v>
      </c>
      <c r="R91" s="99">
        <v>20</v>
      </c>
      <c r="S91" s="99">
        <v>6</v>
      </c>
      <c r="T91" s="99" t="s">
        <v>660</v>
      </c>
      <c r="U91" s="99" t="s">
        <v>660</v>
      </c>
      <c r="V91" s="99">
        <v>6</v>
      </c>
      <c r="W91" s="99">
        <v>30</v>
      </c>
      <c r="X91" s="99">
        <v>11</v>
      </c>
      <c r="Y91" s="99">
        <v>45</v>
      </c>
      <c r="Z91" s="99">
        <v>25</v>
      </c>
      <c r="AA91" s="99" t="s">
        <v>660</v>
      </c>
      <c r="AB91" s="99" t="s">
        <v>660</v>
      </c>
      <c r="AC91" s="99" t="s">
        <v>660</v>
      </c>
      <c r="AD91" s="98" t="s">
        <v>376</v>
      </c>
      <c r="AE91" s="100">
        <v>0.1956521739130435</v>
      </c>
      <c r="AF91" s="100">
        <v>0.07</v>
      </c>
      <c r="AG91" s="98">
        <v>499.41245593419507</v>
      </c>
      <c r="AH91" s="98">
        <v>176.2632197414806</v>
      </c>
      <c r="AI91" s="100">
        <v>0.018000000000000002</v>
      </c>
      <c r="AJ91" s="100">
        <v>0.756701</v>
      </c>
      <c r="AK91" s="100">
        <v>0.845714</v>
      </c>
      <c r="AL91" s="100">
        <v>0.815758</v>
      </c>
      <c r="AM91" s="100">
        <v>0.547414</v>
      </c>
      <c r="AN91" s="100">
        <v>0.606061</v>
      </c>
      <c r="AO91" s="98">
        <v>705.0528789659224</v>
      </c>
      <c r="AP91" s="158">
        <v>0.3361960602</v>
      </c>
      <c r="AQ91" s="100" t="s">
        <v>660</v>
      </c>
      <c r="AR91" s="100" t="s">
        <v>660</v>
      </c>
      <c r="AS91" s="98">
        <v>176.2632197414806</v>
      </c>
      <c r="AT91" s="98" t="s">
        <v>660</v>
      </c>
      <c r="AU91" s="98" t="s">
        <v>660</v>
      </c>
      <c r="AV91" s="98">
        <v>176.2632197414806</v>
      </c>
      <c r="AW91" s="98">
        <v>881.3160987074031</v>
      </c>
      <c r="AX91" s="98">
        <v>323.14923619271445</v>
      </c>
      <c r="AY91" s="98">
        <v>1321.9741480611046</v>
      </c>
      <c r="AZ91" s="98">
        <v>734.4300822561692</v>
      </c>
      <c r="BA91" s="100" t="s">
        <v>660</v>
      </c>
      <c r="BB91" s="100" t="s">
        <v>660</v>
      </c>
      <c r="BC91" s="100" t="s">
        <v>660</v>
      </c>
      <c r="BD91" s="158">
        <v>0.2154071617</v>
      </c>
      <c r="BE91" s="158">
        <v>0.5002330779999999</v>
      </c>
      <c r="BF91" s="162">
        <v>485</v>
      </c>
      <c r="BG91" s="162">
        <v>175</v>
      </c>
      <c r="BH91" s="162">
        <v>825</v>
      </c>
      <c r="BI91" s="162">
        <v>464</v>
      </c>
      <c r="BJ91" s="162">
        <v>198</v>
      </c>
      <c r="BK91" s="97"/>
      <c r="BL91" s="97"/>
      <c r="BM91" s="97"/>
      <c r="BN91" s="97"/>
    </row>
    <row r="92" spans="1:66" ht="12.75">
      <c r="A92" s="79" t="s">
        <v>633</v>
      </c>
      <c r="B92" s="79" t="s">
        <v>356</v>
      </c>
      <c r="C92" s="79" t="s">
        <v>173</v>
      </c>
      <c r="D92" s="99">
        <v>9917</v>
      </c>
      <c r="E92" s="99">
        <v>1286</v>
      </c>
      <c r="F92" s="99" t="s">
        <v>399</v>
      </c>
      <c r="G92" s="99">
        <v>49</v>
      </c>
      <c r="H92" s="99">
        <v>18</v>
      </c>
      <c r="I92" s="99">
        <v>139</v>
      </c>
      <c r="J92" s="99">
        <v>875</v>
      </c>
      <c r="K92" s="99">
        <v>305</v>
      </c>
      <c r="L92" s="99">
        <v>2224</v>
      </c>
      <c r="M92" s="99">
        <v>540</v>
      </c>
      <c r="N92" s="99">
        <v>247</v>
      </c>
      <c r="O92" s="99">
        <v>140</v>
      </c>
      <c r="P92" s="159">
        <v>140</v>
      </c>
      <c r="Q92" s="99">
        <v>13</v>
      </c>
      <c r="R92" s="99">
        <v>33</v>
      </c>
      <c r="S92" s="99">
        <v>31</v>
      </c>
      <c r="T92" s="99">
        <v>17</v>
      </c>
      <c r="U92" s="99" t="s">
        <v>660</v>
      </c>
      <c r="V92" s="99">
        <v>20</v>
      </c>
      <c r="W92" s="99">
        <v>34</v>
      </c>
      <c r="X92" s="99">
        <v>44</v>
      </c>
      <c r="Y92" s="99">
        <v>64</v>
      </c>
      <c r="Z92" s="99">
        <v>47</v>
      </c>
      <c r="AA92" s="99" t="s">
        <v>660</v>
      </c>
      <c r="AB92" s="99" t="s">
        <v>660</v>
      </c>
      <c r="AC92" s="99" t="s">
        <v>660</v>
      </c>
      <c r="AD92" s="98" t="s">
        <v>376</v>
      </c>
      <c r="AE92" s="100">
        <v>0.1296763134012302</v>
      </c>
      <c r="AF92" s="100">
        <v>0.05</v>
      </c>
      <c r="AG92" s="98">
        <v>494.1010386205506</v>
      </c>
      <c r="AH92" s="98">
        <v>181.5065039830594</v>
      </c>
      <c r="AI92" s="100">
        <v>0.013999999999999999</v>
      </c>
      <c r="AJ92" s="100">
        <v>0.886525</v>
      </c>
      <c r="AK92" s="100">
        <v>0.868946</v>
      </c>
      <c r="AL92" s="100">
        <v>0.844343</v>
      </c>
      <c r="AM92" s="100">
        <v>0.636792</v>
      </c>
      <c r="AN92" s="100">
        <v>0.671196</v>
      </c>
      <c r="AO92" s="98">
        <v>1411.7172532015732</v>
      </c>
      <c r="AP92" s="158">
        <v>0.8515886688000001</v>
      </c>
      <c r="AQ92" s="100">
        <v>0.09285714285714286</v>
      </c>
      <c r="AR92" s="100">
        <v>0.3939393939393939</v>
      </c>
      <c r="AS92" s="98">
        <v>312.59453463749117</v>
      </c>
      <c r="AT92" s="98">
        <v>171.42280931733387</v>
      </c>
      <c r="AU92" s="98" t="s">
        <v>660</v>
      </c>
      <c r="AV92" s="98">
        <v>201.67389331451042</v>
      </c>
      <c r="AW92" s="98">
        <v>342.84561863466774</v>
      </c>
      <c r="AX92" s="98">
        <v>443.68256529192297</v>
      </c>
      <c r="AY92" s="98">
        <v>645.3564586064334</v>
      </c>
      <c r="AZ92" s="98">
        <v>473.93364928909955</v>
      </c>
      <c r="BA92" s="100" t="s">
        <v>660</v>
      </c>
      <c r="BB92" s="100" t="s">
        <v>660</v>
      </c>
      <c r="BC92" s="100" t="s">
        <v>660</v>
      </c>
      <c r="BD92" s="158">
        <v>0.716371994</v>
      </c>
      <c r="BE92" s="158">
        <v>1.00490799</v>
      </c>
      <c r="BF92" s="162">
        <v>987</v>
      </c>
      <c r="BG92" s="162">
        <v>351</v>
      </c>
      <c r="BH92" s="162">
        <v>2634</v>
      </c>
      <c r="BI92" s="162">
        <v>848</v>
      </c>
      <c r="BJ92" s="162">
        <v>368</v>
      </c>
      <c r="BK92" s="97"/>
      <c r="BL92" s="97"/>
      <c r="BM92" s="97"/>
      <c r="BN92" s="97"/>
    </row>
    <row r="93" spans="1:66" ht="12.75">
      <c r="A93" s="79" t="s">
        <v>596</v>
      </c>
      <c r="B93" s="79" t="s">
        <v>317</v>
      </c>
      <c r="C93" s="79" t="s">
        <v>173</v>
      </c>
      <c r="D93" s="99">
        <v>4907</v>
      </c>
      <c r="E93" s="99">
        <v>1010</v>
      </c>
      <c r="F93" s="99" t="s">
        <v>399</v>
      </c>
      <c r="G93" s="99">
        <v>24</v>
      </c>
      <c r="H93" s="99">
        <v>13</v>
      </c>
      <c r="I93" s="99">
        <v>90</v>
      </c>
      <c r="J93" s="99">
        <v>610</v>
      </c>
      <c r="K93" s="99">
        <v>196</v>
      </c>
      <c r="L93" s="99">
        <v>1047</v>
      </c>
      <c r="M93" s="99">
        <v>444</v>
      </c>
      <c r="N93" s="99">
        <v>198</v>
      </c>
      <c r="O93" s="99">
        <v>82</v>
      </c>
      <c r="P93" s="159">
        <v>82</v>
      </c>
      <c r="Q93" s="99">
        <v>13</v>
      </c>
      <c r="R93" s="99">
        <v>35</v>
      </c>
      <c r="S93" s="99">
        <v>19</v>
      </c>
      <c r="T93" s="99">
        <v>11</v>
      </c>
      <c r="U93" s="99">
        <v>6</v>
      </c>
      <c r="V93" s="99">
        <v>16</v>
      </c>
      <c r="W93" s="99">
        <v>27</v>
      </c>
      <c r="X93" s="99">
        <v>20</v>
      </c>
      <c r="Y93" s="99">
        <v>57</v>
      </c>
      <c r="Z93" s="99">
        <v>27</v>
      </c>
      <c r="AA93" s="99" t="s">
        <v>660</v>
      </c>
      <c r="AB93" s="99" t="s">
        <v>660</v>
      </c>
      <c r="AC93" s="99" t="s">
        <v>660</v>
      </c>
      <c r="AD93" s="98" t="s">
        <v>376</v>
      </c>
      <c r="AE93" s="100">
        <v>0.20582840839616873</v>
      </c>
      <c r="AF93" s="100">
        <v>0.07</v>
      </c>
      <c r="AG93" s="98">
        <v>489.09720807010393</v>
      </c>
      <c r="AH93" s="98">
        <v>264.9276543713063</v>
      </c>
      <c r="AI93" s="100">
        <v>0.018000000000000002</v>
      </c>
      <c r="AJ93" s="100">
        <v>0.843707</v>
      </c>
      <c r="AK93" s="100">
        <v>0.855895</v>
      </c>
      <c r="AL93" s="100">
        <v>0.86744</v>
      </c>
      <c r="AM93" s="100">
        <v>0.635193</v>
      </c>
      <c r="AN93" s="100">
        <v>0.692308</v>
      </c>
      <c r="AO93" s="98">
        <v>1671.0821275728551</v>
      </c>
      <c r="AP93" s="158">
        <v>0.78279953</v>
      </c>
      <c r="AQ93" s="100">
        <v>0.15853658536585366</v>
      </c>
      <c r="AR93" s="100">
        <v>0.37142857142857144</v>
      </c>
      <c r="AS93" s="98">
        <v>387.2019563888323</v>
      </c>
      <c r="AT93" s="98">
        <v>224.16955369879764</v>
      </c>
      <c r="AU93" s="98">
        <v>122.27430201752598</v>
      </c>
      <c r="AV93" s="98">
        <v>326.0648053800693</v>
      </c>
      <c r="AW93" s="98">
        <v>550.2343590788669</v>
      </c>
      <c r="AX93" s="98">
        <v>407.58100672508664</v>
      </c>
      <c r="AY93" s="98">
        <v>1161.6058691664969</v>
      </c>
      <c r="AZ93" s="98">
        <v>550.2343590788669</v>
      </c>
      <c r="BA93" s="100" t="s">
        <v>660</v>
      </c>
      <c r="BB93" s="100" t="s">
        <v>660</v>
      </c>
      <c r="BC93" s="100" t="s">
        <v>660</v>
      </c>
      <c r="BD93" s="158">
        <v>0.6225836945</v>
      </c>
      <c r="BE93" s="158">
        <v>0.971660614</v>
      </c>
      <c r="BF93" s="162">
        <v>723</v>
      </c>
      <c r="BG93" s="162">
        <v>229</v>
      </c>
      <c r="BH93" s="162">
        <v>1207</v>
      </c>
      <c r="BI93" s="162">
        <v>699</v>
      </c>
      <c r="BJ93" s="162">
        <v>286</v>
      </c>
      <c r="BK93" s="97"/>
      <c r="BL93" s="97"/>
      <c r="BM93" s="97"/>
      <c r="BN93" s="97"/>
    </row>
    <row r="94" spans="1:66" ht="12.75">
      <c r="A94" s="79" t="s">
        <v>590</v>
      </c>
      <c r="B94" s="79" t="s">
        <v>311</v>
      </c>
      <c r="C94" s="79" t="s">
        <v>173</v>
      </c>
      <c r="D94" s="99">
        <v>12570</v>
      </c>
      <c r="E94" s="99">
        <v>2217</v>
      </c>
      <c r="F94" s="99" t="s">
        <v>399</v>
      </c>
      <c r="G94" s="99">
        <v>60</v>
      </c>
      <c r="H94" s="99">
        <v>30</v>
      </c>
      <c r="I94" s="99">
        <v>271</v>
      </c>
      <c r="J94" s="99">
        <v>1299</v>
      </c>
      <c r="K94" s="99">
        <v>445</v>
      </c>
      <c r="L94" s="99">
        <v>2642</v>
      </c>
      <c r="M94" s="99">
        <v>983</v>
      </c>
      <c r="N94" s="99">
        <v>452</v>
      </c>
      <c r="O94" s="99">
        <v>253</v>
      </c>
      <c r="P94" s="159">
        <v>253</v>
      </c>
      <c r="Q94" s="99">
        <v>32</v>
      </c>
      <c r="R94" s="99">
        <v>70</v>
      </c>
      <c r="S94" s="99">
        <v>54</v>
      </c>
      <c r="T94" s="99">
        <v>39</v>
      </c>
      <c r="U94" s="99">
        <v>6</v>
      </c>
      <c r="V94" s="99">
        <v>44</v>
      </c>
      <c r="W94" s="99">
        <v>57</v>
      </c>
      <c r="X94" s="99">
        <v>40</v>
      </c>
      <c r="Y94" s="99">
        <v>91</v>
      </c>
      <c r="Z94" s="99">
        <v>91</v>
      </c>
      <c r="AA94" s="99" t="s">
        <v>660</v>
      </c>
      <c r="AB94" s="99" t="s">
        <v>660</v>
      </c>
      <c r="AC94" s="99" t="s">
        <v>660</v>
      </c>
      <c r="AD94" s="98" t="s">
        <v>376</v>
      </c>
      <c r="AE94" s="100">
        <v>0.17637231503579953</v>
      </c>
      <c r="AF94" s="100">
        <v>0.08</v>
      </c>
      <c r="AG94" s="98">
        <v>477.326968973747</v>
      </c>
      <c r="AH94" s="98">
        <v>238.6634844868735</v>
      </c>
      <c r="AI94" s="100">
        <v>0.022000000000000002</v>
      </c>
      <c r="AJ94" s="100">
        <v>0.800863</v>
      </c>
      <c r="AK94" s="100">
        <v>0.834897</v>
      </c>
      <c r="AL94" s="100">
        <v>0.828733</v>
      </c>
      <c r="AM94" s="100">
        <v>0.616688</v>
      </c>
      <c r="AN94" s="100">
        <v>0.656977</v>
      </c>
      <c r="AO94" s="98">
        <v>2012.7287191726332</v>
      </c>
      <c r="AP94" s="158">
        <v>1.0244916530000001</v>
      </c>
      <c r="AQ94" s="100">
        <v>0.12648221343873517</v>
      </c>
      <c r="AR94" s="100">
        <v>0.45714285714285713</v>
      </c>
      <c r="AS94" s="98">
        <v>429.5942720763723</v>
      </c>
      <c r="AT94" s="98">
        <v>310.26252983293557</v>
      </c>
      <c r="AU94" s="98">
        <v>47.7326968973747</v>
      </c>
      <c r="AV94" s="98">
        <v>350.03977724741446</v>
      </c>
      <c r="AW94" s="98">
        <v>453.46062052505965</v>
      </c>
      <c r="AX94" s="98">
        <v>318.21797931583137</v>
      </c>
      <c r="AY94" s="98">
        <v>723.9459029435163</v>
      </c>
      <c r="AZ94" s="98">
        <v>723.9459029435163</v>
      </c>
      <c r="BA94" s="100" t="s">
        <v>660</v>
      </c>
      <c r="BB94" s="100" t="s">
        <v>660</v>
      </c>
      <c r="BC94" s="100" t="s">
        <v>660</v>
      </c>
      <c r="BD94" s="158">
        <v>0.9021298981</v>
      </c>
      <c r="BE94" s="158">
        <v>1.158820724</v>
      </c>
      <c r="BF94" s="162">
        <v>1622</v>
      </c>
      <c r="BG94" s="162">
        <v>533</v>
      </c>
      <c r="BH94" s="162">
        <v>3188</v>
      </c>
      <c r="BI94" s="162">
        <v>1594</v>
      </c>
      <c r="BJ94" s="162">
        <v>688</v>
      </c>
      <c r="BK94" s="97"/>
      <c r="BL94" s="97"/>
      <c r="BM94" s="97"/>
      <c r="BN94" s="97"/>
    </row>
    <row r="95" spans="1:66" ht="12.75">
      <c r="A95" s="79" t="s">
        <v>594</v>
      </c>
      <c r="B95" s="79" t="s">
        <v>315</v>
      </c>
      <c r="C95" s="79" t="s">
        <v>173</v>
      </c>
      <c r="D95" s="99">
        <v>7576</v>
      </c>
      <c r="E95" s="99">
        <v>1367</v>
      </c>
      <c r="F95" s="99" t="s">
        <v>396</v>
      </c>
      <c r="G95" s="99">
        <v>59</v>
      </c>
      <c r="H95" s="99">
        <v>25</v>
      </c>
      <c r="I95" s="99">
        <v>117</v>
      </c>
      <c r="J95" s="99">
        <v>669</v>
      </c>
      <c r="K95" s="99">
        <v>227</v>
      </c>
      <c r="L95" s="99">
        <v>1421</v>
      </c>
      <c r="M95" s="99">
        <v>428</v>
      </c>
      <c r="N95" s="99">
        <v>184</v>
      </c>
      <c r="O95" s="99">
        <v>182</v>
      </c>
      <c r="P95" s="159">
        <v>182</v>
      </c>
      <c r="Q95" s="99">
        <v>19</v>
      </c>
      <c r="R95" s="99">
        <v>40</v>
      </c>
      <c r="S95" s="99">
        <v>42</v>
      </c>
      <c r="T95" s="99">
        <v>14</v>
      </c>
      <c r="U95" s="99">
        <v>10</v>
      </c>
      <c r="V95" s="99">
        <v>15</v>
      </c>
      <c r="W95" s="99">
        <v>57</v>
      </c>
      <c r="X95" s="99">
        <v>21</v>
      </c>
      <c r="Y95" s="99">
        <v>109</v>
      </c>
      <c r="Z95" s="99">
        <v>70</v>
      </c>
      <c r="AA95" s="99" t="s">
        <v>660</v>
      </c>
      <c r="AB95" s="99" t="s">
        <v>660</v>
      </c>
      <c r="AC95" s="99" t="s">
        <v>660</v>
      </c>
      <c r="AD95" s="98" t="s">
        <v>376</v>
      </c>
      <c r="AE95" s="100">
        <v>0.18043822597676876</v>
      </c>
      <c r="AF95" s="100">
        <v>0.18</v>
      </c>
      <c r="AG95" s="98">
        <v>778.7750791974656</v>
      </c>
      <c r="AH95" s="98">
        <v>329.9894403379092</v>
      </c>
      <c r="AI95" s="100">
        <v>0.015</v>
      </c>
      <c r="AJ95" s="100">
        <v>0.736784</v>
      </c>
      <c r="AK95" s="100">
        <v>0.756667</v>
      </c>
      <c r="AL95" s="100">
        <v>0.798315</v>
      </c>
      <c r="AM95" s="100">
        <v>0.515042</v>
      </c>
      <c r="AN95" s="100">
        <v>0.513966</v>
      </c>
      <c r="AO95" s="98">
        <v>2402.323125659979</v>
      </c>
      <c r="AP95" s="158">
        <v>1.242876511</v>
      </c>
      <c r="AQ95" s="100">
        <v>0.1043956043956044</v>
      </c>
      <c r="AR95" s="100">
        <v>0.475</v>
      </c>
      <c r="AS95" s="98">
        <v>554.3822597676874</v>
      </c>
      <c r="AT95" s="98">
        <v>184.79408658922915</v>
      </c>
      <c r="AU95" s="98">
        <v>131.99577613516368</v>
      </c>
      <c r="AV95" s="98">
        <v>197.99366420274552</v>
      </c>
      <c r="AW95" s="98">
        <v>752.375923970433</v>
      </c>
      <c r="AX95" s="98">
        <v>277.1911298838437</v>
      </c>
      <c r="AY95" s="98">
        <v>1438.753959873284</v>
      </c>
      <c r="AZ95" s="98">
        <v>923.9704329461457</v>
      </c>
      <c r="BA95" s="100" t="s">
        <v>660</v>
      </c>
      <c r="BB95" s="100" t="s">
        <v>660</v>
      </c>
      <c r="BC95" s="100" t="s">
        <v>660</v>
      </c>
      <c r="BD95" s="158">
        <v>1.06886116</v>
      </c>
      <c r="BE95" s="158">
        <v>1.4371475219999998</v>
      </c>
      <c r="BF95" s="162">
        <v>908</v>
      </c>
      <c r="BG95" s="162">
        <v>300</v>
      </c>
      <c r="BH95" s="162">
        <v>1780</v>
      </c>
      <c r="BI95" s="162">
        <v>831</v>
      </c>
      <c r="BJ95" s="162">
        <v>358</v>
      </c>
      <c r="BK95" s="97"/>
      <c r="BL95" s="97"/>
      <c r="BM95" s="97"/>
      <c r="BN95" s="97"/>
    </row>
    <row r="96" spans="1:66" ht="12.75">
      <c r="A96" s="79" t="s">
        <v>604</v>
      </c>
      <c r="B96" s="79" t="s">
        <v>325</v>
      </c>
      <c r="C96" s="79" t="s">
        <v>173</v>
      </c>
      <c r="D96" s="99">
        <v>8189</v>
      </c>
      <c r="E96" s="99">
        <v>1519</v>
      </c>
      <c r="F96" s="99" t="s">
        <v>399</v>
      </c>
      <c r="G96" s="99">
        <v>49</v>
      </c>
      <c r="H96" s="99">
        <v>16</v>
      </c>
      <c r="I96" s="99">
        <v>175</v>
      </c>
      <c r="J96" s="99">
        <v>1038</v>
      </c>
      <c r="K96" s="99">
        <v>360</v>
      </c>
      <c r="L96" s="99">
        <v>1747</v>
      </c>
      <c r="M96" s="99">
        <v>696</v>
      </c>
      <c r="N96" s="99">
        <v>332</v>
      </c>
      <c r="O96" s="99">
        <v>165</v>
      </c>
      <c r="P96" s="159">
        <v>165</v>
      </c>
      <c r="Q96" s="99">
        <v>18</v>
      </c>
      <c r="R96" s="99">
        <v>40</v>
      </c>
      <c r="S96" s="99">
        <v>28</v>
      </c>
      <c r="T96" s="99">
        <v>21</v>
      </c>
      <c r="U96" s="99" t="s">
        <v>660</v>
      </c>
      <c r="V96" s="99">
        <v>35</v>
      </c>
      <c r="W96" s="99">
        <v>42</v>
      </c>
      <c r="X96" s="99">
        <v>38</v>
      </c>
      <c r="Y96" s="99">
        <v>91</v>
      </c>
      <c r="Z96" s="99">
        <v>49</v>
      </c>
      <c r="AA96" s="99" t="s">
        <v>660</v>
      </c>
      <c r="AB96" s="99" t="s">
        <v>660</v>
      </c>
      <c r="AC96" s="99" t="s">
        <v>660</v>
      </c>
      <c r="AD96" s="98" t="s">
        <v>376</v>
      </c>
      <c r="AE96" s="100">
        <v>0.18549273415557455</v>
      </c>
      <c r="AF96" s="100">
        <v>0.06</v>
      </c>
      <c r="AG96" s="98">
        <v>598.3636585663695</v>
      </c>
      <c r="AH96" s="98">
        <v>195.38405177677373</v>
      </c>
      <c r="AI96" s="100">
        <v>0.021</v>
      </c>
      <c r="AJ96" s="100">
        <v>0.840486</v>
      </c>
      <c r="AK96" s="100">
        <v>0.835267</v>
      </c>
      <c r="AL96" s="100">
        <v>0.840308</v>
      </c>
      <c r="AM96" s="100">
        <v>0.602597</v>
      </c>
      <c r="AN96" s="100">
        <v>0.647173</v>
      </c>
      <c r="AO96" s="98">
        <v>2014.898033947979</v>
      </c>
      <c r="AP96" s="158">
        <v>0.9840664673</v>
      </c>
      <c r="AQ96" s="100">
        <v>0.10909090909090909</v>
      </c>
      <c r="AR96" s="100">
        <v>0.45</v>
      </c>
      <c r="AS96" s="98">
        <v>341.92209060935403</v>
      </c>
      <c r="AT96" s="98">
        <v>256.44156795701554</v>
      </c>
      <c r="AU96" s="98" t="s">
        <v>660</v>
      </c>
      <c r="AV96" s="98">
        <v>427.4026132616925</v>
      </c>
      <c r="AW96" s="98">
        <v>512.8831359140311</v>
      </c>
      <c r="AX96" s="98">
        <v>464.0371229698376</v>
      </c>
      <c r="AY96" s="98">
        <v>1111.2467944804005</v>
      </c>
      <c r="AZ96" s="98">
        <v>598.3636585663695</v>
      </c>
      <c r="BA96" s="100" t="s">
        <v>660</v>
      </c>
      <c r="BB96" s="100" t="s">
        <v>660</v>
      </c>
      <c r="BC96" s="100" t="s">
        <v>660</v>
      </c>
      <c r="BD96" s="158">
        <v>0.8396408081</v>
      </c>
      <c r="BE96" s="158">
        <v>1.1462035369999999</v>
      </c>
      <c r="BF96" s="162">
        <v>1235</v>
      </c>
      <c r="BG96" s="162">
        <v>431</v>
      </c>
      <c r="BH96" s="162">
        <v>2079</v>
      </c>
      <c r="BI96" s="162">
        <v>1155</v>
      </c>
      <c r="BJ96" s="162">
        <v>513</v>
      </c>
      <c r="BK96" s="97"/>
      <c r="BL96" s="97"/>
      <c r="BM96" s="97"/>
      <c r="BN96" s="97"/>
    </row>
    <row r="97" spans="1:66" ht="12.75">
      <c r="A97" s="79" t="s">
        <v>607</v>
      </c>
      <c r="B97" s="79" t="s">
        <v>328</v>
      </c>
      <c r="C97" s="79" t="s">
        <v>173</v>
      </c>
      <c r="D97" s="99">
        <v>8923</v>
      </c>
      <c r="E97" s="99">
        <v>1372</v>
      </c>
      <c r="F97" s="99" t="s">
        <v>397</v>
      </c>
      <c r="G97" s="99">
        <v>46</v>
      </c>
      <c r="H97" s="99">
        <v>18</v>
      </c>
      <c r="I97" s="99">
        <v>95</v>
      </c>
      <c r="J97" s="99">
        <v>880</v>
      </c>
      <c r="K97" s="99">
        <v>273</v>
      </c>
      <c r="L97" s="99">
        <v>1783</v>
      </c>
      <c r="M97" s="99">
        <v>523</v>
      </c>
      <c r="N97" s="99">
        <v>255</v>
      </c>
      <c r="O97" s="99">
        <v>106</v>
      </c>
      <c r="P97" s="159">
        <v>106</v>
      </c>
      <c r="Q97" s="99">
        <v>12</v>
      </c>
      <c r="R97" s="99">
        <v>21</v>
      </c>
      <c r="S97" s="99">
        <v>11</v>
      </c>
      <c r="T97" s="99">
        <v>21</v>
      </c>
      <c r="U97" s="99" t="s">
        <v>660</v>
      </c>
      <c r="V97" s="99">
        <v>8</v>
      </c>
      <c r="W97" s="99">
        <v>44</v>
      </c>
      <c r="X97" s="99">
        <v>52</v>
      </c>
      <c r="Y97" s="99">
        <v>73</v>
      </c>
      <c r="Z97" s="99">
        <v>48</v>
      </c>
      <c r="AA97" s="99" t="s">
        <v>660</v>
      </c>
      <c r="AB97" s="99" t="s">
        <v>660</v>
      </c>
      <c r="AC97" s="99" t="s">
        <v>660</v>
      </c>
      <c r="AD97" s="98" t="s">
        <v>376</v>
      </c>
      <c r="AE97" s="100">
        <v>0.15375994620643282</v>
      </c>
      <c r="AF97" s="100">
        <v>0.12</v>
      </c>
      <c r="AG97" s="98">
        <v>515.5216855317718</v>
      </c>
      <c r="AH97" s="98">
        <v>201.72587694721506</v>
      </c>
      <c r="AI97" s="100">
        <v>0.011000000000000001</v>
      </c>
      <c r="AJ97" s="100">
        <v>0.810313</v>
      </c>
      <c r="AK97" s="100">
        <v>0.817365</v>
      </c>
      <c r="AL97" s="100">
        <v>0.782361</v>
      </c>
      <c r="AM97" s="100">
        <v>0.519364</v>
      </c>
      <c r="AN97" s="100">
        <v>0.595794</v>
      </c>
      <c r="AO97" s="98">
        <v>1187.941275355822</v>
      </c>
      <c r="AP97" s="158">
        <v>0.6536862183</v>
      </c>
      <c r="AQ97" s="100">
        <v>0.11320754716981132</v>
      </c>
      <c r="AR97" s="100">
        <v>0.5714285714285714</v>
      </c>
      <c r="AS97" s="98">
        <v>123.27692480107586</v>
      </c>
      <c r="AT97" s="98">
        <v>235.34685643841757</v>
      </c>
      <c r="AU97" s="98" t="s">
        <v>660</v>
      </c>
      <c r="AV97" s="98">
        <v>89.65594530987336</v>
      </c>
      <c r="AW97" s="98">
        <v>493.10769920430346</v>
      </c>
      <c r="AX97" s="98">
        <v>582.7636445141768</v>
      </c>
      <c r="AY97" s="98">
        <v>818.1105009525944</v>
      </c>
      <c r="AZ97" s="98">
        <v>537.9356718592402</v>
      </c>
      <c r="BA97" s="100" t="s">
        <v>660</v>
      </c>
      <c r="BB97" s="100" t="s">
        <v>660</v>
      </c>
      <c r="BC97" s="100" t="s">
        <v>660</v>
      </c>
      <c r="BD97" s="158">
        <v>0.5351847076</v>
      </c>
      <c r="BE97" s="158">
        <v>0.7906146239999999</v>
      </c>
      <c r="BF97" s="162">
        <v>1086</v>
      </c>
      <c r="BG97" s="162">
        <v>334</v>
      </c>
      <c r="BH97" s="162">
        <v>2279</v>
      </c>
      <c r="BI97" s="162">
        <v>1007</v>
      </c>
      <c r="BJ97" s="162">
        <v>428</v>
      </c>
      <c r="BK97" s="97"/>
      <c r="BL97" s="97"/>
      <c r="BM97" s="97"/>
      <c r="BN97" s="97"/>
    </row>
    <row r="98" spans="1:66" ht="12.75">
      <c r="A98" s="79" t="s">
        <v>174</v>
      </c>
      <c r="B98" s="94" t="s">
        <v>173</v>
      </c>
      <c r="C98" s="94" t="s">
        <v>7</v>
      </c>
      <c r="D98" s="99">
        <v>714731</v>
      </c>
      <c r="E98" s="99">
        <v>133164</v>
      </c>
      <c r="F98" s="99">
        <v>90211.07999999999</v>
      </c>
      <c r="G98" s="99">
        <v>3803</v>
      </c>
      <c r="H98" s="99">
        <v>1908</v>
      </c>
      <c r="I98" s="99">
        <v>12161</v>
      </c>
      <c r="J98" s="99">
        <v>65964</v>
      </c>
      <c r="K98" s="99">
        <v>22323</v>
      </c>
      <c r="L98" s="99">
        <v>123754</v>
      </c>
      <c r="M98" s="99">
        <v>52451</v>
      </c>
      <c r="N98" s="99">
        <v>24122</v>
      </c>
      <c r="O98" s="99">
        <v>14062</v>
      </c>
      <c r="P98" s="99">
        <v>14062</v>
      </c>
      <c r="Q98" s="99">
        <v>1707</v>
      </c>
      <c r="R98" s="99">
        <v>3751</v>
      </c>
      <c r="S98" s="99">
        <v>2788</v>
      </c>
      <c r="T98" s="99">
        <v>2119</v>
      </c>
      <c r="U98" s="99">
        <v>607</v>
      </c>
      <c r="V98" s="99">
        <v>2243</v>
      </c>
      <c r="W98" s="99">
        <v>4858</v>
      </c>
      <c r="X98" s="99">
        <v>2838</v>
      </c>
      <c r="Y98" s="99">
        <v>8658</v>
      </c>
      <c r="Z98" s="99">
        <v>5007</v>
      </c>
      <c r="AA98" s="99">
        <v>0</v>
      </c>
      <c r="AB98" s="99">
        <v>0</v>
      </c>
      <c r="AC98" s="99">
        <v>0</v>
      </c>
      <c r="AD98" s="98">
        <v>0</v>
      </c>
      <c r="AE98" s="101">
        <v>0.18631345219390233</v>
      </c>
      <c r="AF98" s="101">
        <v>0.12621682842915724</v>
      </c>
      <c r="AG98" s="98">
        <v>532.0882961561763</v>
      </c>
      <c r="AH98" s="98">
        <v>266.9535811375189</v>
      </c>
      <c r="AI98" s="101">
        <v>0.01701479297805748</v>
      </c>
      <c r="AJ98" s="101">
        <v>0.7706344848534411</v>
      </c>
      <c r="AK98" s="101">
        <v>0.7981336479673925</v>
      </c>
      <c r="AL98" s="101">
        <v>0.8145515339401957</v>
      </c>
      <c r="AM98" s="101">
        <v>0.5740128699001926</v>
      </c>
      <c r="AN98" s="101">
        <v>0.6114420420268181</v>
      </c>
      <c r="AO98" s="98">
        <v>1967.4534894946491</v>
      </c>
      <c r="AP98" s="98">
        <v>0</v>
      </c>
      <c r="AQ98" s="101">
        <v>0.12139098279049922</v>
      </c>
      <c r="AR98" s="101">
        <v>0.4550786456944815</v>
      </c>
      <c r="AS98" s="98">
        <v>390.07682610660515</v>
      </c>
      <c r="AT98" s="98">
        <v>296.4751773744248</v>
      </c>
      <c r="AU98" s="98">
        <v>84.92705647299474</v>
      </c>
      <c r="AV98" s="98">
        <v>313.82436189279605</v>
      </c>
      <c r="AW98" s="98">
        <v>679.6962773407058</v>
      </c>
      <c r="AX98" s="98">
        <v>397.07246502530325</v>
      </c>
      <c r="AY98" s="98">
        <v>1211.36483516176</v>
      </c>
      <c r="AZ98" s="98">
        <v>700.5432813184261</v>
      </c>
      <c r="BA98" s="101">
        <v>0</v>
      </c>
      <c r="BB98" s="101">
        <v>0</v>
      </c>
      <c r="BC98" s="101">
        <v>0</v>
      </c>
      <c r="BD98" s="98">
        <v>0</v>
      </c>
      <c r="BE98" s="98">
        <v>0</v>
      </c>
      <c r="BF98" s="99">
        <v>85597</v>
      </c>
      <c r="BG98" s="99">
        <v>27969</v>
      </c>
      <c r="BH98" s="99">
        <v>151929</v>
      </c>
      <c r="BI98" s="99">
        <v>91376</v>
      </c>
      <c r="BJ98" s="99">
        <v>39451</v>
      </c>
      <c r="BK98" s="97"/>
      <c r="BL98" s="97"/>
      <c r="BM98" s="97"/>
      <c r="BN98" s="97"/>
    </row>
    <row r="99" spans="1:66" ht="12.75">
      <c r="A99" s="79" t="s">
        <v>24</v>
      </c>
      <c r="B99" s="94" t="s">
        <v>7</v>
      </c>
      <c r="C99" s="94" t="s">
        <v>7</v>
      </c>
      <c r="D99" s="99">
        <v>54615830</v>
      </c>
      <c r="E99" s="99">
        <v>8737890</v>
      </c>
      <c r="F99" s="99">
        <v>8198344.169999988</v>
      </c>
      <c r="G99" s="99">
        <v>243379</v>
      </c>
      <c r="H99" s="99">
        <v>127868</v>
      </c>
      <c r="I99" s="99">
        <v>870616</v>
      </c>
      <c r="J99" s="99">
        <v>4592627</v>
      </c>
      <c r="K99" s="99">
        <v>1679592</v>
      </c>
      <c r="L99" s="99">
        <v>10150944</v>
      </c>
      <c r="M99" s="99">
        <v>2959539</v>
      </c>
      <c r="N99" s="99">
        <v>1629320</v>
      </c>
      <c r="O99" s="99">
        <v>989730</v>
      </c>
      <c r="P99" s="99">
        <v>989730</v>
      </c>
      <c r="Q99" s="99">
        <v>108072</v>
      </c>
      <c r="R99" s="99">
        <v>238330</v>
      </c>
      <c r="S99" s="99">
        <v>206300</v>
      </c>
      <c r="T99" s="99">
        <v>154264</v>
      </c>
      <c r="U99" s="99">
        <v>38486</v>
      </c>
      <c r="V99" s="99">
        <v>176535</v>
      </c>
      <c r="W99" s="99">
        <v>307276</v>
      </c>
      <c r="X99" s="99">
        <v>221506</v>
      </c>
      <c r="Y99" s="99">
        <v>578574</v>
      </c>
      <c r="Z99" s="99">
        <v>318377</v>
      </c>
      <c r="AA99" s="99">
        <v>0</v>
      </c>
      <c r="AB99" s="99">
        <v>0</v>
      </c>
      <c r="AC99" s="99">
        <v>0</v>
      </c>
      <c r="AD99" s="98">
        <v>0</v>
      </c>
      <c r="AE99" s="101">
        <v>0.1599882305185145</v>
      </c>
      <c r="AF99" s="101">
        <v>0.15010930292554353</v>
      </c>
      <c r="AG99" s="98">
        <v>445.6198871279627</v>
      </c>
      <c r="AH99" s="98">
        <v>234.12259778895606</v>
      </c>
      <c r="AI99" s="101">
        <v>0.015940726342527432</v>
      </c>
      <c r="AJ99" s="101">
        <v>0.7248631360507991</v>
      </c>
      <c r="AK99" s="101">
        <v>0.7467412166569077</v>
      </c>
      <c r="AL99" s="101">
        <v>0.7559681673907895</v>
      </c>
      <c r="AM99" s="101">
        <v>0.5147293797466616</v>
      </c>
      <c r="AN99" s="101">
        <v>0.5752927626212945</v>
      </c>
      <c r="AO99" s="98">
        <v>1812.1669120472948</v>
      </c>
      <c r="AP99" s="98">
        <v>1</v>
      </c>
      <c r="AQ99" s="101">
        <v>0.10919341638628717</v>
      </c>
      <c r="AR99" s="101">
        <v>0.4534552930810221</v>
      </c>
      <c r="AS99" s="98">
        <v>377.7293140102421</v>
      </c>
      <c r="AT99" s="98">
        <v>282.45290788403287</v>
      </c>
      <c r="AU99" s="98">
        <v>70.46674929228394</v>
      </c>
      <c r="AV99" s="98">
        <v>323.23046266988894</v>
      </c>
      <c r="AW99" s="98">
        <v>562.6134400960308</v>
      </c>
      <c r="AX99" s="98">
        <v>405.57105879375996</v>
      </c>
      <c r="AY99" s="98">
        <v>1059.3522061277838</v>
      </c>
      <c r="AZ99" s="98">
        <v>582.9390489900089</v>
      </c>
      <c r="BA99" s="101">
        <v>0</v>
      </c>
      <c r="BB99" s="101">
        <v>0</v>
      </c>
      <c r="BC99" s="101">
        <v>0</v>
      </c>
      <c r="BD99" s="98">
        <v>0</v>
      </c>
      <c r="BE99" s="98">
        <v>0</v>
      </c>
      <c r="BF99" s="99">
        <v>6335854</v>
      </c>
      <c r="BG99" s="99">
        <v>2249229</v>
      </c>
      <c r="BH99" s="99">
        <v>13427740</v>
      </c>
      <c r="BI99" s="99">
        <v>5749699</v>
      </c>
      <c r="BJ99" s="99">
        <v>2832158</v>
      </c>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298"/>
      <c r="C114" s="298"/>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5"/>
      <c r="AE114" s="302"/>
      <c r="AF114" s="302"/>
      <c r="AG114" s="295"/>
      <c r="AH114" s="295"/>
      <c r="AI114" s="302"/>
      <c r="AJ114" s="302"/>
      <c r="AK114" s="302"/>
      <c r="AL114" s="302"/>
      <c r="AM114" s="302"/>
      <c r="AN114" s="302"/>
      <c r="AO114" s="295"/>
      <c r="AP114" s="295"/>
      <c r="AQ114" s="302"/>
      <c r="AR114" s="302"/>
      <c r="AS114" s="295"/>
      <c r="AT114" s="295"/>
      <c r="AU114" s="295"/>
      <c r="AV114" s="295"/>
      <c r="AW114" s="295"/>
      <c r="AX114" s="295"/>
      <c r="AY114" s="295"/>
      <c r="AZ114" s="295"/>
      <c r="BA114" s="302"/>
      <c r="BB114" s="302"/>
      <c r="BC114" s="302"/>
      <c r="BD114" s="295"/>
      <c r="BE114" s="295"/>
      <c r="BF114" s="299"/>
      <c r="BG114" s="299"/>
      <c r="BH114" s="299"/>
      <c r="BI114" s="299"/>
      <c r="BJ114" s="299"/>
      <c r="BK114" s="97"/>
      <c r="BL114" s="97"/>
      <c r="BM114" s="97"/>
      <c r="BN114" s="97"/>
    </row>
    <row r="115" spans="1:66" ht="12.75">
      <c r="A115" s="8"/>
      <c r="B115" s="298"/>
      <c r="C115" s="298"/>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5"/>
      <c r="AE115" s="302"/>
      <c r="AF115" s="302"/>
      <c r="AG115" s="295"/>
      <c r="AH115" s="295"/>
      <c r="AI115" s="302"/>
      <c r="AJ115" s="302"/>
      <c r="AK115" s="302"/>
      <c r="AL115" s="302"/>
      <c r="AM115" s="302"/>
      <c r="AN115" s="302"/>
      <c r="AO115" s="295"/>
      <c r="AP115" s="295"/>
      <c r="AQ115" s="302"/>
      <c r="AR115" s="302"/>
      <c r="AS115" s="295"/>
      <c r="AT115" s="295"/>
      <c r="AU115" s="295"/>
      <c r="AV115" s="295"/>
      <c r="AW115" s="295"/>
      <c r="AX115" s="295"/>
      <c r="AY115" s="295"/>
      <c r="AZ115" s="295"/>
      <c r="BA115" s="302"/>
      <c r="BB115" s="302"/>
      <c r="BC115" s="302"/>
      <c r="BD115" s="295"/>
      <c r="BE115" s="295"/>
      <c r="BF115" s="299"/>
      <c r="BG115" s="299"/>
      <c r="BH115" s="299"/>
      <c r="BI115" s="299"/>
      <c r="BJ115" s="299"/>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425</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381</v>
      </c>
      <c r="O4" s="75" t="s">
        <v>380</v>
      </c>
      <c r="P4" s="75" t="s">
        <v>507</v>
      </c>
      <c r="Q4" s="75" t="s">
        <v>508</v>
      </c>
      <c r="R4" s="75" t="s">
        <v>509</v>
      </c>
      <c r="S4" s="75" t="s">
        <v>510</v>
      </c>
      <c r="T4" s="39" t="s">
        <v>278</v>
      </c>
      <c r="U4" s="40" t="s">
        <v>279</v>
      </c>
      <c r="V4" s="41" t="s">
        <v>7</v>
      </c>
      <c r="W4" s="24" t="s">
        <v>2</v>
      </c>
      <c r="X4" s="24" t="s">
        <v>3</v>
      </c>
      <c r="Y4" s="75" t="s">
        <v>666</v>
      </c>
      <c r="Z4" s="75" t="s">
        <v>665</v>
      </c>
      <c r="AA4" s="26" t="s">
        <v>280</v>
      </c>
      <c r="AB4" s="24" t="s">
        <v>5</v>
      </c>
      <c r="AC4" s="75" t="s">
        <v>35</v>
      </c>
      <c r="AD4" s="24" t="s">
        <v>6</v>
      </c>
      <c r="AE4" s="24" t="s">
        <v>281</v>
      </c>
      <c r="AF4" s="24" t="s">
        <v>16</v>
      </c>
      <c r="AG4" s="24" t="s">
        <v>15</v>
      </c>
      <c r="AH4" s="24" t="s">
        <v>14</v>
      </c>
      <c r="AI4" s="25" t="s">
        <v>30</v>
      </c>
      <c r="AJ4" s="47" t="s">
        <v>10</v>
      </c>
      <c r="AK4" s="26" t="s">
        <v>21</v>
      </c>
      <c r="AL4" s="25" t="s">
        <v>22</v>
      </c>
      <c r="AQ4" s="102" t="s">
        <v>422</v>
      </c>
      <c r="AR4" s="102" t="s">
        <v>424</v>
      </c>
      <c r="AS4" s="102" t="s">
        <v>423</v>
      </c>
      <c r="AY4" s="102" t="s">
        <v>504</v>
      </c>
      <c r="AZ4" s="102" t="s">
        <v>505</v>
      </c>
      <c r="BA4" s="102" t="s">
        <v>506</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445</v>
      </c>
      <c r="BA5" s="103" t="s">
        <v>376</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430</v>
      </c>
      <c r="BA6" s="103" t="s">
        <v>376</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757</v>
      </c>
      <c r="E7" s="38">
        <f>IF(LEFT(VLOOKUP($B7,'Indicator chart'!$D$1:$J$36,5,FALSE),1)=" "," ",VLOOKUP($B7,'Indicator chart'!$D$1:$J$36,5,FALSE))</f>
        <v>0.19596168780740358</v>
      </c>
      <c r="F7" s="38">
        <f>IF(LEFT(VLOOKUP($B7,'Indicator chart'!$D$1:$J$36,6,FALSE),1)=" "," ",VLOOKUP($B7,'Indicator chart'!$D$1:$J$36,6,FALSE))</f>
        <v>0.18374881310664823</v>
      </c>
      <c r="G7" s="38">
        <f>IF(LEFT(VLOOKUP($B7,'Indicator chart'!$D$1:$J$36,7,FALSE),1)=" "," ",VLOOKUP($B7,'Indicator chart'!$D$1:$J$36,7,FALSE))</f>
        <v>0.20877866978791873</v>
      </c>
      <c r="H7" s="50">
        <f aca="true" t="shared" si="0" ref="H7:H31">IF(LEFT(F7,1)=" ",4,IF(AND(ABS(N7-E7)&gt;SQRT((E7-G7)^2+(N7-R7)^2),E7&lt;N7),1,IF(AND(ABS(N7-E7)&gt;SQRT((E7-F7)^2+(N7-S7)^2),E7&gt;N7),3,2)))</f>
        <v>2</v>
      </c>
      <c r="I7" s="38">
        <v>0.09322268515825272</v>
      </c>
      <c r="J7" s="38">
        <v>0.16854678094387054</v>
      </c>
      <c r="K7" s="38">
        <v>0.1865016371011734</v>
      </c>
      <c r="L7" s="38">
        <v>0.20417143404483795</v>
      </c>
      <c r="M7" s="38">
        <v>0.30045145750045776</v>
      </c>
      <c r="N7" s="80">
        <f>VLOOKUP('Hide - Control'!B$3,'All practice data'!A:CA,A7+29,FALSE)</f>
        <v>0.18631345219390233</v>
      </c>
      <c r="O7" s="80">
        <f>VLOOKUP('Hide - Control'!C$3,'All practice data'!A:CA,A7+29,FALSE)</f>
        <v>0.1599882305185145</v>
      </c>
      <c r="P7" s="38">
        <f>VLOOKUP('Hide - Control'!$B$4,'All practice data'!B:BC,A7+2,FALSE)</f>
        <v>133164</v>
      </c>
      <c r="Q7" s="38">
        <f>VLOOKUP('Hide - Control'!$B$4,'All practice data'!B:BC,3,FALSE)</f>
        <v>714731</v>
      </c>
      <c r="R7" s="38">
        <f>+((2*P7+1.96^2-1.96*SQRT(1.96^2+4*P7*(1-P7/Q7)))/(2*(Q7+1.96^2)))</f>
        <v>0.1854124557076141</v>
      </c>
      <c r="S7" s="38">
        <f>+((2*P7+1.96^2+1.96*SQRT(1.96^2+4*P7*(1-P7/Q7)))/(2*(Q7+1.96^2)))</f>
        <v>0.18721782072300108</v>
      </c>
      <c r="T7" s="53">
        <f>IF($C7=1,M7,I7)</f>
        <v>0.30045145750045776</v>
      </c>
      <c r="U7" s="51">
        <f aca="true" t="shared" si="1" ref="U7:U15">IF($C7=1,I7,M7)</f>
        <v>0.09322268515825272</v>
      </c>
      <c r="V7" s="7">
        <v>1</v>
      </c>
      <c r="W7" s="27">
        <f aca="true" t="shared" si="2" ref="W7:W31">IF((K7-I7)&gt;(M7-K7),I7,(K7-(M7-K7)))</f>
        <v>0.07255181670188904</v>
      </c>
      <c r="X7" s="27">
        <f aca="true" t="shared" si="3" ref="X7:X31">IF(W7=I7,K7+(K7-I7),M7)</f>
        <v>0.30045145750045776</v>
      </c>
      <c r="Y7" s="27">
        <f aca="true" t="shared" si="4" ref="Y7:Y31">IF(C7=1,W7,X7)</f>
        <v>0.07255181670188904</v>
      </c>
      <c r="Z7" s="27">
        <f aca="true" t="shared" si="5" ref="Z7:Z31">IF(C7=1,X7,W7)</f>
        <v>0.30045145750045776</v>
      </c>
      <c r="AA7" s="32">
        <f aca="true" t="shared" si="6" ref="AA7:AA31">IF(ISERROR(IF(C7=1,(I7-$Y7)/($Z7-$Y7),(U7-$Y7)/($Z7-$Y7))),"",IF(C7=1,(I7-$Y7)/($Z7-$Y7),(U7-$Y7)/($Z7-$Y7)))</f>
        <v>0.090701628067215</v>
      </c>
      <c r="AB7" s="33">
        <f aca="true" t="shared" si="7" ref="AB7:AB31">IF(ISERROR(IF(C7=1,(J7-$Y7)/($Z7-$Y7),(L7-$Y7)/($Z7-$Y7))),"",IF(C7=1,(J7-$Y7)/($Z7-$Y7),(L7-$Y7)/($Z7-$Y7)))</f>
        <v>0.4212159523622399</v>
      </c>
      <c r="AC7" s="33">
        <v>0.5</v>
      </c>
      <c r="AD7" s="33">
        <f aca="true" t="shared" si="8" ref="AD7:AD31">IF(ISERROR(IF(C7=1,(L7-$Y7)/($Z7-$Y7),(J7-$Y7)/($Z7-$Y7))),"",IF(C7=1,(L7-$Y7)/($Z7-$Y7),(J7-$Y7)/($Z7-$Y7)))</f>
        <v>0.5775332373572373</v>
      </c>
      <c r="AE7" s="33">
        <f aca="true" t="shared" si="9" ref="AE7:AE31">IF(ISERROR(IF(C7=1,(M7-$Y7)/($Z7-$Y7),(I7-$Y7)/($Z7-$Y7))),"",IF(C7=1,(M7-$Y7)/($Z7-$Y7),(I7-$Y7)/($Z7-$Y7)))</f>
        <v>1</v>
      </c>
      <c r="AF7" s="33">
        <f aca="true" t="shared" si="10" ref="AF7:AF30">IF(E7=" ",-999,IF(H7=4,(E7-$Y7)/($Z7-$Y7),-999))</f>
        <v>-999</v>
      </c>
      <c r="AG7" s="33">
        <f aca="true" t="shared" si="11" ref="AG7:AG31">IF(E7=" ",-999,IF(H7=2,(E7-$Y7)/($Z7-$Y7),-999))</f>
        <v>0.5415097218805691</v>
      </c>
      <c r="AH7" s="33">
        <f aca="true" t="shared" si="12" ref="AH7:AH31">IF(E7=" ",-999,IF(MAX(AK7:AL7)&gt;-999,MAX(AK7:AL7),-999))</f>
        <v>-999</v>
      </c>
      <c r="AI7" s="34">
        <f aca="true" t="shared" si="13" ref="AI7:AI31">IF(ISERROR((O7-$Y7)/($Z7-$Y7)),-999,(O7-$Y7)/($Z7-$Y7))</f>
        <v>0.38366192026562673</v>
      </c>
      <c r="AJ7" s="4">
        <v>2.7020512924389086</v>
      </c>
      <c r="AK7" s="32">
        <f aca="true" t="shared" si="14" ref="AK7:AK31">IF(H7=1,(E7-$Y7)/($Z7-$Y7),-999)</f>
        <v>-999</v>
      </c>
      <c r="AL7" s="34">
        <f aca="true" t="shared" si="15" ref="AL7:AL31">IF(H7=3,(E7-$Y7)/($Z7-$Y7),-999)</f>
        <v>-999</v>
      </c>
      <c r="AQ7" s="103">
        <v>2</v>
      </c>
      <c r="AR7" s="103">
        <v>0.2422</v>
      </c>
      <c r="AS7" s="103">
        <v>7.2247</v>
      </c>
      <c r="AY7" s="103" t="s">
        <v>68</v>
      </c>
      <c r="AZ7" s="103" t="s">
        <v>429</v>
      </c>
      <c r="BA7" s="103" t="s">
        <v>376</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0.15</v>
      </c>
      <c r="F8" s="38">
        <f>IF(LEFT(VLOOKUP($B8,'Indicator chart'!$D$1:$J$36,6,FALSE),1)=" "," ",VLOOKUP($B8,'Indicator chart'!$D$1:$J$36,6,FALSE))</f>
        <v>0.13908766985115462</v>
      </c>
      <c r="G8" s="38">
        <f>IF(LEFT(VLOOKUP($B8,'Indicator chart'!$D$1:$J$36,7,FALSE),1)=" "," ",VLOOKUP($B8,'Indicator chart'!$D$1:$J$36,7,FALSE))</f>
        <v>0.16160776075557098</v>
      </c>
      <c r="H8" s="50">
        <f t="shared" si="0"/>
        <v>3</v>
      </c>
      <c r="I8" s="38">
        <v>0.05000000074505806</v>
      </c>
      <c r="J8" s="38">
        <v>0.09000000357627869</v>
      </c>
      <c r="K8" s="38">
        <v>0.11999999731779099</v>
      </c>
      <c r="L8" s="38">
        <v>0.1599999964237213</v>
      </c>
      <c r="M8" s="38">
        <v>0.23000000417232513</v>
      </c>
      <c r="N8" s="80">
        <f>VLOOKUP('Hide - Control'!B$3,'All practice data'!A:CA,A8+29,FALSE)</f>
        <v>0.12621682842915724</v>
      </c>
      <c r="O8" s="80">
        <f>VLOOKUP('Hide - Control'!C$3,'All practice data'!A:CA,A8+29,FALSE)</f>
        <v>0.15010930292554353</v>
      </c>
      <c r="P8" s="38">
        <f>VLOOKUP('Hide - Control'!$B$4,'All practice data'!B:BC,A8+2,FALSE)</f>
        <v>90211.07999999999</v>
      </c>
      <c r="Q8" s="38">
        <f>VLOOKUP('Hide - Control'!$B$4,'All practice data'!B:BC,3,FALSE)</f>
        <v>714731</v>
      </c>
      <c r="R8" s="38">
        <f>+((2*P8+1.96^2-1.96*SQRT(1.96^2+4*P8*(1-P8/Q8)))/(2*(Q8+1.96^2)))</f>
        <v>0.12544891756518353</v>
      </c>
      <c r="S8" s="38">
        <f>+((2*P8+1.96^2+1.96*SQRT(1.96^2+4*P8*(1-P8/Q8)))/(2*(Q8+1.96^2)))</f>
        <v>0.12698875735786863</v>
      </c>
      <c r="T8" s="53">
        <f aca="true" t="shared" si="16" ref="T8:T15">IF($C8=1,M8,I8)</f>
        <v>0.23000000417232513</v>
      </c>
      <c r="U8" s="51">
        <f t="shared" si="1"/>
        <v>0.05000000074505806</v>
      </c>
      <c r="V8" s="7"/>
      <c r="W8" s="27">
        <f t="shared" si="2"/>
        <v>0.009999990463256836</v>
      </c>
      <c r="X8" s="27">
        <f t="shared" si="3"/>
        <v>0.23000000417232513</v>
      </c>
      <c r="Y8" s="27">
        <f t="shared" si="4"/>
        <v>0.009999990463256836</v>
      </c>
      <c r="Z8" s="27">
        <f t="shared" si="5"/>
        <v>0.23000000417232513</v>
      </c>
      <c r="AA8" s="32">
        <f t="shared" si="6"/>
        <v>0.1818182172238312</v>
      </c>
      <c r="AB8" s="33">
        <f t="shared" si="7"/>
        <v>0.3636364005813891</v>
      </c>
      <c r="AC8" s="33">
        <v>0.5</v>
      </c>
      <c r="AD8" s="33">
        <f t="shared" si="8"/>
        <v>0.6818181664244212</v>
      </c>
      <c r="AE8" s="33">
        <f t="shared" si="9"/>
        <v>1</v>
      </c>
      <c r="AF8" s="33">
        <f t="shared" si="10"/>
        <v>-999</v>
      </c>
      <c r="AG8" s="33">
        <f t="shared" si="11"/>
        <v>-999</v>
      </c>
      <c r="AH8" s="33">
        <f t="shared" si="12"/>
        <v>0.6363636400581388</v>
      </c>
      <c r="AI8" s="34">
        <f t="shared" si="13"/>
        <v>0.6368604715069227</v>
      </c>
      <c r="AJ8" s="4">
        <v>3.778046717820832</v>
      </c>
      <c r="AK8" s="32">
        <f t="shared" si="14"/>
        <v>-999</v>
      </c>
      <c r="AL8" s="34">
        <f t="shared" si="15"/>
        <v>0.6363636400581388</v>
      </c>
      <c r="AQ8" s="103">
        <v>3</v>
      </c>
      <c r="AR8" s="103">
        <v>0.6187</v>
      </c>
      <c r="AS8" s="103">
        <v>8.7673</v>
      </c>
      <c r="AY8" s="103" t="s">
        <v>118</v>
      </c>
      <c r="AZ8" s="103" t="s">
        <v>119</v>
      </c>
      <c r="BA8" s="103" t="s">
        <v>376</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29</v>
      </c>
      <c r="E9" s="38">
        <f>IF(LEFT(VLOOKUP($B9,'Indicator chart'!$D$1:$J$36,5,FALSE),1)=" "," ",VLOOKUP($B9,'Indicator chart'!$D$1:$J$36,5,FALSE))</f>
        <v>750.7118819570283</v>
      </c>
      <c r="F9" s="38">
        <f>IF(LEFT(VLOOKUP($B9,'Indicator chart'!$D$1:$J$36,6,FALSE),1)=" "," ",VLOOKUP($B9,'Indicator chart'!$D$1:$J$36,6,FALSE))</f>
        <v>502.6556237449365</v>
      </c>
      <c r="G9" s="38">
        <f>IF(LEFT(VLOOKUP($B9,'Indicator chart'!$D$1:$J$36,7,FALSE),1)=" "," ",VLOOKUP($B9,'Indicator chart'!$D$1:$J$36,7,FALSE))</f>
        <v>1078.192940450248</v>
      </c>
      <c r="H9" s="50">
        <f t="shared" si="0"/>
        <v>2</v>
      </c>
      <c r="I9" s="38">
        <v>92.60600280761719</v>
      </c>
      <c r="J9" s="38">
        <v>465.6868591308594</v>
      </c>
      <c r="K9" s="38">
        <v>516.2033081054688</v>
      </c>
      <c r="L9" s="38">
        <v>598.5134887695312</v>
      </c>
      <c r="M9" s="38">
        <v>912.1459350585938</v>
      </c>
      <c r="N9" s="80">
        <f>VLOOKUP('Hide - Control'!B$3,'All practice data'!A:CA,A9+29,FALSE)</f>
        <v>532.0882961561763</v>
      </c>
      <c r="O9" s="80">
        <f>VLOOKUP('Hide - Control'!C$3,'All practice data'!A:CA,A9+29,FALSE)</f>
        <v>445.6198871279627</v>
      </c>
      <c r="P9" s="38">
        <f>VLOOKUP('Hide - Control'!$B$4,'All practice data'!B:BC,A9+2,FALSE)</f>
        <v>3803</v>
      </c>
      <c r="Q9" s="38">
        <f>VLOOKUP('Hide - Control'!$B$4,'All practice data'!B:BC,3,FALSE)</f>
        <v>714731</v>
      </c>
      <c r="R9" s="38">
        <f>100000*(P9*(1-1/(9*P9)-1.96/(3*SQRT(P9)))^3)/Q9</f>
        <v>515.3098878908354</v>
      </c>
      <c r="S9" s="38">
        <f>100000*((P9+1)*(1-1/(9*(P9+1))+1.96/(3*SQRT(P9+1)))^3)/Q9</f>
        <v>549.2738835386892</v>
      </c>
      <c r="T9" s="53">
        <f t="shared" si="16"/>
        <v>912.1459350585938</v>
      </c>
      <c r="U9" s="51">
        <f t="shared" si="1"/>
        <v>92.60600280761719</v>
      </c>
      <c r="V9" s="7"/>
      <c r="W9" s="27">
        <f t="shared" si="2"/>
        <v>92.60600280761719</v>
      </c>
      <c r="X9" s="27">
        <f t="shared" si="3"/>
        <v>939.8006134033203</v>
      </c>
      <c r="Y9" s="27">
        <f t="shared" si="4"/>
        <v>92.60600280761719</v>
      </c>
      <c r="Z9" s="27">
        <f t="shared" si="5"/>
        <v>939.8006134033203</v>
      </c>
      <c r="AA9" s="32">
        <f t="shared" si="6"/>
        <v>0</v>
      </c>
      <c r="AB9" s="33">
        <f t="shared" si="7"/>
        <v>0.4403720841199771</v>
      </c>
      <c r="AC9" s="33">
        <v>0.5</v>
      </c>
      <c r="AD9" s="33">
        <f t="shared" si="8"/>
        <v>0.597156166522573</v>
      </c>
      <c r="AE9" s="33">
        <f t="shared" si="9"/>
        <v>0.96735734859635</v>
      </c>
      <c r="AF9" s="33">
        <f t="shared" si="10"/>
        <v>-999</v>
      </c>
      <c r="AG9" s="33">
        <f t="shared" si="11"/>
        <v>0.7768060265240182</v>
      </c>
      <c r="AH9" s="33">
        <f t="shared" si="12"/>
        <v>-999</v>
      </c>
      <c r="AI9" s="34">
        <f t="shared" si="13"/>
        <v>0.41668570586411613</v>
      </c>
      <c r="AJ9" s="4">
        <v>4.854042143202755</v>
      </c>
      <c r="AK9" s="32">
        <f t="shared" si="14"/>
        <v>-999</v>
      </c>
      <c r="AL9" s="34">
        <f t="shared" si="15"/>
        <v>-999</v>
      </c>
      <c r="AQ9" s="103">
        <v>4</v>
      </c>
      <c r="AR9" s="103">
        <v>1.0899</v>
      </c>
      <c r="AS9" s="103">
        <v>10.2416</v>
      </c>
      <c r="AY9" s="103" t="s">
        <v>90</v>
      </c>
      <c r="AZ9" s="103" t="s">
        <v>439</v>
      </c>
      <c r="BA9" s="103" t="s">
        <v>376</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13</v>
      </c>
      <c r="E10" s="38">
        <f>IF(LEFT(VLOOKUP($B10,'Indicator chart'!$D$1:$J$36,5,FALSE),1)=" "," ",VLOOKUP($B10,'Indicator chart'!$D$1:$J$36,5,FALSE))</f>
        <v>336.5260160497023</v>
      </c>
      <c r="F10" s="38">
        <f>IF(LEFT(VLOOKUP($B10,'Indicator chart'!$D$1:$J$36,6,FALSE),1)=" "," ",VLOOKUP($B10,'Indicator chart'!$D$1:$J$36,6,FALSE))</f>
        <v>179.00998429367144</v>
      </c>
      <c r="G10" s="38">
        <f>IF(LEFT(VLOOKUP($B10,'Indicator chart'!$D$1:$J$36,7,FALSE),1)=" "," ",VLOOKUP($B10,'Indicator chart'!$D$1:$J$36,7,FALSE))</f>
        <v>575.5089420463986</v>
      </c>
      <c r="H10" s="50">
        <f t="shared" si="0"/>
        <v>2</v>
      </c>
      <c r="I10" s="38">
        <v>44.173431396484375</v>
      </c>
      <c r="J10" s="38">
        <v>202.22128295898438</v>
      </c>
      <c r="K10" s="38">
        <v>271.7985534667969</v>
      </c>
      <c r="L10" s="38">
        <v>310.5915832519531</v>
      </c>
      <c r="M10" s="38">
        <v>545.0941772460938</v>
      </c>
      <c r="N10" s="80">
        <f>VLOOKUP('Hide - Control'!B$3,'All practice data'!A:CA,A10+29,FALSE)</f>
        <v>266.9535811375189</v>
      </c>
      <c r="O10" s="80">
        <f>VLOOKUP('Hide - Control'!C$3,'All practice data'!A:CA,A10+29,FALSE)</f>
        <v>234.12259778895606</v>
      </c>
      <c r="P10" s="38">
        <f>VLOOKUP('Hide - Control'!$B$4,'All practice data'!B:BC,A10+2,FALSE)</f>
        <v>1908</v>
      </c>
      <c r="Q10" s="38">
        <f>VLOOKUP('Hide - Control'!$B$4,'All practice data'!B:BC,3,FALSE)</f>
        <v>714731</v>
      </c>
      <c r="R10" s="38">
        <f>100000*(P10*(1-1/(9*P10)-1.96/(3*SQRT(P10)))^3)/Q10</f>
        <v>255.10809511300891</v>
      </c>
      <c r="S10" s="38">
        <f>100000*((P10+1)*(1-1/(9*(P10+1))+1.96/(3*SQRT(P10+1)))^3)/Q10</f>
        <v>279.207154018244</v>
      </c>
      <c r="T10" s="53">
        <f t="shared" si="16"/>
        <v>545.0941772460938</v>
      </c>
      <c r="U10" s="51">
        <f t="shared" si="1"/>
        <v>44.173431396484375</v>
      </c>
      <c r="V10" s="7"/>
      <c r="W10" s="27">
        <f t="shared" si="2"/>
        <v>-1.4970703125</v>
      </c>
      <c r="X10" s="27">
        <f t="shared" si="3"/>
        <v>545.0941772460938</v>
      </c>
      <c r="Y10" s="27">
        <f t="shared" si="4"/>
        <v>-1.4970703125</v>
      </c>
      <c r="Z10" s="27">
        <f t="shared" si="5"/>
        <v>545.0941772460938</v>
      </c>
      <c r="AA10" s="32">
        <f t="shared" si="6"/>
        <v>0.08355512810162326</v>
      </c>
      <c r="AB10" s="33">
        <f t="shared" si="7"/>
        <v>0.3727069435916024</v>
      </c>
      <c r="AC10" s="33">
        <v>0.5</v>
      </c>
      <c r="AD10" s="33">
        <f t="shared" si="8"/>
        <v>0.5709726508765541</v>
      </c>
      <c r="AE10" s="33">
        <f t="shared" si="9"/>
        <v>1</v>
      </c>
      <c r="AF10" s="33">
        <f t="shared" si="10"/>
        <v>-999</v>
      </c>
      <c r="AG10" s="33">
        <f t="shared" si="11"/>
        <v>0.6184202324351467</v>
      </c>
      <c r="AH10" s="33">
        <f t="shared" si="12"/>
        <v>-999</v>
      </c>
      <c r="AI10" s="34">
        <f t="shared" si="13"/>
        <v>0.43107105932243817</v>
      </c>
      <c r="AJ10" s="4">
        <v>5.930037568584676</v>
      </c>
      <c r="AK10" s="32">
        <f t="shared" si="14"/>
        <v>-999</v>
      </c>
      <c r="AL10" s="34">
        <f t="shared" si="15"/>
        <v>-999</v>
      </c>
      <c r="AY10" s="103" t="s">
        <v>96</v>
      </c>
      <c r="AZ10" s="103" t="s">
        <v>97</v>
      </c>
      <c r="BA10" s="103" t="s">
        <v>556</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76</v>
      </c>
      <c r="E11" s="38">
        <f>IF(LEFT(VLOOKUP($B11,'Indicator chart'!$D$1:$J$36,5,FALSE),1)=" "," ",VLOOKUP($B11,'Indicator chart'!$D$1:$J$36,5,FALSE))</f>
        <v>0.02</v>
      </c>
      <c r="F11" s="38">
        <f>IF(LEFT(VLOOKUP($B11,'Indicator chart'!$D$1:$J$36,6,FALSE),1)=" "," ",VLOOKUP($B11,'Indicator chart'!$D$1:$J$36,6,FALSE))</f>
        <v>0.015747772643931828</v>
      </c>
      <c r="G11" s="38">
        <f>IF(LEFT(VLOOKUP($B11,'Indicator chart'!$D$1:$J$36,7,FALSE),1)=" "," ",VLOOKUP($B11,'Indicator chart'!$D$1:$J$36,7,FALSE))</f>
        <v>0.024554266105211657</v>
      </c>
      <c r="H11" s="50">
        <f t="shared" si="0"/>
        <v>2</v>
      </c>
      <c r="I11" s="38">
        <v>0.006000000052154064</v>
      </c>
      <c r="J11" s="38">
        <v>0.014999999664723873</v>
      </c>
      <c r="K11" s="38">
        <v>0.017000000923871994</v>
      </c>
      <c r="L11" s="38">
        <v>0.019750000908970833</v>
      </c>
      <c r="M11" s="38">
        <v>0.028999999165534973</v>
      </c>
      <c r="N11" s="80">
        <f>VLOOKUP('Hide - Control'!B$3,'All practice data'!A:CA,A11+29,FALSE)</f>
        <v>0.01701479297805748</v>
      </c>
      <c r="O11" s="80">
        <f>VLOOKUP('Hide - Control'!C$3,'All practice data'!A:CA,A11+29,FALSE)</f>
        <v>0.015940726342527432</v>
      </c>
      <c r="P11" s="38">
        <f>VLOOKUP('Hide - Control'!$B$4,'All practice data'!B:BC,A11+2,FALSE)</f>
        <v>12161</v>
      </c>
      <c r="Q11" s="38">
        <f>VLOOKUP('Hide - Control'!$B$4,'All practice data'!B:BC,3,FALSE)</f>
        <v>714731</v>
      </c>
      <c r="R11" s="80">
        <f aca="true" t="shared" si="17" ref="R11:R16">+((2*P11+1.96^2-1.96*SQRT(1.96^2+4*P11*(1-P11/Q11)))/(2*(Q11+1.96^2)))</f>
        <v>0.01671755093819486</v>
      </c>
      <c r="S11" s="80">
        <f aca="true" t="shared" si="18" ref="S11:S16">+((2*P11+1.96^2+1.96*SQRT(1.96^2+4*P11*(1-P11/Q11)))/(2*(Q11+1.96^2)))</f>
        <v>0.017317226974050685</v>
      </c>
      <c r="T11" s="53">
        <f t="shared" si="16"/>
        <v>0.028999999165534973</v>
      </c>
      <c r="U11" s="51">
        <f t="shared" si="1"/>
        <v>0.006000000052154064</v>
      </c>
      <c r="V11" s="7"/>
      <c r="W11" s="27">
        <f t="shared" si="2"/>
        <v>0.005000002682209015</v>
      </c>
      <c r="X11" s="27">
        <f t="shared" si="3"/>
        <v>0.028999999165534973</v>
      </c>
      <c r="Y11" s="27">
        <f t="shared" si="4"/>
        <v>0.005000002682209015</v>
      </c>
      <c r="Z11" s="27">
        <f t="shared" si="5"/>
        <v>0.028999999165534973</v>
      </c>
      <c r="AA11" s="32">
        <f t="shared" si="6"/>
        <v>0.041666563186365434</v>
      </c>
      <c r="AB11" s="33">
        <f t="shared" si="7"/>
        <v>0.4166666019914784</v>
      </c>
      <c r="AC11" s="33">
        <v>0.5</v>
      </c>
      <c r="AD11" s="33">
        <f t="shared" si="8"/>
        <v>0.6145833495021304</v>
      </c>
      <c r="AE11" s="33">
        <f t="shared" si="9"/>
        <v>1</v>
      </c>
      <c r="AF11" s="33">
        <f t="shared" si="10"/>
        <v>-999</v>
      </c>
      <c r="AG11" s="33">
        <f t="shared" si="11"/>
        <v>0.6249999798213413</v>
      </c>
      <c r="AH11" s="33">
        <f t="shared" si="12"/>
        <v>-999</v>
      </c>
      <c r="AI11" s="34">
        <f t="shared" si="13"/>
        <v>0.45586355264341416</v>
      </c>
      <c r="AJ11" s="4">
        <v>7.0060329939666</v>
      </c>
      <c r="AK11" s="32">
        <f t="shared" si="14"/>
        <v>-999</v>
      </c>
      <c r="AL11" s="34">
        <f t="shared" si="15"/>
        <v>-999</v>
      </c>
      <c r="AY11" s="103" t="s">
        <v>214</v>
      </c>
      <c r="AZ11" s="103" t="s">
        <v>215</v>
      </c>
      <c r="BA11" s="103" t="s">
        <v>556</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49</v>
      </c>
      <c r="E12" s="38">
        <f>IF(LEFT(VLOOKUP($B12,'Indicator chart'!$D$1:$J$36,5,FALSE),1)=" "," ",VLOOKUP($B12,'Indicator chart'!$D$1:$J$36,5,FALSE))</f>
        <v>0.890909</v>
      </c>
      <c r="F12" s="38">
        <f>IF(LEFT(VLOOKUP($B12,'Indicator chart'!$D$1:$J$36,6,FALSE),1)=" "," ",VLOOKUP($B12,'Indicator chart'!$D$1:$J$36,6,FALSE))</f>
        <v>0.7817420620476805</v>
      </c>
      <c r="G12" s="38">
        <f>IF(LEFT(VLOOKUP($B12,'Indicator chart'!$D$1:$J$36,7,FALSE),1)=" "," ",VLOOKUP($B12,'Indicator chart'!$D$1:$J$36,7,FALSE))</f>
        <v>0.9490334437169486</v>
      </c>
      <c r="H12" s="50">
        <f t="shared" si="0"/>
        <v>3</v>
      </c>
      <c r="I12" s="38">
        <v>0.6571429967880249</v>
      </c>
      <c r="J12" s="38">
        <v>0.7429327368736267</v>
      </c>
      <c r="K12" s="38">
        <v>0.7734839916229248</v>
      </c>
      <c r="L12" s="38">
        <v>0.8046470284461975</v>
      </c>
      <c r="M12" s="38">
        <v>0.8909090161323547</v>
      </c>
      <c r="N12" s="80">
        <f>VLOOKUP('Hide - Control'!B$3,'All practice data'!A:CA,A12+29,FALSE)</f>
        <v>0.7706344848534411</v>
      </c>
      <c r="O12" s="80">
        <f>VLOOKUP('Hide - Control'!C$3,'All practice data'!A:CA,A12+29,FALSE)</f>
        <v>0.7248631360507991</v>
      </c>
      <c r="P12" s="38">
        <f>VLOOKUP('Hide - Control'!$B$4,'All practice data'!B:BC,A12+2,FALSE)</f>
        <v>65964</v>
      </c>
      <c r="Q12" s="38">
        <f>VLOOKUP('Hide - Control'!$B$4,'All practice data'!B:BJ,57,FALSE)</f>
        <v>85597</v>
      </c>
      <c r="R12" s="38">
        <f t="shared" si="17"/>
        <v>0.7678058417819693</v>
      </c>
      <c r="S12" s="38">
        <f t="shared" si="18"/>
        <v>0.7734388368217515</v>
      </c>
      <c r="T12" s="53">
        <f t="shared" si="16"/>
        <v>0.8909090161323547</v>
      </c>
      <c r="U12" s="51">
        <f t="shared" si="1"/>
        <v>0.6571429967880249</v>
      </c>
      <c r="V12" s="7"/>
      <c r="W12" s="27">
        <f t="shared" si="2"/>
        <v>0.6560589671134949</v>
      </c>
      <c r="X12" s="27">
        <f t="shared" si="3"/>
        <v>0.8909090161323547</v>
      </c>
      <c r="Y12" s="27">
        <f t="shared" si="4"/>
        <v>0.6560589671134949</v>
      </c>
      <c r="Z12" s="27">
        <f t="shared" si="5"/>
        <v>0.8909090161323547</v>
      </c>
      <c r="AA12" s="32">
        <f t="shared" si="6"/>
        <v>0.004615837548507282</v>
      </c>
      <c r="AB12" s="33">
        <f t="shared" si="7"/>
        <v>0.3699116526612066</v>
      </c>
      <c r="AC12" s="33">
        <v>0.5</v>
      </c>
      <c r="AD12" s="33">
        <f t="shared" si="8"/>
        <v>0.6326933375294724</v>
      </c>
      <c r="AE12" s="33">
        <f t="shared" si="9"/>
        <v>1</v>
      </c>
      <c r="AF12" s="33">
        <f t="shared" si="10"/>
        <v>-999</v>
      </c>
      <c r="AG12" s="33">
        <f t="shared" si="11"/>
        <v>-999</v>
      </c>
      <c r="AH12" s="33">
        <f t="shared" si="12"/>
        <v>0.99999993130785</v>
      </c>
      <c r="AI12" s="34">
        <f t="shared" si="13"/>
        <v>0.29297063903009385</v>
      </c>
      <c r="AJ12" s="4">
        <v>8.082028419348523</v>
      </c>
      <c r="AK12" s="32">
        <f t="shared" si="14"/>
        <v>-999</v>
      </c>
      <c r="AL12" s="34">
        <f t="shared" si="15"/>
        <v>0.99999993130785</v>
      </c>
      <c r="AY12" s="103" t="s">
        <v>261</v>
      </c>
      <c r="AZ12" s="103" t="s">
        <v>492</v>
      </c>
      <c r="BA12" s="103" t="s">
        <v>376</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49</v>
      </c>
      <c r="E13" s="38">
        <f>IF(LEFT(VLOOKUP($B13,'Indicator chart'!$D$1:$J$36,5,FALSE),1)=" "," ",VLOOKUP($B13,'Indicator chart'!$D$1:$J$36,5,FALSE))</f>
        <v>0.890909</v>
      </c>
      <c r="F13" s="38">
        <f>IF(LEFT(VLOOKUP($B13,'Indicator chart'!$D$1:$J$36,6,FALSE),1)=" "," ",VLOOKUP($B13,'Indicator chart'!$D$1:$J$36,6,FALSE))</f>
        <v>0.7817420620476805</v>
      </c>
      <c r="G13" s="38">
        <f>IF(LEFT(VLOOKUP($B13,'Indicator chart'!$D$1:$J$36,7,FALSE),1)=" "," ",VLOOKUP($B13,'Indicator chart'!$D$1:$J$36,7,FALSE))</f>
        <v>0.9490334437169486</v>
      </c>
      <c r="H13" s="50">
        <f t="shared" si="0"/>
        <v>2</v>
      </c>
      <c r="I13" s="38">
        <v>0</v>
      </c>
      <c r="J13" s="38">
        <v>0.7607309818267822</v>
      </c>
      <c r="K13" s="38">
        <v>0.7982710003852844</v>
      </c>
      <c r="L13" s="38">
        <v>0.8289145231246948</v>
      </c>
      <c r="M13" s="38">
        <v>1</v>
      </c>
      <c r="N13" s="80">
        <f>VLOOKUP('Hide - Control'!B$3,'All practice data'!A:CA,A13+29,FALSE)</f>
        <v>0.7981336479673925</v>
      </c>
      <c r="O13" s="80">
        <f>VLOOKUP('Hide - Control'!C$3,'All practice data'!A:CA,A13+29,FALSE)</f>
        <v>0.7467412166569077</v>
      </c>
      <c r="P13" s="38">
        <f>VLOOKUP('Hide - Control'!$B$4,'All practice data'!B:BC,A13+2,FALSE)</f>
        <v>22323</v>
      </c>
      <c r="Q13" s="38">
        <f>VLOOKUP('Hide - Control'!$B$4,'All practice data'!B:BJ,58,FALSE)</f>
        <v>27969</v>
      </c>
      <c r="R13" s="38">
        <f t="shared" si="17"/>
        <v>0.7933886318125134</v>
      </c>
      <c r="S13" s="38">
        <f t="shared" si="18"/>
        <v>0.8027967768232686</v>
      </c>
      <c r="T13" s="53">
        <f t="shared" si="16"/>
        <v>1</v>
      </c>
      <c r="U13" s="51">
        <f t="shared" si="1"/>
        <v>0</v>
      </c>
      <c r="V13" s="7"/>
      <c r="W13" s="27">
        <f t="shared" si="2"/>
        <v>0</v>
      </c>
      <c r="X13" s="27">
        <f t="shared" si="3"/>
        <v>1.5965420007705688</v>
      </c>
      <c r="Y13" s="27">
        <f t="shared" si="4"/>
        <v>0</v>
      </c>
      <c r="Z13" s="27">
        <f t="shared" si="5"/>
        <v>1.5965420007705688</v>
      </c>
      <c r="AA13" s="32">
        <f t="shared" si="6"/>
        <v>0</v>
      </c>
      <c r="AB13" s="33">
        <f t="shared" si="7"/>
        <v>0.47648667022829116</v>
      </c>
      <c r="AC13" s="33">
        <v>0.5</v>
      </c>
      <c r="AD13" s="33">
        <f t="shared" si="8"/>
        <v>0.5191936840525463</v>
      </c>
      <c r="AE13" s="33">
        <f t="shared" si="9"/>
        <v>0.6263537066468351</v>
      </c>
      <c r="AF13" s="33">
        <f t="shared" si="10"/>
        <v>-999</v>
      </c>
      <c r="AG13" s="33">
        <f t="shared" si="11"/>
        <v>0.5580241544350252</v>
      </c>
      <c r="AH13" s="33">
        <f t="shared" si="12"/>
        <v>-999</v>
      </c>
      <c r="AI13" s="34">
        <f t="shared" si="13"/>
        <v>0.4677241289590215</v>
      </c>
      <c r="AJ13" s="4">
        <v>9.158023844730446</v>
      </c>
      <c r="AK13" s="32">
        <f t="shared" si="14"/>
        <v>-999</v>
      </c>
      <c r="AL13" s="34">
        <f t="shared" si="15"/>
        <v>-999</v>
      </c>
      <c r="AY13" s="103" t="s">
        <v>260</v>
      </c>
      <c r="AZ13" s="103" t="s">
        <v>491</v>
      </c>
      <c r="BA13" s="103" t="s">
        <v>376</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73</v>
      </c>
      <c r="E14" s="38">
        <f>IF(LEFT(VLOOKUP($B14,'Indicator chart'!$D$1:$J$36,5,FALSE),1)=" "," ",VLOOKUP($B14,'Indicator chart'!$D$1:$J$36,5,FALSE))</f>
        <v>0.820225</v>
      </c>
      <c r="F14" s="38">
        <f>IF(LEFT(VLOOKUP($B14,'Indicator chart'!$D$1:$J$36,6,FALSE),1)=" "," ",VLOOKUP($B14,'Indicator chart'!$D$1:$J$36,6,FALSE))</f>
        <v>0.7277468791243101</v>
      </c>
      <c r="G14" s="38">
        <f>IF(LEFT(VLOOKUP($B14,'Indicator chart'!$D$1:$J$36,7,FALSE),1)=" "," ",VLOOKUP($B14,'Indicator chart'!$D$1:$J$36,7,FALSE))</f>
        <v>0.8862020403255917</v>
      </c>
      <c r="H14" s="50">
        <f t="shared" si="0"/>
        <v>2</v>
      </c>
      <c r="I14" s="38">
        <v>0.6995229721069336</v>
      </c>
      <c r="J14" s="38">
        <v>0.801829993724823</v>
      </c>
      <c r="K14" s="38">
        <v>0.8255490064620972</v>
      </c>
      <c r="L14" s="38">
        <v>0.8425852656364441</v>
      </c>
      <c r="M14" s="38">
        <v>0.9333329796791077</v>
      </c>
      <c r="N14" s="80">
        <f>VLOOKUP('Hide - Control'!B$3,'All practice data'!A:CA,A14+29,FALSE)</f>
        <v>0.8145515339401957</v>
      </c>
      <c r="O14" s="80">
        <f>VLOOKUP('Hide - Control'!C$3,'All practice data'!A:CA,A14+29,FALSE)</f>
        <v>0.7559681673907895</v>
      </c>
      <c r="P14" s="38">
        <f>VLOOKUP('Hide - Control'!$B$4,'All practice data'!B:BC,A14+2,FALSE)</f>
        <v>123754</v>
      </c>
      <c r="Q14" s="38">
        <f>VLOOKUP('Hide - Control'!$B$4,'All practice data'!B:BJ,59,FALSE)</f>
        <v>151929</v>
      </c>
      <c r="R14" s="38">
        <f t="shared" si="17"/>
        <v>0.8125892197504252</v>
      </c>
      <c r="S14" s="38">
        <f t="shared" si="18"/>
        <v>0.8164979413495749</v>
      </c>
      <c r="T14" s="53">
        <f t="shared" si="16"/>
        <v>0.9333329796791077</v>
      </c>
      <c r="U14" s="51">
        <f t="shared" si="1"/>
        <v>0.6995229721069336</v>
      </c>
      <c r="V14" s="7"/>
      <c r="W14" s="27">
        <f t="shared" si="2"/>
        <v>0.6995229721069336</v>
      </c>
      <c r="X14" s="27">
        <f t="shared" si="3"/>
        <v>0.9515750408172607</v>
      </c>
      <c r="Y14" s="27">
        <f t="shared" si="4"/>
        <v>0.6995229721069336</v>
      </c>
      <c r="Z14" s="27">
        <f t="shared" si="5"/>
        <v>0.9515750408172607</v>
      </c>
      <c r="AA14" s="32">
        <f t="shared" si="6"/>
        <v>0</v>
      </c>
      <c r="AB14" s="33">
        <f t="shared" si="7"/>
        <v>0.40589637744836987</v>
      </c>
      <c r="AC14" s="33">
        <v>0.5</v>
      </c>
      <c r="AD14" s="33">
        <f t="shared" si="8"/>
        <v>0.567590237451794</v>
      </c>
      <c r="AE14" s="33">
        <f t="shared" si="9"/>
        <v>0.9276258225870072</v>
      </c>
      <c r="AF14" s="33">
        <f t="shared" si="10"/>
        <v>-999</v>
      </c>
      <c r="AG14" s="33">
        <f t="shared" si="11"/>
        <v>0.4788773546301822</v>
      </c>
      <c r="AH14" s="33">
        <f t="shared" si="12"/>
        <v>-999</v>
      </c>
      <c r="AI14" s="34">
        <f t="shared" si="13"/>
        <v>0.22394259873631917</v>
      </c>
      <c r="AJ14" s="4">
        <v>10.234019270112368</v>
      </c>
      <c r="AK14" s="32">
        <f t="shared" si="14"/>
        <v>-999</v>
      </c>
      <c r="AL14" s="34">
        <f t="shared" si="15"/>
        <v>-999</v>
      </c>
      <c r="AY14" s="103" t="s">
        <v>53</v>
      </c>
      <c r="AZ14" s="103" t="s">
        <v>499</v>
      </c>
      <c r="BA14" s="103" t="s">
        <v>556</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274</v>
      </c>
      <c r="E15" s="38">
        <f>IF(LEFT(VLOOKUP($B15,'Indicator chart'!$D$1:$J$36,5,FALSE),1)=" "," ",VLOOKUP($B15,'Indicator chart'!$D$1:$J$36,5,FALSE))</f>
        <v>0.578059</v>
      </c>
      <c r="F15" s="38">
        <f>IF(LEFT(VLOOKUP($B15,'Indicator chart'!$D$1:$J$36,6,FALSE),1)=" "," ",VLOOKUP($B15,'Indicator chart'!$D$1:$J$36,6,FALSE))</f>
        <v>0.5331451924955302</v>
      </c>
      <c r="G15" s="38">
        <f>IF(LEFT(VLOOKUP($B15,'Indicator chart'!$D$1:$J$36,7,FALSE),1)=" "," ",VLOOKUP($B15,'Indicator chart'!$D$1:$J$36,7,FALSE))</f>
        <v>0.6217178416145179</v>
      </c>
      <c r="H15" s="50">
        <f t="shared" si="0"/>
        <v>2</v>
      </c>
      <c r="I15" s="38">
        <v>0.4559589922428131</v>
      </c>
      <c r="J15" s="38">
        <v>0.5410079956054688</v>
      </c>
      <c r="K15" s="38">
        <v>0.5720660090446472</v>
      </c>
      <c r="L15" s="38">
        <v>0.6033087372779846</v>
      </c>
      <c r="M15" s="38">
        <v>0.6704549789428711</v>
      </c>
      <c r="N15" s="80">
        <f>VLOOKUP('Hide - Control'!B$3,'All practice data'!A:CA,A15+29,FALSE)</f>
        <v>0.5740128699001926</v>
      </c>
      <c r="O15" s="80">
        <f>VLOOKUP('Hide - Control'!C$3,'All practice data'!A:CA,A15+29,FALSE)</f>
        <v>0.5147293797466616</v>
      </c>
      <c r="P15" s="38">
        <f>VLOOKUP('Hide - Control'!$B$4,'All practice data'!B:BC,A15+2,FALSE)</f>
        <v>52451</v>
      </c>
      <c r="Q15" s="38">
        <f>VLOOKUP('Hide - Control'!$B$4,'All practice data'!B:BJ,60,FALSE)</f>
        <v>91376</v>
      </c>
      <c r="R15" s="38">
        <f t="shared" si="17"/>
        <v>0.5708035619516048</v>
      </c>
      <c r="S15" s="38">
        <f t="shared" si="18"/>
        <v>0.5772159548605146</v>
      </c>
      <c r="T15" s="53">
        <f t="shared" si="16"/>
        <v>0.6704549789428711</v>
      </c>
      <c r="U15" s="51">
        <f t="shared" si="1"/>
        <v>0.4559589922428131</v>
      </c>
      <c r="V15" s="7"/>
      <c r="W15" s="27">
        <f t="shared" si="2"/>
        <v>0.4559589922428131</v>
      </c>
      <c r="X15" s="27">
        <f t="shared" si="3"/>
        <v>0.6881730258464813</v>
      </c>
      <c r="Y15" s="27">
        <f t="shared" si="4"/>
        <v>0.4559589922428131</v>
      </c>
      <c r="Z15" s="27">
        <f t="shared" si="5"/>
        <v>0.6881730258464813</v>
      </c>
      <c r="AA15" s="32">
        <f t="shared" si="6"/>
        <v>0</v>
      </c>
      <c r="AB15" s="33">
        <f t="shared" si="7"/>
        <v>0.3662526421973842</v>
      </c>
      <c r="AC15" s="33">
        <v>0.5</v>
      </c>
      <c r="AD15" s="33">
        <f t="shared" si="8"/>
        <v>0.6345428084103694</v>
      </c>
      <c r="AE15" s="33">
        <f t="shared" si="9"/>
        <v>0.9236994998594679</v>
      </c>
      <c r="AF15" s="33">
        <f t="shared" si="10"/>
        <v>-999</v>
      </c>
      <c r="AG15" s="33">
        <f t="shared" si="11"/>
        <v>0.5258080481284836</v>
      </c>
      <c r="AH15" s="33">
        <f t="shared" si="12"/>
        <v>-999</v>
      </c>
      <c r="AI15" s="34">
        <f t="shared" si="13"/>
        <v>0.2530871480582217</v>
      </c>
      <c r="AJ15" s="4">
        <v>11.310014695494289</v>
      </c>
      <c r="AK15" s="32">
        <f t="shared" si="14"/>
        <v>-999</v>
      </c>
      <c r="AL15" s="34">
        <f t="shared" si="15"/>
        <v>-999</v>
      </c>
      <c r="AY15" s="103" t="s">
        <v>229</v>
      </c>
      <c r="AZ15" s="103" t="s">
        <v>230</v>
      </c>
      <c r="BA15" s="103" t="s">
        <v>376</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124</v>
      </c>
      <c r="E16" s="38">
        <f>IF(LEFT(VLOOKUP($B16,'Indicator chart'!$D$1:$J$36,5,FALSE),1)=" "," ",VLOOKUP($B16,'Indicator chart'!$D$1:$J$36,5,FALSE))</f>
        <v>0.616915</v>
      </c>
      <c r="F16" s="38">
        <f>IF(LEFT(VLOOKUP($B16,'Indicator chart'!$D$1:$J$36,6,FALSE),1)=" "," ",VLOOKUP($B16,'Indicator chart'!$D$1:$J$36,6,FALSE))</f>
        <v>0.5481123118672987</v>
      </c>
      <c r="G16" s="38">
        <f>IF(LEFT(VLOOKUP($B16,'Indicator chart'!$D$1:$J$36,7,FALSE),1)=" "," ",VLOOKUP($B16,'Indicator chart'!$D$1:$J$36,7,FALSE))</f>
        <v>0.6813332694989863</v>
      </c>
      <c r="H16" s="50">
        <f t="shared" si="0"/>
        <v>2</v>
      </c>
      <c r="I16" s="38">
        <v>0.4666669964790344</v>
      </c>
      <c r="J16" s="38">
        <v>0.5774277448654175</v>
      </c>
      <c r="K16" s="38">
        <v>0.610027015209198</v>
      </c>
      <c r="L16" s="38">
        <v>0.6458399891853333</v>
      </c>
      <c r="M16" s="38">
        <v>0.7326200008392334</v>
      </c>
      <c r="N16" s="80">
        <f>VLOOKUP('Hide - Control'!B$3,'All practice data'!A:CA,A16+29,FALSE)</f>
        <v>0.6114420420268181</v>
      </c>
      <c r="O16" s="80">
        <f>VLOOKUP('Hide - Control'!C$3,'All practice data'!A:CA,A16+29,FALSE)</f>
        <v>0.5752927626212945</v>
      </c>
      <c r="P16" s="38">
        <f>VLOOKUP('Hide - Control'!$B$4,'All practice data'!B:BC,A16+2,FALSE)</f>
        <v>24122</v>
      </c>
      <c r="Q16" s="38">
        <f>VLOOKUP('Hide - Control'!$B$4,'All practice data'!B:BJ,61,FALSE)</f>
        <v>39451</v>
      </c>
      <c r="R16" s="38">
        <f t="shared" si="17"/>
        <v>0.6066215511790097</v>
      </c>
      <c r="S16" s="38">
        <f t="shared" si="18"/>
        <v>0.6162408313175404</v>
      </c>
      <c r="T16" s="53">
        <f aca="true" t="shared" si="19" ref="T16:T31">IF($C16=1,M16,I16)</f>
        <v>0.7326200008392334</v>
      </c>
      <c r="U16" s="51">
        <f aca="true" t="shared" si="20" ref="U16:U31">IF($C16=1,I16,M16)</f>
        <v>0.4666669964790344</v>
      </c>
      <c r="V16" s="7"/>
      <c r="W16" s="27">
        <f t="shared" si="2"/>
        <v>0.4666669964790344</v>
      </c>
      <c r="X16" s="27">
        <f t="shared" si="3"/>
        <v>0.7533870339393616</v>
      </c>
      <c r="Y16" s="27">
        <f t="shared" si="4"/>
        <v>0.4666669964790344</v>
      </c>
      <c r="Z16" s="27">
        <f t="shared" si="5"/>
        <v>0.7533870339393616</v>
      </c>
      <c r="AA16" s="32">
        <f t="shared" si="6"/>
        <v>0</v>
      </c>
      <c r="AB16" s="33">
        <f t="shared" si="7"/>
        <v>0.3863027829079047</v>
      </c>
      <c r="AC16" s="33">
        <v>0.5</v>
      </c>
      <c r="AD16" s="33">
        <f t="shared" si="8"/>
        <v>0.6249057243900877</v>
      </c>
      <c r="AE16" s="33">
        <f t="shared" si="9"/>
        <v>0.9275703460278681</v>
      </c>
      <c r="AF16" s="33">
        <f t="shared" si="10"/>
        <v>-999</v>
      </c>
      <c r="AG16" s="33">
        <f t="shared" si="11"/>
        <v>0.5240233813158421</v>
      </c>
      <c r="AH16" s="33">
        <f t="shared" si="12"/>
        <v>-999</v>
      </c>
      <c r="AI16" s="34">
        <f t="shared" si="13"/>
        <v>0.37885655674584784</v>
      </c>
      <c r="AJ16" s="4">
        <v>12.386010120876215</v>
      </c>
      <c r="AK16" s="32">
        <f t="shared" si="14"/>
        <v>-999</v>
      </c>
      <c r="AL16" s="34">
        <f t="shared" si="15"/>
        <v>-999</v>
      </c>
      <c r="AY16" s="103" t="s">
        <v>375</v>
      </c>
      <c r="AZ16" s="103" t="s">
        <v>395</v>
      </c>
      <c r="BA16" s="103" t="s">
        <v>556</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123</v>
      </c>
      <c r="E17" s="38">
        <f>IF(LEFT(VLOOKUP($B17,'Indicator chart'!$D$1:$J$36,5,FALSE),1)=" "," ",VLOOKUP($B17,'Indicator chart'!$D$1:$J$36,5,FALSE))</f>
        <v>3184.053844162568</v>
      </c>
      <c r="F17" s="38">
        <f>IF(LEFT(VLOOKUP($B17,'Indicator chart'!$D$1:$J$36,6,FALSE),1)=" "," ",VLOOKUP($B17,'Indicator chart'!$D$1:$J$36,6,FALSE))</f>
        <v>2646.207680032799</v>
      </c>
      <c r="G17" s="38">
        <f>IF(LEFT(VLOOKUP($B17,'Indicator chart'!$D$1:$J$36,7,FALSE),1)=" "," ",VLOOKUP($B17,'Indicator chart'!$D$1:$J$36,7,FALSE))</f>
        <v>3799.0663827726257</v>
      </c>
      <c r="H17" s="50">
        <f t="shared" si="0"/>
        <v>3</v>
      </c>
      <c r="I17" s="38">
        <v>417.9031066894531</v>
      </c>
      <c r="J17" s="38">
        <v>1508.4395751953125</v>
      </c>
      <c r="K17" s="38">
        <v>1880.9681396484375</v>
      </c>
      <c r="L17" s="38">
        <v>2196.146728515625</v>
      </c>
      <c r="M17" s="38">
        <v>3547.671875</v>
      </c>
      <c r="N17" s="80">
        <f>VLOOKUP('Hide - Control'!B$3,'All practice data'!A:CA,A17+29,FALSE)</f>
        <v>1967.4534894946491</v>
      </c>
      <c r="O17" s="80">
        <f>VLOOKUP('Hide - Control'!C$3,'All practice data'!A:CA,A17+29,FALSE)</f>
        <v>1812.1669120472948</v>
      </c>
      <c r="P17" s="38">
        <f>VLOOKUP('Hide - Control'!$B$4,'All practice data'!B:BC,A17+2,FALSE)</f>
        <v>14062</v>
      </c>
      <c r="Q17" s="38">
        <f>VLOOKUP('Hide - Control'!$B$4,'All practice data'!B:BC,3,FALSE)</f>
        <v>714731</v>
      </c>
      <c r="R17" s="38">
        <f>100000*(P17*(1-1/(9*P17)-1.96/(3*SQRT(P17)))^3)/Q17</f>
        <v>1935.06721239964</v>
      </c>
      <c r="S17" s="38">
        <f>100000*((P17+1)*(1-1/(9*(P17+1))+1.96/(3*SQRT(P17+1)))^3)/Q17</f>
        <v>2000.2458842989056</v>
      </c>
      <c r="T17" s="53">
        <f t="shared" si="19"/>
        <v>3547.671875</v>
      </c>
      <c r="U17" s="51">
        <f t="shared" si="20"/>
        <v>417.9031066894531</v>
      </c>
      <c r="V17" s="7"/>
      <c r="W17" s="27">
        <f t="shared" si="2"/>
        <v>214.264404296875</v>
      </c>
      <c r="X17" s="27">
        <f t="shared" si="3"/>
        <v>3547.671875</v>
      </c>
      <c r="Y17" s="27">
        <f t="shared" si="4"/>
        <v>214.264404296875</v>
      </c>
      <c r="Z17" s="27">
        <f t="shared" si="5"/>
        <v>3547.671875</v>
      </c>
      <c r="AA17" s="32">
        <f t="shared" si="6"/>
        <v>0.06109025199659256</v>
      </c>
      <c r="AB17" s="33">
        <f t="shared" si="7"/>
        <v>0.3882439162546946</v>
      </c>
      <c r="AC17" s="33">
        <v>0.5</v>
      </c>
      <c r="AD17" s="33">
        <f t="shared" si="8"/>
        <v>0.5945514737208848</v>
      </c>
      <c r="AE17" s="33">
        <f t="shared" si="9"/>
        <v>1</v>
      </c>
      <c r="AF17" s="33">
        <f t="shared" si="10"/>
        <v>-999</v>
      </c>
      <c r="AG17" s="33">
        <f t="shared" si="11"/>
        <v>-999</v>
      </c>
      <c r="AH17" s="33">
        <f t="shared" si="12"/>
        <v>0.8909170168864076</v>
      </c>
      <c r="AI17" s="34">
        <f t="shared" si="13"/>
        <v>0.479360090776232</v>
      </c>
      <c r="AJ17" s="4">
        <v>13.462005546258133</v>
      </c>
      <c r="AK17" s="32">
        <f t="shared" si="14"/>
        <v>-999</v>
      </c>
      <c r="AL17" s="34">
        <f t="shared" si="15"/>
        <v>0.8909170168864076</v>
      </c>
      <c r="AY17" s="103" t="s">
        <v>103</v>
      </c>
      <c r="AZ17" s="103" t="s">
        <v>104</v>
      </c>
      <c r="BA17" s="103" t="s">
        <v>376</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123</v>
      </c>
      <c r="E18" s="80">
        <f>IF(LEFT(VLOOKUP($B18,'Indicator chart'!$D$1:$J$36,5,FALSE),1)=" "," ",VLOOKUP($B18,'Indicator chart'!$D$1:$J$36,5,FALSE))</f>
        <v>1.5727230829999999</v>
      </c>
      <c r="F18" s="81">
        <f>IF(LEFT(VLOOKUP($B18,'Indicator chart'!$D$1:$J$36,6,FALSE),1)=" "," ",VLOOKUP($B18,'Indicator chart'!$D$1:$J$36,6,FALSE))</f>
        <v>1.307086639</v>
      </c>
      <c r="G18" s="38">
        <f>IF(LEFT(VLOOKUP($B18,'Indicator chart'!$D$1:$J$36,7,FALSE),1)=" "," ",VLOOKUP($B18,'Indicator chart'!$D$1:$J$36,7,FALSE))</f>
        <v>1.876481323</v>
      </c>
      <c r="H18" s="50">
        <f>IF(LEFT(F18,1)=" ",4,IF(AND(ABS(N18-E18)&gt;SQRT((E18-G18)^2+(N18-R18)^2),E18&lt;N18),1,IF(AND(ABS(N18-E18)&gt;SQRT((E18-F18)^2+(N18-S18)^2),E18&gt;N18),3,2)))</f>
        <v>3</v>
      </c>
      <c r="I18" s="38">
        <v>0.2566588222980499</v>
      </c>
      <c r="J18" s="38"/>
      <c r="K18" s="38">
        <v>1</v>
      </c>
      <c r="L18" s="38"/>
      <c r="M18" s="38">
        <v>1.7651208639144897</v>
      </c>
      <c r="N18" s="80">
        <v>1</v>
      </c>
      <c r="O18" s="80">
        <f>VLOOKUP('Hide - Control'!C$3,'All practice data'!A:CA,A18+29,FALSE)</f>
        <v>1</v>
      </c>
      <c r="P18" s="38">
        <f>VLOOKUP('Hide - Control'!$B$4,'All practice data'!B:BC,A18+2,FALSE)</f>
        <v>14062</v>
      </c>
      <c r="Q18" s="38">
        <f>VLOOKUP('Hide - Control'!$B$4,'All practice data'!B:BC,14,FALSE)</f>
        <v>14062</v>
      </c>
      <c r="R18" s="81">
        <v>1</v>
      </c>
      <c r="S18" s="38">
        <v>1</v>
      </c>
      <c r="T18" s="53">
        <f t="shared" si="19"/>
        <v>1.7651208639144897</v>
      </c>
      <c r="U18" s="51">
        <f t="shared" si="20"/>
        <v>0.2566588222980499</v>
      </c>
      <c r="V18" s="7"/>
      <c r="W18" s="27">
        <f>IF((K18-I18)&gt;(M18-K18),I18,(K18-(M18-K18)))</f>
        <v>0.23487913608551025</v>
      </c>
      <c r="X18" s="27">
        <f t="shared" si="3"/>
        <v>1.7651208639144897</v>
      </c>
      <c r="Y18" s="27">
        <f t="shared" si="4"/>
        <v>0.23487913608551025</v>
      </c>
      <c r="Z18" s="27">
        <f t="shared" si="5"/>
        <v>1.7651208639144897</v>
      </c>
      <c r="AA18" s="32" t="s">
        <v>376</v>
      </c>
      <c r="AB18" s="33" t="s">
        <v>376</v>
      </c>
      <c r="AC18" s="33">
        <v>0.5</v>
      </c>
      <c r="AD18" s="33" t="s">
        <v>376</v>
      </c>
      <c r="AE18" s="33" t="s">
        <v>376</v>
      </c>
      <c r="AF18" s="33">
        <f t="shared" si="10"/>
        <v>-999</v>
      </c>
      <c r="AG18" s="33">
        <f t="shared" si="11"/>
        <v>-999</v>
      </c>
      <c r="AH18" s="33">
        <f t="shared" si="12"/>
        <v>0.87426968078602</v>
      </c>
      <c r="AI18" s="34">
        <v>0.5</v>
      </c>
      <c r="AJ18" s="4">
        <v>14.538000971640056</v>
      </c>
      <c r="AK18" s="32">
        <f t="shared" si="14"/>
        <v>-999</v>
      </c>
      <c r="AL18" s="34">
        <f t="shared" si="15"/>
        <v>0.87426968078602</v>
      </c>
      <c r="AY18" s="103" t="s">
        <v>105</v>
      </c>
      <c r="AZ18" s="103" t="s">
        <v>106</v>
      </c>
      <c r="BA18" s="103" t="s">
        <v>376</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10</v>
      </c>
      <c r="E19" s="38">
        <f>IF(LEFT(VLOOKUP($B19,'Indicator chart'!$D$1:$J$36,5,FALSE),1)=" "," ",VLOOKUP($B19,'Indicator chart'!$D$1:$J$36,5,FALSE))</f>
        <v>0.08130081300813008</v>
      </c>
      <c r="F19" s="38">
        <f>IF(LEFT(VLOOKUP($B19,'Indicator chart'!$D$1:$J$36,6,FALSE),1)=" "," ",VLOOKUP($B19,'Indicator chart'!$D$1:$J$36,6,FALSE))</f>
        <v>0.04475838884502018</v>
      </c>
      <c r="G19" s="38">
        <f>IF(LEFT(VLOOKUP($B19,'Indicator chart'!$D$1:$J$36,7,FALSE),1)=" "," ",VLOOKUP($B19,'Indicator chart'!$D$1:$J$36,7,FALSE))</f>
        <v>0.14320518146629724</v>
      </c>
      <c r="H19" s="50">
        <f t="shared" si="0"/>
        <v>2</v>
      </c>
      <c r="I19" s="38">
        <v>0.02070442959666252</v>
      </c>
      <c r="J19" s="38">
        <v>0.10133533179759979</v>
      </c>
      <c r="K19" s="38">
        <v>0.12543706595897675</v>
      </c>
      <c r="L19" s="38">
        <v>0.15879303216934204</v>
      </c>
      <c r="M19" s="38">
        <v>1</v>
      </c>
      <c r="N19" s="80">
        <f>VLOOKUP('Hide - Control'!B$3,'All practice data'!A:CA,A19+29,FALSE)</f>
        <v>0.12139098279049922</v>
      </c>
      <c r="O19" s="80">
        <f>VLOOKUP('Hide - Control'!C$3,'All practice data'!A:CA,A19+29,FALSE)</f>
        <v>0.10919341638628717</v>
      </c>
      <c r="P19" s="38">
        <f>VLOOKUP('Hide - Control'!$B$4,'All practice data'!B:BC,A19+2,FALSE)</f>
        <v>1707</v>
      </c>
      <c r="Q19" s="38">
        <f>VLOOKUP('Hide - Control'!$B$4,'All practice data'!B:BC,15,FALSE)</f>
        <v>14062</v>
      </c>
      <c r="R19" s="38">
        <f>+((2*P19+1.96^2-1.96*SQRT(1.96^2+4*P19*(1-P19/Q19)))/(2*(Q19+1.96^2)))</f>
        <v>0.11609624926738378</v>
      </c>
      <c r="S19" s="38">
        <f>+((2*P19+1.96^2+1.96*SQRT(1.96^2+4*P19*(1-P19/Q19)))/(2*(Q19+1.96^2)))</f>
        <v>0.12689252433006667</v>
      </c>
      <c r="T19" s="53">
        <f t="shared" si="19"/>
        <v>1</v>
      </c>
      <c r="U19" s="51">
        <f t="shared" si="20"/>
        <v>0.02070442959666252</v>
      </c>
      <c r="V19" s="7"/>
      <c r="W19" s="27">
        <f t="shared" si="2"/>
        <v>-0.7491258680820465</v>
      </c>
      <c r="X19" s="27">
        <f t="shared" si="3"/>
        <v>1</v>
      </c>
      <c r="Y19" s="27">
        <f t="shared" si="4"/>
        <v>-0.7491258680820465</v>
      </c>
      <c r="Z19" s="27">
        <f t="shared" si="5"/>
        <v>1</v>
      </c>
      <c r="AA19" s="32">
        <f t="shared" si="6"/>
        <v>0.44012287035857756</v>
      </c>
      <c r="AB19" s="33">
        <f t="shared" si="7"/>
        <v>0.4862206976632248</v>
      </c>
      <c r="AC19" s="33">
        <v>0.5</v>
      </c>
      <c r="AD19" s="33">
        <f t="shared" si="8"/>
        <v>0.5190700776994058</v>
      </c>
      <c r="AE19" s="33">
        <f t="shared" si="9"/>
        <v>1</v>
      </c>
      <c r="AF19" s="33">
        <f t="shared" si="10"/>
        <v>-999</v>
      </c>
      <c r="AG19" s="33">
        <f t="shared" si="11"/>
        <v>0.4747666798849399</v>
      </c>
      <c r="AH19" s="33">
        <f t="shared" si="12"/>
        <v>-999</v>
      </c>
      <c r="AI19" s="34">
        <f t="shared" si="13"/>
        <v>0.4907132757744295</v>
      </c>
      <c r="AJ19" s="4">
        <v>15.61399639702198</v>
      </c>
      <c r="AK19" s="32">
        <f t="shared" si="14"/>
        <v>-999</v>
      </c>
      <c r="AL19" s="34">
        <f t="shared" si="15"/>
        <v>-999</v>
      </c>
      <c r="AY19" s="103" t="s">
        <v>270</v>
      </c>
      <c r="AZ19" s="103" t="s">
        <v>495</v>
      </c>
      <c r="BA19" s="103" t="s">
        <v>376</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19</v>
      </c>
      <c r="E20" s="38">
        <f>IF(LEFT(VLOOKUP($B20,'Indicator chart'!$D$1:$J$36,5,FALSE),1)=" "," ",VLOOKUP($B20,'Indicator chart'!$D$1:$J$36,5,FALSE))</f>
        <v>0.5263157894736842</v>
      </c>
      <c r="F20" s="38">
        <f>IF(LEFT(VLOOKUP($B20,'Indicator chart'!$D$1:$J$36,6,FALSE),1)=" "," ",VLOOKUP($B20,'Indicator chart'!$D$1:$J$36,6,FALSE))</f>
        <v>0.3170748251182512</v>
      </c>
      <c r="G20" s="38">
        <f>IF(LEFT(VLOOKUP($B20,'Indicator chart'!$D$1:$J$36,7,FALSE),1)=" "," ",VLOOKUP($B20,'Indicator chart'!$D$1:$J$36,7,FALSE))</f>
        <v>0.7267049451255146</v>
      </c>
      <c r="H20" s="50">
        <f t="shared" si="0"/>
        <v>2</v>
      </c>
      <c r="I20" s="38">
        <v>0.09238772839307785</v>
      </c>
      <c r="J20" s="38">
        <v>0.3825174868106842</v>
      </c>
      <c r="K20" s="38">
        <v>0.4545454680919647</v>
      </c>
      <c r="L20" s="38">
        <v>0.5187878608703613</v>
      </c>
      <c r="M20" s="38">
        <v>0.7142857313156128</v>
      </c>
      <c r="N20" s="80">
        <f>VLOOKUP('Hide - Control'!B$3,'All practice data'!A:CA,A20+29,FALSE)</f>
        <v>0.4550786456944815</v>
      </c>
      <c r="O20" s="80">
        <f>VLOOKUP('Hide - Control'!C$3,'All practice data'!A:CA,A20+29,FALSE)</f>
        <v>0.4534552930810221</v>
      </c>
      <c r="P20" s="38">
        <f>VLOOKUP('Hide - Control'!$B$4,'All practice data'!B:BC,A20+1,FALSE)</f>
        <v>1707</v>
      </c>
      <c r="Q20" s="38">
        <f>VLOOKUP('Hide - Control'!$B$4,'All practice data'!B:BC,A20+2,FALSE)</f>
        <v>3751</v>
      </c>
      <c r="R20" s="38">
        <f>+((2*P20+1.96^2-1.96*SQRT(1.96^2+4*P20*(1-P20/Q20)))/(2*(Q20+1.96^2)))</f>
        <v>0.4391962028769285</v>
      </c>
      <c r="S20" s="38">
        <f>+((2*P20+1.96^2+1.96*SQRT(1.96^2+4*P20*(1-P20/Q20)))/(2*(Q20+1.96^2)))</f>
        <v>0.4710530071030611</v>
      </c>
      <c r="T20" s="53">
        <f t="shared" si="19"/>
        <v>0.7142857313156128</v>
      </c>
      <c r="U20" s="51">
        <f t="shared" si="20"/>
        <v>0.09238772839307785</v>
      </c>
      <c r="V20" s="7"/>
      <c r="W20" s="27">
        <f t="shared" si="2"/>
        <v>0.09238772839307785</v>
      </c>
      <c r="X20" s="27">
        <f t="shared" si="3"/>
        <v>0.8167032077908516</v>
      </c>
      <c r="Y20" s="27">
        <f t="shared" si="4"/>
        <v>0.09238772839307785</v>
      </c>
      <c r="Z20" s="27">
        <f t="shared" si="5"/>
        <v>0.8167032077908516</v>
      </c>
      <c r="AA20" s="32">
        <f t="shared" si="6"/>
        <v>0</v>
      </c>
      <c r="AB20" s="33">
        <f t="shared" si="7"/>
        <v>0.40055716972779926</v>
      </c>
      <c r="AC20" s="33">
        <v>0.5</v>
      </c>
      <c r="AD20" s="33">
        <f t="shared" si="8"/>
        <v>0.5886939387679667</v>
      </c>
      <c r="AE20" s="33">
        <f t="shared" si="9"/>
        <v>0.8586010110395639</v>
      </c>
      <c r="AF20" s="33">
        <f t="shared" si="10"/>
        <v>-999</v>
      </c>
      <c r="AG20" s="33">
        <f t="shared" si="11"/>
        <v>0.5990871014400967</v>
      </c>
      <c r="AH20" s="33">
        <f t="shared" si="12"/>
        <v>-999</v>
      </c>
      <c r="AI20" s="34">
        <f t="shared" si="13"/>
        <v>0.4984948892548189</v>
      </c>
      <c r="AJ20" s="4">
        <v>16.689991822403904</v>
      </c>
      <c r="AK20" s="32">
        <f t="shared" si="14"/>
        <v>-999</v>
      </c>
      <c r="AL20" s="34">
        <f t="shared" si="15"/>
        <v>-999</v>
      </c>
      <c r="AY20" s="103" t="s">
        <v>211</v>
      </c>
      <c r="AZ20" s="103" t="s">
        <v>476</v>
      </c>
      <c r="BA20" s="103" t="s">
        <v>376</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18</v>
      </c>
      <c r="E21" s="38">
        <f>IF(LEFT(VLOOKUP($B21,'Indicator chart'!$D$1:$J$36,5,FALSE),1)=" "," ",VLOOKUP($B21,'Indicator chart'!$D$1:$J$36,5,FALSE))</f>
        <v>465.9590991457417</v>
      </c>
      <c r="F21" s="38">
        <f>IF(LEFT(VLOOKUP($B21,'Indicator chart'!$D$1:$J$36,6,FALSE),1)=" "," ",VLOOKUP($B21,'Indicator chart'!$D$1:$J$36,6,FALSE))</f>
        <v>276.0131241957208</v>
      </c>
      <c r="G21" s="38">
        <f>IF(LEFT(VLOOKUP($B21,'Indicator chart'!$D$1:$J$36,7,FALSE),1)=" "," ",VLOOKUP($B21,'Indicator chart'!$D$1:$J$36,7,FALSE))</f>
        <v>736.4598856002985</v>
      </c>
      <c r="H21" s="50">
        <f t="shared" si="0"/>
        <v>2</v>
      </c>
      <c r="I21" s="38">
        <v>61.46357345581055</v>
      </c>
      <c r="J21" s="38">
        <v>292.2815246582031</v>
      </c>
      <c r="K21" s="38">
        <v>369.9995422363281</v>
      </c>
      <c r="L21" s="38">
        <v>474.4634704589844</v>
      </c>
      <c r="M21" s="38">
        <v>721.184814453125</v>
      </c>
      <c r="N21" s="80">
        <f>VLOOKUP('Hide - Control'!B$3,'All practice data'!A:CA,A21+29,FALSE)</f>
        <v>390.07682610660515</v>
      </c>
      <c r="O21" s="80">
        <f>VLOOKUP('Hide - Control'!C$3,'All practice data'!A:CA,A21+29,FALSE)</f>
        <v>377.7293140102421</v>
      </c>
      <c r="P21" s="38">
        <f>VLOOKUP('Hide - Control'!$B$4,'All practice data'!B:BC,A21+2,FALSE)</f>
        <v>2788</v>
      </c>
      <c r="Q21" s="38">
        <f>VLOOKUP('Hide - Control'!$B$4,'All practice data'!B:BC,3,FALSE)</f>
        <v>714731</v>
      </c>
      <c r="R21" s="38">
        <f aca="true" t="shared" si="21" ref="R21:R27">100000*(P21*(1-1/(9*P21)-1.96/(3*SQRT(P21)))^3)/Q21</f>
        <v>375.73005226358543</v>
      </c>
      <c r="S21" s="38">
        <f aca="true" t="shared" si="22" ref="S21:S27">100000*((P21+1)*(1-1/(9*(P21+1))+1.96/(3*SQRT(P21+1)))^3)/Q21</f>
        <v>404.83114956709517</v>
      </c>
      <c r="T21" s="53">
        <f t="shared" si="19"/>
        <v>721.184814453125</v>
      </c>
      <c r="U21" s="51">
        <f t="shared" si="20"/>
        <v>61.46357345581055</v>
      </c>
      <c r="V21" s="7"/>
      <c r="W21" s="27">
        <f t="shared" si="2"/>
        <v>18.81427001953125</v>
      </c>
      <c r="X21" s="27">
        <f t="shared" si="3"/>
        <v>721.184814453125</v>
      </c>
      <c r="Y21" s="27">
        <f t="shared" si="4"/>
        <v>18.81427001953125</v>
      </c>
      <c r="Z21" s="27">
        <f t="shared" si="5"/>
        <v>721.184814453125</v>
      </c>
      <c r="AA21" s="32">
        <f t="shared" si="6"/>
        <v>0.060721941963942386</v>
      </c>
      <c r="AB21" s="33">
        <f t="shared" si="7"/>
        <v>0.3893489794040289</v>
      </c>
      <c r="AC21" s="33">
        <v>0.5</v>
      </c>
      <c r="AD21" s="33">
        <f t="shared" si="8"/>
        <v>0.6487305084909251</v>
      </c>
      <c r="AE21" s="33">
        <f t="shared" si="9"/>
        <v>1</v>
      </c>
      <c r="AF21" s="33">
        <f t="shared" si="10"/>
        <v>-999</v>
      </c>
      <c r="AG21" s="33">
        <f t="shared" si="11"/>
        <v>0.6366224105921147</v>
      </c>
      <c r="AH21" s="33">
        <f t="shared" si="12"/>
        <v>-999</v>
      </c>
      <c r="AI21" s="34">
        <f t="shared" si="13"/>
        <v>0.5110052618737698</v>
      </c>
      <c r="AJ21" s="4">
        <v>17.765987247785823</v>
      </c>
      <c r="AK21" s="32">
        <f t="shared" si="14"/>
        <v>-999</v>
      </c>
      <c r="AL21" s="34">
        <f t="shared" si="15"/>
        <v>-999</v>
      </c>
      <c r="AY21" s="103" t="s">
        <v>123</v>
      </c>
      <c r="AZ21" s="103" t="s">
        <v>450</v>
      </c>
      <c r="BA21" s="103" t="s">
        <v>376</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14</v>
      </c>
      <c r="E22" s="38">
        <f>IF(LEFT(VLOOKUP($B22,'Indicator chart'!$D$1:$J$36,5,FALSE),1)=" "," ",VLOOKUP($B22,'Indicator chart'!$D$1:$J$36,5,FALSE))</f>
        <v>362.4126326689102</v>
      </c>
      <c r="F22" s="38">
        <f>IF(LEFT(VLOOKUP($B22,'Indicator chart'!$D$1:$J$36,6,FALSE),1)=" "," ",VLOOKUP($B22,'Indicator chart'!$D$1:$J$36,6,FALSE))</f>
        <v>197.9663642439607</v>
      </c>
      <c r="G22" s="38">
        <f>IF(LEFT(VLOOKUP($B22,'Indicator chart'!$D$1:$J$36,7,FALSE),1)=" "," ",VLOOKUP($B22,'Indicator chart'!$D$1:$J$36,7,FALSE))</f>
        <v>608.1073229982592</v>
      </c>
      <c r="H22" s="50">
        <f t="shared" si="0"/>
        <v>2</v>
      </c>
      <c r="I22" s="38">
        <v>18.07059669494629</v>
      </c>
      <c r="J22" s="38">
        <v>194.2055206298828</v>
      </c>
      <c r="K22" s="38">
        <v>272.3704528808594</v>
      </c>
      <c r="L22" s="38">
        <v>355.0411071777344</v>
      </c>
      <c r="M22" s="38">
        <v>682.2445678710938</v>
      </c>
      <c r="N22" s="80">
        <f>VLOOKUP('Hide - Control'!B$3,'All practice data'!A:CA,A22+29,FALSE)</f>
        <v>296.4751773744248</v>
      </c>
      <c r="O22" s="80">
        <f>VLOOKUP('Hide - Control'!C$3,'All practice data'!A:CA,A22+29,FALSE)</f>
        <v>282.45290788403287</v>
      </c>
      <c r="P22" s="38">
        <f>VLOOKUP('Hide - Control'!$B$4,'All practice data'!B:BC,A22+2,FALSE)</f>
        <v>2119</v>
      </c>
      <c r="Q22" s="38">
        <f>VLOOKUP('Hide - Control'!$B$4,'All practice data'!B:BC,3,FALSE)</f>
        <v>714731</v>
      </c>
      <c r="R22" s="38">
        <f t="shared" si="21"/>
        <v>283.984696821214</v>
      </c>
      <c r="S22" s="38">
        <f t="shared" si="22"/>
        <v>309.373585979149</v>
      </c>
      <c r="T22" s="53">
        <f t="shared" si="19"/>
        <v>682.2445678710938</v>
      </c>
      <c r="U22" s="51">
        <f t="shared" si="20"/>
        <v>18.07059669494629</v>
      </c>
      <c r="V22" s="7"/>
      <c r="W22" s="27">
        <f t="shared" si="2"/>
        <v>-137.503662109375</v>
      </c>
      <c r="X22" s="27">
        <f t="shared" si="3"/>
        <v>682.2445678710938</v>
      </c>
      <c r="Y22" s="27">
        <f t="shared" si="4"/>
        <v>-137.503662109375</v>
      </c>
      <c r="Z22" s="27">
        <f t="shared" si="5"/>
        <v>682.2445678710938</v>
      </c>
      <c r="AA22" s="32">
        <f t="shared" si="6"/>
        <v>0.18978297618041576</v>
      </c>
      <c r="AB22" s="33">
        <f t="shared" si="7"/>
        <v>0.4046476352222939</v>
      </c>
      <c r="AC22" s="33">
        <v>0.5</v>
      </c>
      <c r="AD22" s="33">
        <f t="shared" si="8"/>
        <v>0.6008488353782048</v>
      </c>
      <c r="AE22" s="33">
        <f t="shared" si="9"/>
        <v>1</v>
      </c>
      <c r="AF22" s="33">
        <f t="shared" si="10"/>
        <v>-999</v>
      </c>
      <c r="AG22" s="33">
        <f t="shared" si="11"/>
        <v>0.6098412616154062</v>
      </c>
      <c r="AH22" s="33">
        <f t="shared" si="12"/>
        <v>-999</v>
      </c>
      <c r="AI22" s="34">
        <f t="shared" si="13"/>
        <v>0.5122994532155485</v>
      </c>
      <c r="AJ22" s="4">
        <v>18.841982673167745</v>
      </c>
      <c r="AK22" s="32">
        <f t="shared" si="14"/>
        <v>-999</v>
      </c>
      <c r="AL22" s="34">
        <f t="shared" si="15"/>
        <v>-999</v>
      </c>
      <c r="AY22" s="103" t="s">
        <v>149</v>
      </c>
      <c r="AZ22" s="103" t="s">
        <v>460</v>
      </c>
      <c r="BA22" s="103" t="s">
        <v>376</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6</v>
      </c>
      <c r="E23" s="38">
        <f>IF(LEFT(VLOOKUP($B23,'Indicator chart'!$D$1:$J$36,5,FALSE),1)=" "," ",VLOOKUP($B23,'Indicator chart'!$D$1:$J$36,5,FALSE))</f>
        <v>155.31969971524722</v>
      </c>
      <c r="F23" s="38">
        <f>IF(LEFT(VLOOKUP($B23,'Indicator chart'!$D$1:$J$36,6,FALSE),1)=" "," ",VLOOKUP($B23,'Indicator chart'!$D$1:$J$36,6,FALSE))</f>
        <v>56.716042989481736</v>
      </c>
      <c r="G23" s="38">
        <f>IF(LEFT(VLOOKUP($B23,'Indicator chart'!$D$1:$J$36,7,FALSE),1)=" "," ",VLOOKUP($B23,'Indicator chart'!$D$1:$J$36,7,FALSE))</f>
        <v>338.0765019072679</v>
      </c>
      <c r="H23" s="50">
        <f t="shared" si="0"/>
        <v>2</v>
      </c>
      <c r="I23" s="38">
        <v>3.248678207397461</v>
      </c>
      <c r="J23" s="38">
        <v>46.82014083862305</v>
      </c>
      <c r="K23" s="38">
        <v>81.5956039428711</v>
      </c>
      <c r="L23" s="38">
        <v>105.89087677001953</v>
      </c>
      <c r="M23" s="38">
        <v>287.931884765625</v>
      </c>
      <c r="N23" s="80">
        <f>VLOOKUP('Hide - Control'!B$3,'All practice data'!A:CA,A23+29,FALSE)</f>
        <v>84.92705647299474</v>
      </c>
      <c r="O23" s="80">
        <f>VLOOKUP('Hide - Control'!C$3,'All practice data'!A:CA,A23+29,FALSE)</f>
        <v>70.46674929228394</v>
      </c>
      <c r="P23" s="38">
        <f>VLOOKUP('Hide - Control'!$B$4,'All practice data'!B:BC,A23+2,FALSE)</f>
        <v>607</v>
      </c>
      <c r="Q23" s="38">
        <f>VLOOKUP('Hide - Control'!$B$4,'All practice data'!B:BC,3,FALSE)</f>
        <v>714731</v>
      </c>
      <c r="R23" s="38">
        <f t="shared" si="21"/>
        <v>78.30416470190626</v>
      </c>
      <c r="S23" s="38">
        <f t="shared" si="22"/>
        <v>91.96042705925964</v>
      </c>
      <c r="T23" s="53">
        <f t="shared" si="19"/>
        <v>287.931884765625</v>
      </c>
      <c r="U23" s="51">
        <f t="shared" si="20"/>
        <v>3.248678207397461</v>
      </c>
      <c r="V23" s="7"/>
      <c r="W23" s="27">
        <f t="shared" si="2"/>
        <v>-124.74067687988281</v>
      </c>
      <c r="X23" s="27">
        <f t="shared" si="3"/>
        <v>287.931884765625</v>
      </c>
      <c r="Y23" s="27">
        <f t="shared" si="4"/>
        <v>-124.74067687988281</v>
      </c>
      <c r="Z23" s="27">
        <f t="shared" si="5"/>
        <v>287.931884765625</v>
      </c>
      <c r="AA23" s="32">
        <f t="shared" si="6"/>
        <v>0.3101474800673206</v>
      </c>
      <c r="AB23" s="33">
        <f t="shared" si="7"/>
        <v>0.4157310993355533</v>
      </c>
      <c r="AC23" s="33">
        <v>0.5</v>
      </c>
      <c r="AD23" s="33">
        <f t="shared" si="8"/>
        <v>0.5588730026786187</v>
      </c>
      <c r="AE23" s="33">
        <f t="shared" si="9"/>
        <v>1</v>
      </c>
      <c r="AF23" s="33">
        <f t="shared" si="10"/>
        <v>-999</v>
      </c>
      <c r="AG23" s="33">
        <f t="shared" si="11"/>
        <v>0.6786503456357883</v>
      </c>
      <c r="AH23" s="33">
        <f t="shared" si="12"/>
        <v>-999</v>
      </c>
      <c r="AI23" s="34">
        <f t="shared" si="13"/>
        <v>0.473032239879939</v>
      </c>
      <c r="AJ23" s="4">
        <v>19.917978098549675</v>
      </c>
      <c r="AK23" s="32">
        <f t="shared" si="14"/>
        <v>-999</v>
      </c>
      <c r="AL23" s="34">
        <f t="shared" si="15"/>
        <v>-999</v>
      </c>
      <c r="AY23" s="103" t="s">
        <v>264</v>
      </c>
      <c r="AZ23" s="103" t="s">
        <v>265</v>
      </c>
      <c r="BA23" s="103" t="s">
        <v>376</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24</v>
      </c>
      <c r="E24" s="38">
        <f>IF(LEFT(VLOOKUP($B24,'Indicator chart'!$D$1:$J$36,5,FALSE),1)=" "," ",VLOOKUP($B24,'Indicator chart'!$D$1:$J$36,5,FALSE))</f>
        <v>621.2787988609889</v>
      </c>
      <c r="F24" s="38">
        <f>IF(LEFT(VLOOKUP($B24,'Indicator chart'!$D$1:$J$36,6,FALSE),1)=" "," ",VLOOKUP($B24,'Indicator chart'!$D$1:$J$36,6,FALSE))</f>
        <v>397.94433846128896</v>
      </c>
      <c r="G24" s="38">
        <f>IF(LEFT(VLOOKUP($B24,'Indicator chart'!$D$1:$J$36,7,FALSE),1)=" "," ",VLOOKUP($B24,'Indicator chart'!$D$1:$J$36,7,FALSE))</f>
        <v>924.4588360681175</v>
      </c>
      <c r="H24" s="50">
        <f t="shared" si="0"/>
        <v>3</v>
      </c>
      <c r="I24" s="38">
        <v>27.3076171875</v>
      </c>
      <c r="J24" s="38">
        <v>192.1646728515625</v>
      </c>
      <c r="K24" s="38">
        <v>272.4698486328125</v>
      </c>
      <c r="L24" s="38">
        <v>418.35919189453125</v>
      </c>
      <c r="M24" s="38">
        <v>801.6373901367188</v>
      </c>
      <c r="N24" s="80">
        <f>VLOOKUP('Hide - Control'!B$3,'All practice data'!A:CA,A24+29,FALSE)</f>
        <v>313.82436189279605</v>
      </c>
      <c r="O24" s="80">
        <f>VLOOKUP('Hide - Control'!C$3,'All practice data'!A:CA,A24+29,FALSE)</f>
        <v>323.23046266988894</v>
      </c>
      <c r="P24" s="38">
        <f>VLOOKUP('Hide - Control'!$B$4,'All practice data'!B:BC,A24+2,FALSE)</f>
        <v>2243</v>
      </c>
      <c r="Q24" s="38">
        <f>VLOOKUP('Hide - Control'!$B$4,'All practice data'!B:BC,3,FALSE)</f>
        <v>714731</v>
      </c>
      <c r="R24" s="38">
        <f t="shared" si="21"/>
        <v>300.9697679455168</v>
      </c>
      <c r="S24" s="38">
        <f t="shared" si="22"/>
        <v>327.08680117438917</v>
      </c>
      <c r="T24" s="53">
        <f t="shared" si="19"/>
        <v>801.6373901367188</v>
      </c>
      <c r="U24" s="51">
        <f t="shared" si="20"/>
        <v>27.3076171875</v>
      </c>
      <c r="V24" s="7"/>
      <c r="W24" s="27">
        <f t="shared" si="2"/>
        <v>-256.69769287109375</v>
      </c>
      <c r="X24" s="27">
        <f t="shared" si="3"/>
        <v>801.6373901367188</v>
      </c>
      <c r="Y24" s="27">
        <f t="shared" si="4"/>
        <v>-256.69769287109375</v>
      </c>
      <c r="Z24" s="27">
        <f t="shared" si="5"/>
        <v>801.6373901367188</v>
      </c>
      <c r="AA24" s="32">
        <f t="shared" si="6"/>
        <v>0.268351030423601</v>
      </c>
      <c r="AB24" s="33">
        <f t="shared" si="7"/>
        <v>0.42412121919551143</v>
      </c>
      <c r="AC24" s="33">
        <v>0.5</v>
      </c>
      <c r="AD24" s="33">
        <f t="shared" si="8"/>
        <v>0.6378479704623397</v>
      </c>
      <c r="AE24" s="33">
        <f t="shared" si="9"/>
        <v>1</v>
      </c>
      <c r="AF24" s="33">
        <f t="shared" si="10"/>
        <v>-999</v>
      </c>
      <c r="AG24" s="33">
        <f t="shared" si="11"/>
        <v>-999</v>
      </c>
      <c r="AH24" s="33">
        <f t="shared" si="12"/>
        <v>0.8295827151801992</v>
      </c>
      <c r="AI24" s="34">
        <f t="shared" si="13"/>
        <v>0.5479627056232641</v>
      </c>
      <c r="AJ24" s="4">
        <v>20.99397352393159</v>
      </c>
      <c r="AK24" s="32">
        <f t="shared" si="14"/>
        <v>-999</v>
      </c>
      <c r="AL24" s="34">
        <f t="shared" si="15"/>
        <v>0.8295827151801992</v>
      </c>
      <c r="AY24" s="103" t="s">
        <v>65</v>
      </c>
      <c r="AZ24" s="103" t="s">
        <v>66</v>
      </c>
      <c r="BA24" s="103" t="s">
        <v>556</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19</v>
      </c>
      <c r="E25" s="38">
        <f>IF(LEFT(VLOOKUP($B25,'Indicator chart'!$D$1:$J$36,5,FALSE),1)=" "," ",VLOOKUP($B25,'Indicator chart'!$D$1:$J$36,5,FALSE))</f>
        <v>491.84571576494955</v>
      </c>
      <c r="F25" s="38">
        <f>IF(LEFT(VLOOKUP($B25,'Indicator chart'!$D$1:$J$36,6,FALSE),1)=" "," ",VLOOKUP($B25,'Indicator chart'!$D$1:$J$36,6,FALSE))</f>
        <v>295.9841743983453</v>
      </c>
      <c r="G25" s="38">
        <f>IF(LEFT(VLOOKUP($B25,'Indicator chart'!$D$1:$J$36,7,FALSE),1)=" "," ",VLOOKUP($B25,'Indicator chart'!$D$1:$J$36,7,FALSE))</f>
        <v>768.1220756528462</v>
      </c>
      <c r="H25" s="50">
        <f t="shared" si="0"/>
        <v>2</v>
      </c>
      <c r="I25" s="38">
        <v>322.0140380859375</v>
      </c>
      <c r="J25" s="38">
        <v>553.0765991210938</v>
      </c>
      <c r="K25" s="38">
        <v>673.382080078125</v>
      </c>
      <c r="L25" s="38">
        <v>774.8408203125</v>
      </c>
      <c r="M25" s="38">
        <v>1181.5252685546875</v>
      </c>
      <c r="N25" s="80">
        <f>VLOOKUP('Hide - Control'!B$3,'All practice data'!A:CA,A25+29,FALSE)</f>
        <v>679.6962773407058</v>
      </c>
      <c r="O25" s="80">
        <f>VLOOKUP('Hide - Control'!C$3,'All practice data'!A:CA,A25+29,FALSE)</f>
        <v>562.6134400960308</v>
      </c>
      <c r="P25" s="38">
        <f>VLOOKUP('Hide - Control'!$B$4,'All practice data'!B:BC,A25+2,FALSE)</f>
        <v>4858</v>
      </c>
      <c r="Q25" s="38">
        <f>VLOOKUP('Hide - Control'!$B$4,'All practice data'!B:BC,3,FALSE)</f>
        <v>714731</v>
      </c>
      <c r="R25" s="38">
        <f t="shared" si="21"/>
        <v>660.7155267770913</v>
      </c>
      <c r="S25" s="38">
        <f t="shared" si="22"/>
        <v>699.0839525476265</v>
      </c>
      <c r="T25" s="53">
        <f t="shared" si="19"/>
        <v>1181.5252685546875</v>
      </c>
      <c r="U25" s="51">
        <f t="shared" si="20"/>
        <v>322.0140380859375</v>
      </c>
      <c r="V25" s="7"/>
      <c r="W25" s="27">
        <f t="shared" si="2"/>
        <v>165.2388916015625</v>
      </c>
      <c r="X25" s="27">
        <f t="shared" si="3"/>
        <v>1181.5252685546875</v>
      </c>
      <c r="Y25" s="27">
        <f t="shared" si="4"/>
        <v>165.2388916015625</v>
      </c>
      <c r="Z25" s="27">
        <f t="shared" si="5"/>
        <v>1181.5252685546875</v>
      </c>
      <c r="AA25" s="32">
        <f t="shared" si="6"/>
        <v>0.15426276494465502</v>
      </c>
      <c r="AB25" s="33">
        <f t="shared" si="7"/>
        <v>0.38162246027767016</v>
      </c>
      <c r="AC25" s="33">
        <v>0.5</v>
      </c>
      <c r="AD25" s="33">
        <f t="shared" si="8"/>
        <v>0.5998328252106981</v>
      </c>
      <c r="AE25" s="33">
        <f t="shared" si="9"/>
        <v>1</v>
      </c>
      <c r="AF25" s="33">
        <f t="shared" si="10"/>
        <v>-999</v>
      </c>
      <c r="AG25" s="33">
        <f t="shared" si="11"/>
        <v>0.3213728251898543</v>
      </c>
      <c r="AH25" s="33">
        <f t="shared" si="12"/>
        <v>-999</v>
      </c>
      <c r="AI25" s="34">
        <f t="shared" si="13"/>
        <v>0.3910064697372173</v>
      </c>
      <c r="AJ25" s="4">
        <v>22.06996894931352</v>
      </c>
      <c r="AK25" s="32">
        <f t="shared" si="14"/>
        <v>-999</v>
      </c>
      <c r="AL25" s="34">
        <f t="shared" si="15"/>
        <v>-999</v>
      </c>
      <c r="AY25" s="103" t="s">
        <v>257</v>
      </c>
      <c r="AZ25" s="103" t="s">
        <v>258</v>
      </c>
      <c r="BA25" s="103" t="s">
        <v>556</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23</v>
      </c>
      <c r="E26" s="38">
        <f>IF(LEFT(VLOOKUP($B26,'Indicator chart'!$D$1:$J$36,5,FALSE),1)=" "," ",VLOOKUP($B26,'Indicator chart'!$D$1:$J$36,5,FALSE))</f>
        <v>595.392182241781</v>
      </c>
      <c r="F26" s="38">
        <f>IF(LEFT(VLOOKUP($B26,'Indicator chart'!$D$1:$J$36,6,FALSE),1)=" "," ",VLOOKUP($B26,'Indicator chart'!$D$1:$J$36,6,FALSE))</f>
        <v>377.30373404944584</v>
      </c>
      <c r="G26" s="38">
        <f>IF(LEFT(VLOOKUP($B26,'Indicator chart'!$D$1:$J$36,7,FALSE),1)=" "," ",VLOOKUP($B26,'Indicator chart'!$D$1:$J$36,7,FALSE))</f>
        <v>893.4257072709447</v>
      </c>
      <c r="H26" s="50">
        <f t="shared" si="0"/>
        <v>2</v>
      </c>
      <c r="I26" s="38">
        <v>112.1823501586914</v>
      </c>
      <c r="J26" s="38">
        <v>286.8919677734375</v>
      </c>
      <c r="K26" s="38">
        <v>371.5909729003906</v>
      </c>
      <c r="L26" s="38">
        <v>462.0370178222656</v>
      </c>
      <c r="M26" s="38">
        <v>912.3412475585938</v>
      </c>
      <c r="N26" s="80">
        <f>VLOOKUP('Hide - Control'!B$3,'All practice data'!A:CA,A26+29,FALSE)</f>
        <v>397.07246502530325</v>
      </c>
      <c r="O26" s="80">
        <f>VLOOKUP('Hide - Control'!C$3,'All practice data'!A:CA,A26+29,FALSE)</f>
        <v>405.57105879375996</v>
      </c>
      <c r="P26" s="38">
        <f>VLOOKUP('Hide - Control'!$B$4,'All practice data'!B:BC,A26+2,FALSE)</f>
        <v>2838</v>
      </c>
      <c r="Q26" s="38">
        <f>VLOOKUP('Hide - Control'!$B$4,'All practice data'!B:BC,3,FALSE)</f>
        <v>714731</v>
      </c>
      <c r="R26" s="38">
        <f t="shared" si="21"/>
        <v>382.59642500367465</v>
      </c>
      <c r="S26" s="38">
        <f t="shared" si="22"/>
        <v>411.9560318777668</v>
      </c>
      <c r="T26" s="53">
        <f t="shared" si="19"/>
        <v>912.3412475585938</v>
      </c>
      <c r="U26" s="51">
        <f t="shared" si="20"/>
        <v>112.1823501586914</v>
      </c>
      <c r="V26" s="7"/>
      <c r="W26" s="27">
        <f t="shared" si="2"/>
        <v>-169.1593017578125</v>
      </c>
      <c r="X26" s="27">
        <f t="shared" si="3"/>
        <v>912.3412475585938</v>
      </c>
      <c r="Y26" s="27">
        <f t="shared" si="4"/>
        <v>-169.1593017578125</v>
      </c>
      <c r="Z26" s="27">
        <f t="shared" si="5"/>
        <v>912.3412475585938</v>
      </c>
      <c r="AA26" s="32">
        <f t="shared" si="6"/>
        <v>0.26014009155550966</v>
      </c>
      <c r="AB26" s="33">
        <f t="shared" si="7"/>
        <v>0.42168380757597435</v>
      </c>
      <c r="AC26" s="33">
        <v>0.5</v>
      </c>
      <c r="AD26" s="33">
        <f t="shared" si="8"/>
        <v>0.5836301423786091</v>
      </c>
      <c r="AE26" s="33">
        <f t="shared" si="9"/>
        <v>1</v>
      </c>
      <c r="AF26" s="33">
        <f t="shared" si="10"/>
        <v>-999</v>
      </c>
      <c r="AG26" s="33">
        <f t="shared" si="11"/>
        <v>0.7069358258605143</v>
      </c>
      <c r="AH26" s="33">
        <f t="shared" si="12"/>
        <v>-999</v>
      </c>
      <c r="AI26" s="34">
        <f t="shared" si="13"/>
        <v>0.5314193884735864</v>
      </c>
      <c r="AJ26" s="4">
        <v>23.145964374695435</v>
      </c>
      <c r="AK26" s="32">
        <f t="shared" si="14"/>
        <v>-999</v>
      </c>
      <c r="AL26" s="34">
        <f t="shared" si="15"/>
        <v>-999</v>
      </c>
      <c r="AY26" s="103" t="s">
        <v>120</v>
      </c>
      <c r="AZ26" s="103" t="s">
        <v>449</v>
      </c>
      <c r="BA26" s="103" t="s">
        <v>376</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56</v>
      </c>
      <c r="E27" s="38">
        <f>IF(LEFT(VLOOKUP($B27,'Indicator chart'!$D$1:$J$36,5,FALSE),1)=" "," ",VLOOKUP($B27,'Indicator chart'!$D$1:$J$36,5,FALSE))</f>
        <v>1449.6505306756408</v>
      </c>
      <c r="F27" s="38">
        <f>IF(LEFT(VLOOKUP($B27,'Indicator chart'!$D$1:$J$36,6,FALSE),1)=" "," ",VLOOKUP($B27,'Indicator chart'!$D$1:$J$36,6,FALSE))</f>
        <v>1094.9754921081922</v>
      </c>
      <c r="G27" s="38">
        <f>IF(LEFT(VLOOKUP($B27,'Indicator chart'!$D$1:$J$36,7,FALSE),1)=" "," ",VLOOKUP($B27,'Indicator chart'!$D$1:$J$36,7,FALSE))</f>
        <v>1882.5351183742516</v>
      </c>
      <c r="H27" s="50">
        <f t="shared" si="0"/>
        <v>2</v>
      </c>
      <c r="I27" s="38">
        <v>397.953369140625</v>
      </c>
      <c r="J27" s="38">
        <v>1004.1327514648438</v>
      </c>
      <c r="K27" s="38">
        <v>1177.6614990234375</v>
      </c>
      <c r="L27" s="38">
        <v>1399.9117431640625</v>
      </c>
      <c r="M27" s="38">
        <v>1918.8095703125</v>
      </c>
      <c r="N27" s="80">
        <f>VLOOKUP('Hide - Control'!B$3,'All practice data'!A:CA,A27+29,FALSE)</f>
        <v>1211.36483516176</v>
      </c>
      <c r="O27" s="80">
        <f>VLOOKUP('Hide - Control'!C$3,'All practice data'!A:CA,A27+29,FALSE)</f>
        <v>1059.3522061277838</v>
      </c>
      <c r="P27" s="38">
        <f>VLOOKUP('Hide - Control'!$B$4,'All practice data'!B:BC,A27+2,FALSE)</f>
        <v>8658</v>
      </c>
      <c r="Q27" s="38">
        <f>VLOOKUP('Hide - Control'!$B$4,'All practice data'!B:BC,3,FALSE)</f>
        <v>714731</v>
      </c>
      <c r="R27" s="38">
        <f t="shared" si="21"/>
        <v>1185.9810274998965</v>
      </c>
      <c r="S27" s="38">
        <f t="shared" si="22"/>
        <v>1237.1550765223235</v>
      </c>
      <c r="T27" s="53">
        <f t="shared" si="19"/>
        <v>1918.8095703125</v>
      </c>
      <c r="U27" s="51">
        <f t="shared" si="20"/>
        <v>397.953369140625</v>
      </c>
      <c r="V27" s="7"/>
      <c r="W27" s="27">
        <f t="shared" si="2"/>
        <v>397.953369140625</v>
      </c>
      <c r="X27" s="27">
        <f t="shared" si="3"/>
        <v>1957.36962890625</v>
      </c>
      <c r="Y27" s="27">
        <f t="shared" si="4"/>
        <v>397.953369140625</v>
      </c>
      <c r="Z27" s="27">
        <f t="shared" si="5"/>
        <v>1957.36962890625</v>
      </c>
      <c r="AA27" s="32">
        <f t="shared" si="6"/>
        <v>0</v>
      </c>
      <c r="AB27" s="33">
        <f t="shared" si="7"/>
        <v>0.388721983965542</v>
      </c>
      <c r="AC27" s="33">
        <v>0.5</v>
      </c>
      <c r="AD27" s="33">
        <f t="shared" si="8"/>
        <v>0.6425214356646688</v>
      </c>
      <c r="AE27" s="33">
        <f t="shared" si="9"/>
        <v>0.9752727609756067</v>
      </c>
      <c r="AF27" s="33">
        <f t="shared" si="10"/>
        <v>-999</v>
      </c>
      <c r="AG27" s="33">
        <f t="shared" si="11"/>
        <v>0.6744172089709276</v>
      </c>
      <c r="AH27" s="33">
        <f t="shared" si="12"/>
        <v>-999</v>
      </c>
      <c r="AI27" s="34">
        <f t="shared" si="13"/>
        <v>0.42413232056882927</v>
      </c>
      <c r="AJ27" s="4">
        <v>24.221959800077364</v>
      </c>
      <c r="AK27" s="32">
        <f t="shared" si="14"/>
        <v>-999</v>
      </c>
      <c r="AL27" s="34">
        <f t="shared" si="15"/>
        <v>-999</v>
      </c>
      <c r="AY27" s="103" t="s">
        <v>115</v>
      </c>
      <c r="AZ27" s="103" t="s">
        <v>448</v>
      </c>
      <c r="BA27" s="103" t="s">
        <v>556</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32</v>
      </c>
      <c r="E28" s="38">
        <f>IF(LEFT(VLOOKUP($B28,'Indicator chart'!$D$1:$J$36,5,FALSE),1)=" "," ",VLOOKUP($B28,'Indicator chart'!$D$1:$J$36,5,FALSE))</f>
        <v>828.3717318146519</v>
      </c>
      <c r="F28" s="38">
        <f>IF(LEFT(VLOOKUP($B28,'Indicator chart'!$D$1:$J$36,6,FALSE),1)=" "," ",VLOOKUP($B28,'Indicator chart'!$D$1:$J$36,6,FALSE))</f>
        <v>566.503748959752</v>
      </c>
      <c r="G28" s="38">
        <f>IF(LEFT(VLOOKUP($B28,'Indicator chart'!$D$1:$J$36,7,FALSE),1)=" "," ",VLOOKUP($B28,'Indicator chart'!$D$1:$J$36,7,FALSE))</f>
        <v>1169.459093664432</v>
      </c>
      <c r="H28" s="50">
        <f t="shared" si="0"/>
        <v>2</v>
      </c>
      <c r="I28" s="38">
        <v>155.9251708984375</v>
      </c>
      <c r="J28" s="38">
        <v>597.5107421875</v>
      </c>
      <c r="K28" s="38">
        <v>689.969482421875</v>
      </c>
      <c r="L28" s="38">
        <v>798.6074829101562</v>
      </c>
      <c r="M28" s="38">
        <v>1235.23095703125</v>
      </c>
      <c r="N28" s="80">
        <f>VLOOKUP('Hide - Control'!B$3,'All practice data'!A:CA,A28+29,FALSE)</f>
        <v>700.5432813184261</v>
      </c>
      <c r="O28" s="80">
        <f>VLOOKUP('Hide - Control'!C$3,'All practice data'!A:CA,A28+29,FALSE)</f>
        <v>582.9390489900089</v>
      </c>
      <c r="P28" s="38">
        <f>VLOOKUP('Hide - Control'!$B$4,'All practice data'!B:BC,A28+2,FALSE)</f>
        <v>5007</v>
      </c>
      <c r="Q28" s="38">
        <f>VLOOKUP('Hide - Control'!$B$4,'All practice data'!B:BC,3,FALSE)</f>
        <v>714731</v>
      </c>
      <c r="R28" s="38">
        <f>100000*(P28*(1-1/(9*P28)-1.96/(3*SQRT(P28)))^3)/Q28</f>
        <v>681.2716228868738</v>
      </c>
      <c r="S28" s="38">
        <f>100000*((P28+1)*(1-1/(9*(P28+1))+1.96/(3*SQRT(P28+1)))^3)/Q28</f>
        <v>720.221835084918</v>
      </c>
      <c r="T28" s="53">
        <f t="shared" si="19"/>
        <v>1235.23095703125</v>
      </c>
      <c r="U28" s="51">
        <f t="shared" si="20"/>
        <v>155.9251708984375</v>
      </c>
      <c r="V28" s="7"/>
      <c r="W28" s="27">
        <f t="shared" si="2"/>
        <v>144.7080078125</v>
      </c>
      <c r="X28" s="27">
        <f t="shared" si="3"/>
        <v>1235.23095703125</v>
      </c>
      <c r="Y28" s="27">
        <f t="shared" si="4"/>
        <v>144.7080078125</v>
      </c>
      <c r="Z28" s="27">
        <f t="shared" si="5"/>
        <v>1235.23095703125</v>
      </c>
      <c r="AA28" s="32">
        <f t="shared" si="6"/>
        <v>0.010286040375375382</v>
      </c>
      <c r="AB28" s="33">
        <f t="shared" si="7"/>
        <v>0.41521614441895754</v>
      </c>
      <c r="AC28" s="33">
        <v>0.5</v>
      </c>
      <c r="AD28" s="33">
        <f t="shared" si="8"/>
        <v>0.5996200956303666</v>
      </c>
      <c r="AE28" s="33">
        <f t="shared" si="9"/>
        <v>1</v>
      </c>
      <c r="AF28" s="33">
        <f t="shared" si="10"/>
        <v>-999</v>
      </c>
      <c r="AG28" s="33">
        <f t="shared" si="11"/>
        <v>0.6269136513742587</v>
      </c>
      <c r="AH28" s="33">
        <f t="shared" si="12"/>
        <v>-999</v>
      </c>
      <c r="AI28" s="34">
        <f t="shared" si="13"/>
        <v>0.40185402929067876</v>
      </c>
      <c r="AJ28" s="4">
        <v>25.297955225459287</v>
      </c>
      <c r="AK28" s="32">
        <f t="shared" si="14"/>
        <v>-999</v>
      </c>
      <c r="AL28" s="34">
        <f t="shared" si="15"/>
        <v>-999</v>
      </c>
      <c r="AY28" s="103" t="s">
        <v>241</v>
      </c>
      <c r="AZ28" s="103" t="s">
        <v>242</v>
      </c>
      <c r="BA28" s="103" t="s">
        <v>556</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451</v>
      </c>
      <c r="BA29" s="103" t="s">
        <v>376</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376</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472</v>
      </c>
      <c r="BA31" s="103" t="s">
        <v>376</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431</v>
      </c>
      <c r="BA32" s="103" t="s">
        <v>376</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496</v>
      </c>
      <c r="BA33" s="103" t="s">
        <v>556</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376</v>
      </c>
      <c r="BB34" s="10">
        <v>532801</v>
      </c>
      <c r="BE34" s="77"/>
      <c r="BF34" s="253"/>
    </row>
    <row r="35" spans="2:58" ht="12.75">
      <c r="B35" s="17" t="s">
        <v>41</v>
      </c>
      <c r="C35" s="18"/>
      <c r="H35" s="290" t="s">
        <v>662</v>
      </c>
      <c r="I35" s="291"/>
      <c r="Y35" s="43"/>
      <c r="Z35" s="44"/>
      <c r="AA35" s="44"/>
      <c r="AB35" s="43"/>
      <c r="AC35" s="43"/>
      <c r="AY35" s="103" t="s">
        <v>159</v>
      </c>
      <c r="AZ35" s="103" t="s">
        <v>464</v>
      </c>
      <c r="BA35" s="103" t="s">
        <v>376</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453</v>
      </c>
      <c r="BA36" s="103" t="s">
        <v>376</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470</v>
      </c>
      <c r="BA37" s="103" t="s">
        <v>376</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376</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376</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376</v>
      </c>
      <c r="BB40" s="10">
        <v>714731</v>
      </c>
      <c r="BF40" s="252"/>
    </row>
    <row r="41" spans="1:58" ht="12.75">
      <c r="A41" s="3"/>
      <c r="B41" s="71"/>
      <c r="C41" s="3"/>
      <c r="T41" s="13"/>
      <c r="U41" s="2"/>
      <c r="W41" s="2"/>
      <c r="X41" s="10"/>
      <c r="Y41" s="44"/>
      <c r="Z41" s="44"/>
      <c r="AA41" s="44"/>
      <c r="AB41" s="44"/>
      <c r="AC41" s="44"/>
      <c r="AD41" s="2"/>
      <c r="AE41" s="2"/>
      <c r="AY41" s="103" t="s">
        <v>272</v>
      </c>
      <c r="AZ41" s="103" t="s">
        <v>497</v>
      </c>
      <c r="BA41" s="103" t="s">
        <v>556</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376</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494</v>
      </c>
      <c r="BA43" s="103" t="s">
        <v>376</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482</v>
      </c>
      <c r="BA44" s="103" t="s">
        <v>376</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376</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473</v>
      </c>
      <c r="BA46" s="103" t="s">
        <v>556</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376</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477</v>
      </c>
      <c r="BA48" s="103" t="s">
        <v>556</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488</v>
      </c>
      <c r="BA49" s="103" t="s">
        <v>556</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376</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454</v>
      </c>
      <c r="BA51" s="103" t="s">
        <v>376</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376</v>
      </c>
      <c r="BB52" s="10">
        <v>611636</v>
      </c>
      <c r="BF52" s="252"/>
    </row>
    <row r="53" spans="1:58" ht="12.75">
      <c r="A53" s="3"/>
      <c r="B53" s="12"/>
      <c r="C53" s="3"/>
      <c r="I53" s="11"/>
      <c r="J53" s="11"/>
      <c r="K53" s="11"/>
      <c r="L53" s="11"/>
      <c r="S53" s="11"/>
      <c r="U53" s="2"/>
      <c r="X53" s="2"/>
      <c r="Y53" s="2"/>
      <c r="Z53" s="2"/>
      <c r="AA53" s="2"/>
      <c r="AB53" s="2"/>
      <c r="AY53" s="103" t="s">
        <v>244</v>
      </c>
      <c r="AZ53" s="103" t="s">
        <v>487</v>
      </c>
      <c r="BA53" s="103" t="s">
        <v>376</v>
      </c>
      <c r="BB53" s="10">
        <v>230998</v>
      </c>
      <c r="BF53" s="252"/>
    </row>
    <row r="54" spans="1:58" ht="12.75">
      <c r="A54" s="3"/>
      <c r="B54" s="12"/>
      <c r="C54" s="3"/>
      <c r="I54" s="11"/>
      <c r="J54" s="11"/>
      <c r="K54" s="11"/>
      <c r="L54" s="11"/>
      <c r="S54" s="11"/>
      <c r="U54" s="2"/>
      <c r="X54" s="2"/>
      <c r="Y54" s="2"/>
      <c r="Z54" s="2"/>
      <c r="AA54" s="2"/>
      <c r="AB54" s="2"/>
      <c r="AY54" s="103" t="s">
        <v>67</v>
      </c>
      <c r="AZ54" s="103" t="s">
        <v>428</v>
      </c>
      <c r="BA54" s="103" t="s">
        <v>376</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474</v>
      </c>
      <c r="BA55" s="103" t="s">
        <v>376</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444</v>
      </c>
      <c r="BA56" s="103" t="s">
        <v>376</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489</v>
      </c>
      <c r="BA57" s="103" t="s">
        <v>376</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434</v>
      </c>
      <c r="BA58" s="103" t="s">
        <v>376</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376</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376</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478</v>
      </c>
      <c r="BA61" s="103" t="s">
        <v>556</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556</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467</v>
      </c>
      <c r="BA63" s="103" t="s">
        <v>376</v>
      </c>
      <c r="BB63" s="10">
        <v>318405</v>
      </c>
      <c r="BE63" s="70"/>
      <c r="BF63" s="239"/>
    </row>
    <row r="64" spans="1:58" ht="12.75">
      <c r="A64" s="3"/>
      <c r="B64" s="12"/>
      <c r="C64" s="3"/>
      <c r="I64" s="11"/>
      <c r="V64" s="3"/>
      <c r="AY64" s="103" t="s">
        <v>78</v>
      </c>
      <c r="AZ64" s="103" t="s">
        <v>435</v>
      </c>
      <c r="BA64" s="103" t="s">
        <v>556</v>
      </c>
      <c r="BB64" s="10">
        <v>181285</v>
      </c>
      <c r="BE64" s="70"/>
      <c r="BF64" s="241"/>
    </row>
    <row r="65" spans="1:58" ht="12.75">
      <c r="A65" s="3"/>
      <c r="B65" s="12"/>
      <c r="C65" s="3"/>
      <c r="AY65" s="103" t="s">
        <v>545</v>
      </c>
      <c r="AZ65" s="103" t="s">
        <v>546</v>
      </c>
      <c r="BA65" s="103" t="s">
        <v>376</v>
      </c>
      <c r="BB65" s="10">
        <v>1169302</v>
      </c>
      <c r="BE65" s="70"/>
      <c r="BF65" s="241"/>
    </row>
    <row r="66" spans="1:58" ht="12.75">
      <c r="A66" s="3"/>
      <c r="B66" s="12"/>
      <c r="C66" s="3"/>
      <c r="E66" s="2"/>
      <c r="F66" s="2"/>
      <c r="G66" s="2"/>
      <c r="V66" s="2"/>
      <c r="AY66" s="103" t="s">
        <v>200</v>
      </c>
      <c r="AZ66" s="103" t="s">
        <v>475</v>
      </c>
      <c r="BA66" s="103" t="s">
        <v>376</v>
      </c>
      <c r="BB66" s="10">
        <v>217916</v>
      </c>
      <c r="BE66" s="70"/>
      <c r="BF66" s="239"/>
    </row>
    <row r="67" spans="1:58" ht="12.75">
      <c r="A67" s="3"/>
      <c r="B67" s="12"/>
      <c r="C67" s="3"/>
      <c r="AY67" s="103" t="s">
        <v>69</v>
      </c>
      <c r="AZ67" s="103" t="s">
        <v>70</v>
      </c>
      <c r="BA67" s="103" t="s">
        <v>376</v>
      </c>
      <c r="BB67" s="10">
        <v>270842</v>
      </c>
      <c r="BE67" s="70"/>
      <c r="BF67" s="239"/>
    </row>
    <row r="68" spans="1:58" ht="12.75">
      <c r="A68" s="3"/>
      <c r="B68" s="12"/>
      <c r="C68" s="3"/>
      <c r="AY68" s="103" t="s">
        <v>109</v>
      </c>
      <c r="AZ68" s="103" t="s">
        <v>110</v>
      </c>
      <c r="BA68" s="103" t="s">
        <v>376</v>
      </c>
      <c r="BB68" s="10">
        <v>251613</v>
      </c>
      <c r="BF68" s="252"/>
    </row>
    <row r="69" spans="1:58" ht="12.75">
      <c r="A69" s="3"/>
      <c r="B69" s="12"/>
      <c r="C69" s="3"/>
      <c r="AY69" s="103" t="s">
        <v>209</v>
      </c>
      <c r="AZ69" s="103" t="s">
        <v>210</v>
      </c>
      <c r="BA69" s="103" t="s">
        <v>376</v>
      </c>
      <c r="BB69" s="10">
        <v>283547</v>
      </c>
      <c r="BE69" s="70"/>
      <c r="BF69" s="241"/>
    </row>
    <row r="70" spans="1:58" ht="12.75">
      <c r="A70" s="3"/>
      <c r="B70" s="12"/>
      <c r="C70" s="3"/>
      <c r="AY70" s="103" t="s">
        <v>275</v>
      </c>
      <c r="AZ70" s="103" t="s">
        <v>498</v>
      </c>
      <c r="BA70" s="103" t="s">
        <v>555</v>
      </c>
      <c r="BB70" s="10">
        <v>141474</v>
      </c>
      <c r="BE70" s="70"/>
      <c r="BF70" s="239"/>
    </row>
    <row r="71" spans="1:58" ht="12.75">
      <c r="A71" s="3"/>
      <c r="B71" s="12"/>
      <c r="C71" s="3"/>
      <c r="AY71" s="103" t="s">
        <v>127</v>
      </c>
      <c r="AZ71" s="103" t="s">
        <v>452</v>
      </c>
      <c r="BA71" s="103" t="s">
        <v>376</v>
      </c>
      <c r="BB71" s="10">
        <v>213326</v>
      </c>
      <c r="BE71" s="70"/>
      <c r="BF71" s="239"/>
    </row>
    <row r="72" spans="1:58" ht="12.75">
      <c r="A72" s="3"/>
      <c r="B72" s="12"/>
      <c r="C72" s="3"/>
      <c r="AY72" s="103" t="s">
        <v>136</v>
      </c>
      <c r="AZ72" s="103" t="s">
        <v>137</v>
      </c>
      <c r="BA72" s="103" t="s">
        <v>376</v>
      </c>
      <c r="BB72" s="10">
        <v>183220</v>
      </c>
      <c r="BE72" s="250"/>
      <c r="BF72" s="239"/>
    </row>
    <row r="73" spans="1:58" ht="12.75">
      <c r="A73" s="3"/>
      <c r="B73" s="12"/>
      <c r="C73" s="3"/>
      <c r="AY73" s="103" t="s">
        <v>64</v>
      </c>
      <c r="AZ73" s="103" t="s">
        <v>427</v>
      </c>
      <c r="BA73" s="103" t="s">
        <v>376</v>
      </c>
      <c r="BB73" s="10">
        <v>190143</v>
      </c>
      <c r="BE73" s="70"/>
      <c r="BF73" s="239"/>
    </row>
    <row r="74" spans="1:58" ht="12.75">
      <c r="A74" s="3"/>
      <c r="B74" s="12"/>
      <c r="C74" s="3"/>
      <c r="AY74" s="103" t="s">
        <v>165</v>
      </c>
      <c r="AZ74" s="103" t="s">
        <v>166</v>
      </c>
      <c r="BA74" s="103" t="s">
        <v>556</v>
      </c>
      <c r="BB74" s="10">
        <v>419928</v>
      </c>
      <c r="BE74" s="70"/>
      <c r="BF74" s="241"/>
    </row>
    <row r="75" spans="1:58" ht="12.75">
      <c r="A75" s="3"/>
      <c r="B75" s="12"/>
      <c r="C75" s="3"/>
      <c r="AY75" s="103" t="s">
        <v>113</v>
      </c>
      <c r="AZ75" s="103" t="s">
        <v>446</v>
      </c>
      <c r="BA75" s="103" t="s">
        <v>376</v>
      </c>
      <c r="BB75" s="10">
        <v>158106</v>
      </c>
      <c r="BE75" s="70"/>
      <c r="BF75" s="241"/>
    </row>
    <row r="76" spans="1:58" ht="12.75">
      <c r="A76" s="3"/>
      <c r="B76" s="12"/>
      <c r="C76" s="3"/>
      <c r="AY76" s="103" t="s">
        <v>140</v>
      </c>
      <c r="AZ76" s="103" t="s">
        <v>141</v>
      </c>
      <c r="BA76" s="103" t="s">
        <v>376</v>
      </c>
      <c r="BB76" s="10">
        <v>377807</v>
      </c>
      <c r="BE76" s="70"/>
      <c r="BF76" s="241"/>
    </row>
    <row r="77" spans="1:58" ht="12.75">
      <c r="A77" s="3"/>
      <c r="B77" s="12"/>
      <c r="C77" s="3"/>
      <c r="AY77" s="103" t="s">
        <v>163</v>
      </c>
      <c r="AZ77" s="103" t="s">
        <v>164</v>
      </c>
      <c r="BA77" s="103" t="s">
        <v>556</v>
      </c>
      <c r="BB77" s="10">
        <v>799634</v>
      </c>
      <c r="BE77" s="70"/>
      <c r="BF77" s="249"/>
    </row>
    <row r="78" spans="1:58" ht="12.75">
      <c r="A78" s="3"/>
      <c r="B78" s="12"/>
      <c r="C78" s="3"/>
      <c r="AY78" s="103" t="s">
        <v>224</v>
      </c>
      <c r="AZ78" s="103" t="s">
        <v>225</v>
      </c>
      <c r="BA78" s="103" t="s">
        <v>376</v>
      </c>
      <c r="BB78" s="10">
        <v>362638</v>
      </c>
      <c r="BE78" s="70"/>
      <c r="BF78" s="239"/>
    </row>
    <row r="79" spans="1:58" ht="12.75">
      <c r="A79" s="3"/>
      <c r="B79" s="12"/>
      <c r="C79" s="3"/>
      <c r="AY79" s="103" t="s">
        <v>223</v>
      </c>
      <c r="AZ79" s="103" t="s">
        <v>480</v>
      </c>
      <c r="BA79" s="103" t="s">
        <v>376</v>
      </c>
      <c r="BB79" s="10">
        <v>678998</v>
      </c>
      <c r="BF79" s="239"/>
    </row>
    <row r="80" spans="1:58" ht="12.75">
      <c r="A80" s="3"/>
      <c r="B80" s="12"/>
      <c r="C80" s="3"/>
      <c r="AY80" s="103" t="s">
        <v>144</v>
      </c>
      <c r="AZ80" s="103" t="s">
        <v>145</v>
      </c>
      <c r="BA80" s="103" t="s">
        <v>376</v>
      </c>
      <c r="BB80" s="10">
        <v>290986</v>
      </c>
      <c r="BF80" s="252"/>
    </row>
    <row r="81" spans="1:58" ht="12.75">
      <c r="A81" s="3"/>
      <c r="B81" s="12"/>
      <c r="C81" s="3"/>
      <c r="AY81" s="103" t="s">
        <v>178</v>
      </c>
      <c r="AZ81" s="103" t="s">
        <v>469</v>
      </c>
      <c r="BA81" s="103" t="s">
        <v>556</v>
      </c>
      <c r="BB81" s="10">
        <v>747976</v>
      </c>
      <c r="BF81" s="252"/>
    </row>
    <row r="82" spans="1:58" ht="12.75">
      <c r="A82" s="3"/>
      <c r="B82" s="12"/>
      <c r="C82" s="3"/>
      <c r="AY82" s="103" t="s">
        <v>193</v>
      </c>
      <c r="AZ82" s="103" t="s">
        <v>194</v>
      </c>
      <c r="BA82" s="103" t="s">
        <v>376</v>
      </c>
      <c r="BB82" s="10">
        <v>489140</v>
      </c>
      <c r="BF82" s="252"/>
    </row>
    <row r="83" spans="1:58" ht="12.75">
      <c r="A83" s="3"/>
      <c r="B83" s="12"/>
      <c r="C83" s="3"/>
      <c r="AY83" s="103" t="s">
        <v>98</v>
      </c>
      <c r="AZ83" s="103" t="s">
        <v>443</v>
      </c>
      <c r="BA83" s="103" t="s">
        <v>556</v>
      </c>
      <c r="BB83" s="10">
        <v>208442</v>
      </c>
      <c r="BE83" s="70"/>
      <c r="BF83" s="241"/>
    </row>
    <row r="84" spans="1:58" ht="12.75">
      <c r="A84" s="3"/>
      <c r="B84" s="12"/>
      <c r="C84" s="3"/>
      <c r="AY84" s="103" t="s">
        <v>203</v>
      </c>
      <c r="AZ84" s="103" t="s">
        <v>204</v>
      </c>
      <c r="BA84" s="103" t="s">
        <v>556</v>
      </c>
      <c r="BB84" s="10">
        <v>545543</v>
      </c>
      <c r="BE84" s="70"/>
      <c r="BF84" s="241"/>
    </row>
    <row r="85" spans="1:58" ht="12.75">
      <c r="A85" s="3"/>
      <c r="B85" s="12"/>
      <c r="C85" s="3"/>
      <c r="AY85" s="103" t="s">
        <v>135</v>
      </c>
      <c r="AZ85" s="103" t="s">
        <v>458</v>
      </c>
      <c r="BA85" s="103" t="s">
        <v>556</v>
      </c>
      <c r="BB85" s="10">
        <v>274067</v>
      </c>
      <c r="BE85" s="70"/>
      <c r="BF85" s="241"/>
    </row>
    <row r="86" spans="1:58" ht="12.75">
      <c r="A86" s="3"/>
      <c r="B86" s="12"/>
      <c r="C86" s="3"/>
      <c r="AY86" s="103" t="s">
        <v>251</v>
      </c>
      <c r="AZ86" s="103" t="s">
        <v>252</v>
      </c>
      <c r="BA86" s="103" t="s">
        <v>556</v>
      </c>
      <c r="BB86" s="10">
        <v>374861</v>
      </c>
      <c r="BE86" s="70"/>
      <c r="BF86" s="249"/>
    </row>
    <row r="87" spans="1:58" ht="12.75">
      <c r="A87" s="3"/>
      <c r="B87" s="12"/>
      <c r="C87" s="3"/>
      <c r="AY87" s="103" t="s">
        <v>132</v>
      </c>
      <c r="AZ87" s="103" t="s">
        <v>133</v>
      </c>
      <c r="BA87" s="103" t="s">
        <v>376</v>
      </c>
      <c r="BB87" s="10">
        <v>153833</v>
      </c>
      <c r="BE87" s="70"/>
      <c r="BF87" s="249"/>
    </row>
    <row r="88" spans="1:58" ht="12.75">
      <c r="A88" s="3"/>
      <c r="B88" s="12"/>
      <c r="C88" s="3"/>
      <c r="AY88" s="103" t="s">
        <v>79</v>
      </c>
      <c r="AZ88" s="103" t="s">
        <v>80</v>
      </c>
      <c r="BA88" s="103" t="s">
        <v>556</v>
      </c>
      <c r="BB88" s="10">
        <v>258492</v>
      </c>
      <c r="BE88" s="70"/>
      <c r="BF88" s="241"/>
    </row>
    <row r="89" spans="1:58" ht="12.75">
      <c r="A89" s="3"/>
      <c r="B89" s="12"/>
      <c r="C89" s="3"/>
      <c r="AY89" s="103" t="s">
        <v>81</v>
      </c>
      <c r="AZ89" s="103" t="s">
        <v>436</v>
      </c>
      <c r="BA89" s="103" t="s">
        <v>376</v>
      </c>
      <c r="BB89" s="10">
        <v>283085</v>
      </c>
      <c r="BE89" s="70"/>
      <c r="BF89" s="241"/>
    </row>
    <row r="90" spans="1:58" ht="12.75">
      <c r="A90" s="3"/>
      <c r="B90" s="12"/>
      <c r="C90" s="3"/>
      <c r="AY90" s="103" t="s">
        <v>76</v>
      </c>
      <c r="AZ90" s="103" t="s">
        <v>433</v>
      </c>
      <c r="BA90" s="103" t="s">
        <v>376</v>
      </c>
      <c r="BB90" s="10">
        <v>357346</v>
      </c>
      <c r="BE90" s="70"/>
      <c r="BF90" s="241"/>
    </row>
    <row r="91" spans="1:58" ht="12.75">
      <c r="A91" s="3"/>
      <c r="B91" s="12"/>
      <c r="C91" s="3"/>
      <c r="AY91" s="103" t="s">
        <v>243</v>
      </c>
      <c r="AZ91" s="103" t="s">
        <v>486</v>
      </c>
      <c r="BA91" s="103" t="s">
        <v>556</v>
      </c>
      <c r="BB91" s="10">
        <v>748575</v>
      </c>
      <c r="BE91" s="247"/>
      <c r="BF91" s="249"/>
    </row>
    <row r="92" spans="1:58" ht="12.75">
      <c r="A92" s="3"/>
      <c r="B92" s="12"/>
      <c r="C92" s="3"/>
      <c r="AY92" s="103" t="s">
        <v>249</v>
      </c>
      <c r="AZ92" s="103" t="s">
        <v>250</v>
      </c>
      <c r="BA92" s="103" t="s">
        <v>556</v>
      </c>
      <c r="BB92" s="10">
        <v>322673</v>
      </c>
      <c r="BE92" s="247"/>
      <c r="BF92" s="249"/>
    </row>
    <row r="93" spans="1:58" ht="12.75">
      <c r="A93" s="3"/>
      <c r="B93" s="12"/>
      <c r="C93" s="3"/>
      <c r="AY93" s="103" t="s">
        <v>58</v>
      </c>
      <c r="AZ93" s="103" t="s">
        <v>59</v>
      </c>
      <c r="BA93" s="103" t="s">
        <v>376</v>
      </c>
      <c r="BB93" s="10">
        <v>165284</v>
      </c>
      <c r="BF93" s="252"/>
    </row>
    <row r="94" spans="1:58" ht="12.75">
      <c r="A94" s="3"/>
      <c r="B94" s="12"/>
      <c r="C94" s="3"/>
      <c r="AY94" s="103" t="s">
        <v>186</v>
      </c>
      <c r="AZ94" s="103" t="s">
        <v>471</v>
      </c>
      <c r="BA94" s="103" t="s">
        <v>376</v>
      </c>
      <c r="BB94" s="10">
        <v>339272</v>
      </c>
      <c r="BE94" s="70"/>
      <c r="BF94" s="241"/>
    </row>
    <row r="95" spans="1:58" ht="12.75">
      <c r="A95" s="3"/>
      <c r="B95" s="12"/>
      <c r="C95" s="3"/>
      <c r="AY95" s="103" t="s">
        <v>86</v>
      </c>
      <c r="AZ95" s="103" t="s">
        <v>87</v>
      </c>
      <c r="BA95" s="103" t="s">
        <v>376</v>
      </c>
      <c r="BB95" s="10">
        <v>165642</v>
      </c>
      <c r="BE95" s="247"/>
      <c r="BF95" s="249"/>
    </row>
    <row r="96" spans="1:58" ht="12.75">
      <c r="A96" s="3"/>
      <c r="B96" s="12"/>
      <c r="C96" s="3"/>
      <c r="AY96" s="103" t="s">
        <v>157</v>
      </c>
      <c r="AZ96" s="103" t="s">
        <v>158</v>
      </c>
      <c r="BA96" s="103" t="s">
        <v>376</v>
      </c>
      <c r="BB96" s="10">
        <v>208351</v>
      </c>
      <c r="BE96" s="243"/>
      <c r="BF96" s="238"/>
    </row>
    <row r="97" spans="1:58" ht="12.75">
      <c r="A97" s="3"/>
      <c r="B97" s="12"/>
      <c r="C97" s="3"/>
      <c r="AY97" s="103" t="s">
        <v>231</v>
      </c>
      <c r="AZ97" s="103" t="s">
        <v>232</v>
      </c>
      <c r="BA97" s="103" t="s">
        <v>376</v>
      </c>
      <c r="BB97" s="10">
        <v>203178</v>
      </c>
      <c r="BE97" s="243"/>
      <c r="BF97" s="238"/>
    </row>
    <row r="98" spans="1:58" ht="12.75">
      <c r="A98" s="3"/>
      <c r="B98" s="12"/>
      <c r="C98" s="3"/>
      <c r="AY98" s="103" t="s">
        <v>82</v>
      </c>
      <c r="AZ98" s="103" t="s">
        <v>437</v>
      </c>
      <c r="BA98" s="103" t="s">
        <v>376</v>
      </c>
      <c r="BB98" s="10">
        <v>214052</v>
      </c>
      <c r="BE98" s="248"/>
      <c r="BF98" s="241"/>
    </row>
    <row r="99" spans="1:58" ht="12.75">
      <c r="A99" s="3"/>
      <c r="B99" s="12"/>
      <c r="C99" s="3"/>
      <c r="AY99" s="103" t="s">
        <v>205</v>
      </c>
      <c r="AZ99" s="103" t="s">
        <v>206</v>
      </c>
      <c r="BA99" s="103" t="s">
        <v>556</v>
      </c>
      <c r="BB99" s="10">
        <v>795503</v>
      </c>
      <c r="BE99" s="70"/>
      <c r="BF99" s="249"/>
    </row>
    <row r="100" spans="1:58" ht="12.75">
      <c r="A100" s="3"/>
      <c r="B100" s="12"/>
      <c r="C100" s="3"/>
      <c r="AY100" s="103" t="s">
        <v>226</v>
      </c>
      <c r="AZ100" s="103" t="s">
        <v>481</v>
      </c>
      <c r="BA100" s="103" t="s">
        <v>376</v>
      </c>
      <c r="BB100" s="10">
        <v>648340</v>
      </c>
      <c r="BE100" s="70"/>
      <c r="BF100" s="249"/>
    </row>
    <row r="101" spans="51:58" ht="12.75">
      <c r="AY101" s="103" t="s">
        <v>51</v>
      </c>
      <c r="AZ101" s="103" t="s">
        <v>52</v>
      </c>
      <c r="BA101" s="103" t="s">
        <v>376</v>
      </c>
      <c r="BB101" s="10">
        <v>320818</v>
      </c>
      <c r="BE101" s="237"/>
      <c r="BF101" s="238"/>
    </row>
    <row r="102" spans="51:58" ht="12.75">
      <c r="AY102" s="103" t="s">
        <v>88</v>
      </c>
      <c r="AZ102" s="103" t="s">
        <v>89</v>
      </c>
      <c r="BA102" s="103" t="s">
        <v>376</v>
      </c>
      <c r="BB102" s="10">
        <v>339920</v>
      </c>
      <c r="BE102" s="237"/>
      <c r="BF102" s="238"/>
    </row>
    <row r="103" spans="51:58" ht="12.75">
      <c r="AY103" s="103" t="s">
        <v>177</v>
      </c>
      <c r="AZ103" s="103" t="s">
        <v>468</v>
      </c>
      <c r="BA103" s="103" t="s">
        <v>376</v>
      </c>
      <c r="BB103" s="10">
        <v>656875</v>
      </c>
      <c r="BE103" s="70"/>
      <c r="BF103" s="239"/>
    </row>
    <row r="104" spans="51:58" ht="12.75">
      <c r="AY104" s="103" t="s">
        <v>114</v>
      </c>
      <c r="AZ104" s="103" t="s">
        <v>447</v>
      </c>
      <c r="BA104" s="103" t="s">
        <v>376</v>
      </c>
      <c r="BB104" s="10">
        <v>236592</v>
      </c>
      <c r="BF104" s="252"/>
    </row>
    <row r="105" spans="51:58" ht="12.75">
      <c r="AY105" s="103" t="s">
        <v>259</v>
      </c>
      <c r="AZ105" s="103" t="s">
        <v>490</v>
      </c>
      <c r="BA105" s="103" t="s">
        <v>556</v>
      </c>
      <c r="BB105" s="10">
        <v>671572</v>
      </c>
      <c r="BE105" s="237"/>
      <c r="BF105" s="238"/>
    </row>
    <row r="106" spans="51:58" ht="12.75">
      <c r="AY106" s="103" t="s">
        <v>239</v>
      </c>
      <c r="AZ106" s="103" t="s">
        <v>240</v>
      </c>
      <c r="BA106" s="103" t="s">
        <v>556</v>
      </c>
      <c r="BB106" s="10">
        <v>177882</v>
      </c>
      <c r="BF106" s="252"/>
    </row>
    <row r="107" spans="51:58" ht="12.75">
      <c r="AY107" s="103" t="s">
        <v>91</v>
      </c>
      <c r="AZ107" s="103" t="s">
        <v>440</v>
      </c>
      <c r="BA107" s="103" t="s">
        <v>376</v>
      </c>
      <c r="BB107" s="10">
        <v>274443</v>
      </c>
      <c r="BF107" s="252"/>
    </row>
    <row r="108" spans="51:58" ht="12.75">
      <c r="AY108" s="103" t="s">
        <v>95</v>
      </c>
      <c r="AZ108" s="103" t="s">
        <v>442</v>
      </c>
      <c r="BA108" s="103" t="s">
        <v>376</v>
      </c>
      <c r="BB108" s="10">
        <v>213174</v>
      </c>
      <c r="BE108" s="70"/>
      <c r="BF108" s="239"/>
    </row>
    <row r="109" spans="51:58" ht="12.75">
      <c r="AY109" s="103" t="s">
        <v>179</v>
      </c>
      <c r="AZ109" s="103" t="s">
        <v>180</v>
      </c>
      <c r="BA109" s="103" t="s">
        <v>376</v>
      </c>
      <c r="BB109" s="10">
        <v>278950</v>
      </c>
      <c r="BE109" s="237"/>
      <c r="BF109" s="238"/>
    </row>
    <row r="110" spans="51:58" ht="12.75">
      <c r="AY110" s="103" t="s">
        <v>273</v>
      </c>
      <c r="AZ110" s="103" t="s">
        <v>274</v>
      </c>
      <c r="BA110" s="103" t="s">
        <v>376</v>
      </c>
      <c r="BB110" s="10">
        <v>133304</v>
      </c>
      <c r="BE110" s="70"/>
      <c r="BF110" s="249"/>
    </row>
    <row r="111" spans="51:58" ht="12.75">
      <c r="AY111" s="103" t="s">
        <v>155</v>
      </c>
      <c r="AZ111" s="103" t="s">
        <v>462</v>
      </c>
      <c r="BA111" s="103" t="s">
        <v>376</v>
      </c>
      <c r="BB111" s="10">
        <v>197060</v>
      </c>
      <c r="BE111" s="70"/>
      <c r="BF111" s="239"/>
    </row>
    <row r="112" spans="51:58" ht="12.75">
      <c r="AY112" s="103" t="s">
        <v>100</v>
      </c>
      <c r="AZ112" s="103" t="s">
        <v>101</v>
      </c>
      <c r="BA112" s="103" t="s">
        <v>376</v>
      </c>
      <c r="BB112" s="10">
        <v>253140</v>
      </c>
      <c r="BE112" s="250"/>
      <c r="BF112" s="249"/>
    </row>
    <row r="113" spans="51:58" ht="12.75">
      <c r="AY113" s="103" t="s">
        <v>92</v>
      </c>
      <c r="AZ113" s="103" t="s">
        <v>93</v>
      </c>
      <c r="BA113" s="103" t="s">
        <v>376</v>
      </c>
      <c r="BB113" s="10">
        <v>240983</v>
      </c>
      <c r="BE113" s="70"/>
      <c r="BF113" s="241"/>
    </row>
    <row r="114" spans="51:58" ht="12.75">
      <c r="AY114" s="103" t="s">
        <v>228</v>
      </c>
      <c r="AZ114" s="103" t="s">
        <v>483</v>
      </c>
      <c r="BA114" s="103" t="s">
        <v>376</v>
      </c>
      <c r="BB114" s="10">
        <v>340451</v>
      </c>
      <c r="BF114" s="241"/>
    </row>
    <row r="115" spans="51:58" ht="12.75">
      <c r="AY115" s="103" t="s">
        <v>189</v>
      </c>
      <c r="AZ115" s="103" t="s">
        <v>190</v>
      </c>
      <c r="BA115" s="103" t="s">
        <v>376</v>
      </c>
      <c r="BB115" s="10">
        <v>280673</v>
      </c>
      <c r="BE115" s="248"/>
      <c r="BF115" s="241"/>
    </row>
    <row r="116" spans="51:58" ht="12.75">
      <c r="AY116" s="103" t="s">
        <v>169</v>
      </c>
      <c r="AZ116" s="103" t="s">
        <v>170</v>
      </c>
      <c r="BA116" s="103" t="s">
        <v>376</v>
      </c>
      <c r="BB116" s="10">
        <v>565874</v>
      </c>
      <c r="BE116" s="70"/>
      <c r="BF116" s="239"/>
    </row>
    <row r="117" spans="51:58" ht="12.75">
      <c r="AY117" s="103" t="s">
        <v>152</v>
      </c>
      <c r="AZ117" s="103" t="s">
        <v>461</v>
      </c>
      <c r="BA117" s="103" t="s">
        <v>556</v>
      </c>
      <c r="BB117" s="10">
        <v>295379</v>
      </c>
      <c r="BE117" s="237"/>
      <c r="BF117" s="238"/>
    </row>
    <row r="118" spans="51:58" ht="12.75">
      <c r="AY118" s="103" t="s">
        <v>56</v>
      </c>
      <c r="AZ118" s="103" t="s">
        <v>57</v>
      </c>
      <c r="BA118" s="103" t="s">
        <v>376</v>
      </c>
      <c r="BB118" s="10">
        <v>217094</v>
      </c>
      <c r="BE118" s="70"/>
      <c r="BF118" s="239"/>
    </row>
    <row r="119" spans="51:58" ht="12.75">
      <c r="AY119" s="103" t="s">
        <v>268</v>
      </c>
      <c r="AZ119" s="103" t="s">
        <v>493</v>
      </c>
      <c r="BA119" s="103" t="s">
        <v>376</v>
      </c>
      <c r="BB119" s="10">
        <v>538131</v>
      </c>
      <c r="BE119" s="70"/>
      <c r="BF119" s="239"/>
    </row>
    <row r="120" spans="51:58" ht="12.75">
      <c r="AY120" s="103" t="s">
        <v>150</v>
      </c>
      <c r="AZ120" s="103" t="s">
        <v>151</v>
      </c>
      <c r="BA120" s="103" t="s">
        <v>556</v>
      </c>
      <c r="BB120" s="10">
        <v>389725</v>
      </c>
      <c r="BE120" s="70"/>
      <c r="BF120" s="239"/>
    </row>
    <row r="121" spans="51:58" ht="12.75">
      <c r="AY121" s="103" t="s">
        <v>212</v>
      </c>
      <c r="AZ121" s="103" t="s">
        <v>213</v>
      </c>
      <c r="BA121" s="103" t="s">
        <v>556</v>
      </c>
      <c r="BB121" s="10">
        <v>356812</v>
      </c>
      <c r="BE121" s="237"/>
      <c r="BF121" s="238"/>
    </row>
    <row r="122" spans="51:58" ht="12.75">
      <c r="AY122" s="103" t="s">
        <v>60</v>
      </c>
      <c r="AZ122" s="103" t="s">
        <v>61</v>
      </c>
      <c r="BA122" s="103" t="s">
        <v>376</v>
      </c>
      <c r="BB122" s="10">
        <v>256321</v>
      </c>
      <c r="BE122" s="70"/>
      <c r="BF122" s="249"/>
    </row>
    <row r="123" spans="51:58" ht="12.75">
      <c r="AY123" s="103" t="s">
        <v>234</v>
      </c>
      <c r="AZ123" s="103" t="s">
        <v>485</v>
      </c>
      <c r="BA123" s="103" t="s">
        <v>556</v>
      </c>
      <c r="BB123" s="10">
        <v>615835</v>
      </c>
      <c r="BF123" s="252"/>
    </row>
    <row r="124" spans="51:58" ht="12.75">
      <c r="AY124" s="103" t="s">
        <v>130</v>
      </c>
      <c r="AZ124" s="103" t="s">
        <v>455</v>
      </c>
      <c r="BA124" s="103" t="s">
        <v>376</v>
      </c>
      <c r="BB124" s="10">
        <v>150179</v>
      </c>
      <c r="BF124" s="252"/>
    </row>
    <row r="125" spans="51:58" ht="12.75">
      <c r="AY125" s="103" t="s">
        <v>253</v>
      </c>
      <c r="AZ125" s="103" t="s">
        <v>254</v>
      </c>
      <c r="BA125" s="103" t="s">
        <v>376</v>
      </c>
      <c r="BB125" s="10">
        <v>420503</v>
      </c>
      <c r="BE125" s="70"/>
      <c r="BF125" s="249"/>
    </row>
    <row r="126" spans="51:58" ht="12.75">
      <c r="AY126" s="103" t="s">
        <v>134</v>
      </c>
      <c r="AZ126" s="103" t="s">
        <v>457</v>
      </c>
      <c r="BA126" s="103" t="s">
        <v>376</v>
      </c>
      <c r="BB126" s="10">
        <v>263936</v>
      </c>
      <c r="BE126" s="70"/>
      <c r="BF126" s="239"/>
    </row>
    <row r="127" spans="51:58" ht="12.75">
      <c r="AY127" s="103" t="s">
        <v>142</v>
      </c>
      <c r="AZ127" s="103" t="s">
        <v>143</v>
      </c>
      <c r="BA127" s="103" t="s">
        <v>376</v>
      </c>
      <c r="BB127" s="10">
        <v>308593</v>
      </c>
      <c r="BF127" s="252"/>
    </row>
    <row r="128" spans="51:58" ht="12.75">
      <c r="AY128" s="103" t="s">
        <v>94</v>
      </c>
      <c r="AZ128" s="103" t="s">
        <v>441</v>
      </c>
      <c r="BA128" s="103" t="s">
        <v>556</v>
      </c>
      <c r="BB128" s="10">
        <v>298190</v>
      </c>
      <c r="BE128" s="250"/>
      <c r="BF128" s="249"/>
    </row>
    <row r="129" spans="51:58" ht="12.75">
      <c r="AY129" s="103" t="s">
        <v>85</v>
      </c>
      <c r="AZ129" s="103" t="s">
        <v>438</v>
      </c>
      <c r="BA129" s="103" t="s">
        <v>376</v>
      </c>
      <c r="BB129" s="10">
        <v>191885</v>
      </c>
      <c r="BE129" s="70"/>
      <c r="BF129" s="249"/>
    </row>
    <row r="130" spans="51:58" ht="12.75">
      <c r="AY130" s="103" t="s">
        <v>233</v>
      </c>
      <c r="AZ130" s="103" t="s">
        <v>484</v>
      </c>
      <c r="BA130" s="103" t="s">
        <v>376</v>
      </c>
      <c r="BB130" s="10">
        <v>268223</v>
      </c>
      <c r="BE130" s="70"/>
      <c r="BF130" s="249"/>
    </row>
    <row r="131" spans="51:58" ht="12.75">
      <c r="AY131" s="103" t="s">
        <v>245</v>
      </c>
      <c r="AZ131" s="103" t="s">
        <v>246</v>
      </c>
      <c r="BA131" s="103" t="s">
        <v>556</v>
      </c>
      <c r="BB131" s="10">
        <v>616983</v>
      </c>
      <c r="BE131" s="247"/>
      <c r="BF131" s="249"/>
    </row>
    <row r="132" spans="51:58" ht="12.75">
      <c r="AY132" s="103" t="s">
        <v>131</v>
      </c>
      <c r="AZ132" s="103" t="s">
        <v>456</v>
      </c>
      <c r="BA132" s="103" t="s">
        <v>376</v>
      </c>
      <c r="BB132" s="10">
        <v>283991</v>
      </c>
      <c r="BE132" s="247"/>
      <c r="BF132" s="249"/>
    </row>
    <row r="133" spans="51:58" ht="12.75">
      <c r="AY133" s="103" t="s">
        <v>216</v>
      </c>
      <c r="AZ133" s="103" t="s">
        <v>217</v>
      </c>
      <c r="BA133" s="103" t="s">
        <v>376</v>
      </c>
      <c r="BB133" s="10">
        <v>1156805</v>
      </c>
      <c r="BE133" s="247"/>
      <c r="BF133" s="251"/>
    </row>
    <row r="134" spans="51:58" ht="12.75">
      <c r="AY134" s="103" t="s">
        <v>156</v>
      </c>
      <c r="AZ134" s="103" t="s">
        <v>463</v>
      </c>
      <c r="BA134" s="103" t="s">
        <v>376</v>
      </c>
      <c r="BB134" s="10">
        <v>390971</v>
      </c>
      <c r="BE134" s="243"/>
      <c r="BF134" s="238"/>
    </row>
    <row r="135" spans="51:58" ht="12.75">
      <c r="AY135" s="103" t="s">
        <v>121</v>
      </c>
      <c r="AZ135" s="103" t="s">
        <v>122</v>
      </c>
      <c r="BA135" s="103" t="s">
        <v>555</v>
      </c>
      <c r="BB135" s="10">
        <v>218182</v>
      </c>
      <c r="BE135" s="250"/>
      <c r="BF135" s="249"/>
    </row>
    <row r="136" spans="51:58" ht="12.75">
      <c r="AY136" s="103" t="s">
        <v>148</v>
      </c>
      <c r="AZ136" s="103" t="s">
        <v>459</v>
      </c>
      <c r="BA136" s="103" t="s">
        <v>556</v>
      </c>
      <c r="BB136" s="10">
        <v>236598</v>
      </c>
      <c r="BE136" s="237"/>
      <c r="BF136" s="238"/>
    </row>
    <row r="137" spans="51:58" ht="12.75">
      <c r="AY137" s="103" t="s">
        <v>160</v>
      </c>
      <c r="AZ137" s="103" t="s">
        <v>465</v>
      </c>
      <c r="BA137" s="103" t="s">
        <v>556</v>
      </c>
      <c r="BB137" s="10">
        <v>165993</v>
      </c>
      <c r="BF137" s="252"/>
    </row>
    <row r="138" spans="51:58" ht="12.75">
      <c r="AY138" s="103" t="s">
        <v>54</v>
      </c>
      <c r="AZ138" s="103" t="s">
        <v>55</v>
      </c>
      <c r="BA138" s="103" t="s">
        <v>376</v>
      </c>
      <c r="BB138" s="10">
        <v>145889</v>
      </c>
      <c r="BE138" s="70"/>
      <c r="BF138" s="239"/>
    </row>
    <row r="139" spans="51:58" ht="12.75">
      <c r="AY139" s="103" t="s">
        <v>75</v>
      </c>
      <c r="AZ139" s="103" t="s">
        <v>432</v>
      </c>
      <c r="BA139" s="103" t="s">
        <v>376</v>
      </c>
      <c r="BB139" s="10">
        <v>267393</v>
      </c>
      <c r="BE139" s="237"/>
      <c r="BF139" s="238"/>
    </row>
    <row r="140" spans="51:58" ht="12.75">
      <c r="AY140" s="103" t="s">
        <v>201</v>
      </c>
      <c r="AZ140" s="103" t="s">
        <v>202</v>
      </c>
      <c r="BA140" s="103" t="s">
        <v>556</v>
      </c>
      <c r="BB140" s="10">
        <v>232551</v>
      </c>
      <c r="BE140" s="70"/>
      <c r="BF140" s="239"/>
    </row>
    <row r="141" spans="51:58" ht="12.75">
      <c r="AY141" s="103" t="s">
        <v>167</v>
      </c>
      <c r="AZ141" s="103" t="s">
        <v>168</v>
      </c>
      <c r="BA141" s="103" t="s">
        <v>556</v>
      </c>
      <c r="BB141" s="10">
        <v>350958</v>
      </c>
      <c r="BE141" s="70"/>
      <c r="BF141" s="239"/>
    </row>
    <row r="142" spans="51:58" ht="12.75">
      <c r="AY142" s="103" t="s">
        <v>153</v>
      </c>
      <c r="AZ142" s="103" t="s">
        <v>154</v>
      </c>
      <c r="BA142" s="103" t="s">
        <v>376</v>
      </c>
      <c r="BB142" s="10">
        <v>265654</v>
      </c>
      <c r="BE142" s="70"/>
      <c r="BF142" s="241"/>
    </row>
    <row r="143" spans="51:58" ht="12.75">
      <c r="AY143" s="103" t="s">
        <v>181</v>
      </c>
      <c r="AZ143" s="103" t="s">
        <v>182</v>
      </c>
      <c r="BA143" s="103" t="s">
        <v>376</v>
      </c>
      <c r="BB143" s="10">
        <v>284466</v>
      </c>
      <c r="BE143" s="70"/>
      <c r="BF143" s="249"/>
    </row>
    <row r="144" spans="51:58" ht="12.75">
      <c r="AY144" s="103" t="s">
        <v>146</v>
      </c>
      <c r="AZ144" s="103" t="s">
        <v>147</v>
      </c>
      <c r="BA144" s="103" t="s">
        <v>376</v>
      </c>
      <c r="BB144" s="10">
        <v>319933</v>
      </c>
      <c r="BE144" s="70"/>
      <c r="BF144" s="241"/>
    </row>
    <row r="145" spans="51:58" ht="12.75">
      <c r="AY145" s="103" t="s">
        <v>111</v>
      </c>
      <c r="AZ145" s="103" t="s">
        <v>112</v>
      </c>
      <c r="BA145" s="103" t="s">
        <v>376</v>
      </c>
      <c r="BB145" s="10">
        <v>192336</v>
      </c>
      <c r="BE145" s="248"/>
      <c r="BF145" s="249"/>
    </row>
    <row r="146" spans="51:58" ht="12.75">
      <c r="AY146" s="103" t="s">
        <v>237</v>
      </c>
      <c r="AZ146" s="103" t="s">
        <v>238</v>
      </c>
      <c r="BA146" s="103" t="s">
        <v>376</v>
      </c>
      <c r="BB146" s="10">
        <v>548313</v>
      </c>
      <c r="BF146" s="252"/>
    </row>
    <row r="147" spans="51:58" ht="12.75">
      <c r="AY147" s="103" t="s">
        <v>247</v>
      </c>
      <c r="AZ147" s="103" t="s">
        <v>248</v>
      </c>
      <c r="BA147" s="103" t="s">
        <v>376</v>
      </c>
      <c r="BB147" s="10">
        <v>287229</v>
      </c>
      <c r="BF147" s="252"/>
    </row>
    <row r="148" spans="51:58" ht="12.75">
      <c r="AY148" s="103" t="s">
        <v>222</v>
      </c>
      <c r="AZ148" s="103" t="s">
        <v>479</v>
      </c>
      <c r="BA148" s="103" t="s">
        <v>556</v>
      </c>
      <c r="BB148" s="10">
        <v>707573</v>
      </c>
      <c r="BF148" s="252"/>
    </row>
    <row r="149" spans="51:58" ht="12.75">
      <c r="AY149" s="103" t="s">
        <v>218</v>
      </c>
      <c r="AZ149" s="103" t="s">
        <v>219</v>
      </c>
      <c r="BA149" s="103" t="s">
        <v>556</v>
      </c>
      <c r="BB149" s="10">
        <v>825533</v>
      </c>
      <c r="BE149" s="248"/>
      <c r="BF149" s="249"/>
    </row>
    <row r="150" spans="51:58" ht="12.75">
      <c r="AY150" s="103" t="s">
        <v>196</v>
      </c>
      <c r="AZ150" s="103" t="s">
        <v>197</v>
      </c>
      <c r="BA150" s="103" t="s">
        <v>376</v>
      </c>
      <c r="BB150" s="10">
        <v>259945</v>
      </c>
      <c r="BF150" s="252"/>
    </row>
    <row r="151" spans="51:58" ht="12.75">
      <c r="AY151" s="103" t="s">
        <v>138</v>
      </c>
      <c r="AZ151" s="103" t="s">
        <v>139</v>
      </c>
      <c r="BA151" s="103" t="s">
        <v>376</v>
      </c>
      <c r="BB151" s="10">
        <v>246573</v>
      </c>
      <c r="BF151" s="252"/>
    </row>
    <row r="152" spans="51:58" ht="12.75">
      <c r="AY152" s="103" t="s">
        <v>266</v>
      </c>
      <c r="AZ152" s="103" t="s">
        <v>267</v>
      </c>
      <c r="BA152" s="103" t="s">
        <v>556</v>
      </c>
      <c r="BB152" s="10">
        <v>462395</v>
      </c>
      <c r="BE152" s="250"/>
      <c r="BF152" s="239"/>
    </row>
    <row r="153" spans="51:58" ht="12.75">
      <c r="AY153" s="103" t="s">
        <v>191</v>
      </c>
      <c r="AZ153" s="103" t="s">
        <v>192</v>
      </c>
      <c r="BA153" s="103" t="s">
        <v>376</v>
      </c>
      <c r="BB153" s="10">
        <v>332176</v>
      </c>
      <c r="BF153" s="252"/>
    </row>
    <row r="154" spans="51:58" ht="12.75">
      <c r="AY154" s="103" t="s">
        <v>161</v>
      </c>
      <c r="AZ154" s="103" t="s">
        <v>466</v>
      </c>
      <c r="BA154" s="103" t="s">
        <v>376</v>
      </c>
      <c r="BB154" s="10">
        <v>246213</v>
      </c>
      <c r="BE154" s="237"/>
      <c r="BF154" s="238"/>
    </row>
    <row r="155" spans="51:58" ht="12.75">
      <c r="AY155" s="103" t="s">
        <v>235</v>
      </c>
      <c r="AZ155" s="103" t="s">
        <v>236</v>
      </c>
      <c r="BA155" s="103" t="s">
        <v>556</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663</v>
      </c>
      <c r="B3" s="56" t="s">
        <v>174</v>
      </c>
      <c r="C3" s="56" t="s">
        <v>24</v>
      </c>
    </row>
    <row r="4" spans="1:2" ht="12.75">
      <c r="A4" s="76">
        <v>1</v>
      </c>
      <c r="B4" s="78" t="s">
        <v>173</v>
      </c>
    </row>
    <row r="5" ht="12.75">
      <c r="A5" s="280" t="s">
        <v>663</v>
      </c>
    </row>
    <row r="6" ht="12.75">
      <c r="A6" s="280" t="s">
        <v>580</v>
      </c>
    </row>
    <row r="7" ht="12.75">
      <c r="A7" s="280" t="s">
        <v>597</v>
      </c>
    </row>
    <row r="8" ht="12.75">
      <c r="A8" s="280" t="s">
        <v>642</v>
      </c>
    </row>
    <row r="9" ht="12.75">
      <c r="A9" s="280" t="s">
        <v>573</v>
      </c>
    </row>
    <row r="10" ht="12.75">
      <c r="A10" s="280" t="s">
        <v>589</v>
      </c>
    </row>
    <row r="11" ht="12.75">
      <c r="A11" s="280" t="s">
        <v>570</v>
      </c>
    </row>
    <row r="12" ht="12.75">
      <c r="A12" s="280" t="s">
        <v>572</v>
      </c>
    </row>
    <row r="13" ht="12.75">
      <c r="A13" s="280" t="s">
        <v>650</v>
      </c>
    </row>
    <row r="14" ht="12.75">
      <c r="A14" s="280" t="s">
        <v>566</v>
      </c>
    </row>
    <row r="15" ht="12.75">
      <c r="A15" s="280" t="s">
        <v>664</v>
      </c>
    </row>
    <row r="16" ht="12.75">
      <c r="A16" s="280" t="s">
        <v>600</v>
      </c>
    </row>
    <row r="17" ht="12.75">
      <c r="A17" s="280" t="s">
        <v>611</v>
      </c>
    </row>
    <row r="18" ht="12.75">
      <c r="A18" s="280" t="s">
        <v>646</v>
      </c>
    </row>
    <row r="19" ht="12.75">
      <c r="A19" s="280" t="s">
        <v>643</v>
      </c>
    </row>
    <row r="20" ht="12.75">
      <c r="A20" s="280" t="s">
        <v>629</v>
      </c>
    </row>
    <row r="21" ht="12.75">
      <c r="A21" s="280" t="s">
        <v>568</v>
      </c>
    </row>
    <row r="22" ht="12.75">
      <c r="A22" s="280" t="s">
        <v>626</v>
      </c>
    </row>
    <row r="23" ht="12.75">
      <c r="A23" s="280" t="s">
        <v>584</v>
      </c>
    </row>
    <row r="24" ht="12.75">
      <c r="A24" s="280" t="s">
        <v>651</v>
      </c>
    </row>
    <row r="25" ht="12.75">
      <c r="A25" s="280" t="s">
        <v>647</v>
      </c>
    </row>
    <row r="26" ht="12.75">
      <c r="A26" s="280" t="s">
        <v>614</v>
      </c>
    </row>
    <row r="27" ht="12.75">
      <c r="A27" s="280" t="s">
        <v>645</v>
      </c>
    </row>
    <row r="28" ht="12.75">
      <c r="A28" s="280" t="s">
        <v>636</v>
      </c>
    </row>
    <row r="29" ht="12.75">
      <c r="A29" s="280" t="s">
        <v>602</v>
      </c>
    </row>
    <row r="30" ht="12.75">
      <c r="A30" s="280" t="s">
        <v>612</v>
      </c>
    </row>
    <row r="31" ht="12.75">
      <c r="A31" s="280" t="s">
        <v>621</v>
      </c>
    </row>
    <row r="32" ht="12.75">
      <c r="A32" s="280" t="s">
        <v>561</v>
      </c>
    </row>
    <row r="33" ht="12.75">
      <c r="A33" s="280" t="s">
        <v>638</v>
      </c>
    </row>
    <row r="34" ht="12.75">
      <c r="A34" s="280" t="s">
        <v>627</v>
      </c>
    </row>
    <row r="35" ht="12.75">
      <c r="A35" s="280" t="s">
        <v>569</v>
      </c>
    </row>
    <row r="36" ht="12.75">
      <c r="A36" s="280" t="s">
        <v>624</v>
      </c>
    </row>
    <row r="37" ht="12.75">
      <c r="A37" s="280" t="s">
        <v>641</v>
      </c>
    </row>
    <row r="38" ht="12.75">
      <c r="A38" s="280" t="s">
        <v>648</v>
      </c>
    </row>
    <row r="39" ht="12.75">
      <c r="A39" s="280" t="s">
        <v>592</v>
      </c>
    </row>
    <row r="40" ht="12.75">
      <c r="A40" s="280" t="s">
        <v>603</v>
      </c>
    </row>
    <row r="41" ht="12.75">
      <c r="A41" s="280" t="s">
        <v>605</v>
      </c>
    </row>
    <row r="42" ht="12.75">
      <c r="A42" s="280" t="s">
        <v>595</v>
      </c>
    </row>
    <row r="43" ht="12.75">
      <c r="A43" s="280" t="s">
        <v>562</v>
      </c>
    </row>
    <row r="44" ht="12.75">
      <c r="A44" s="280" t="s">
        <v>649</v>
      </c>
    </row>
    <row r="45" ht="12.75">
      <c r="A45" s="280" t="s">
        <v>639</v>
      </c>
    </row>
    <row r="46" ht="12.75">
      <c r="A46" s="280" t="s">
        <v>576</v>
      </c>
    </row>
    <row r="47" ht="12.75">
      <c r="A47" s="280" t="s">
        <v>628</v>
      </c>
    </row>
    <row r="48" ht="12.75">
      <c r="A48" s="280" t="s">
        <v>579</v>
      </c>
    </row>
    <row r="49" ht="12.75">
      <c r="A49" s="280" t="s">
        <v>637</v>
      </c>
    </row>
    <row r="50" ht="12.75">
      <c r="A50" s="280" t="s">
        <v>615</v>
      </c>
    </row>
    <row r="51" ht="12.75">
      <c r="A51" s="280" t="s">
        <v>625</v>
      </c>
    </row>
    <row r="52" ht="12.75">
      <c r="A52" s="280" t="s">
        <v>591</v>
      </c>
    </row>
    <row r="53" ht="12.75">
      <c r="A53" s="280" t="s">
        <v>635</v>
      </c>
    </row>
    <row r="54" ht="12.75">
      <c r="A54" s="280" t="s">
        <v>640</v>
      </c>
    </row>
    <row r="55" ht="12.75">
      <c r="A55" s="280" t="s">
        <v>618</v>
      </c>
    </row>
    <row r="56" ht="12.75">
      <c r="A56" s="280" t="s">
        <v>634</v>
      </c>
    </row>
    <row r="57" ht="12.75">
      <c r="A57" s="280" t="s">
        <v>609</v>
      </c>
    </row>
    <row r="58" ht="12.75">
      <c r="A58" s="280" t="s">
        <v>619</v>
      </c>
    </row>
    <row r="59" ht="12.75">
      <c r="A59" s="280" t="s">
        <v>652</v>
      </c>
    </row>
    <row r="60" ht="12.75">
      <c r="A60" s="280" t="s">
        <v>578</v>
      </c>
    </row>
    <row r="61" ht="12.75">
      <c r="A61" s="280" t="s">
        <v>582</v>
      </c>
    </row>
    <row r="62" ht="12.75">
      <c r="A62" s="280" t="s">
        <v>564</v>
      </c>
    </row>
    <row r="63" ht="12.75">
      <c r="A63" s="280" t="s">
        <v>565</v>
      </c>
    </row>
    <row r="64" ht="12.75">
      <c r="A64" s="280" t="s">
        <v>598</v>
      </c>
    </row>
    <row r="65" ht="12.75">
      <c r="A65" s="280" t="s">
        <v>617</v>
      </c>
    </row>
    <row r="66" ht="12.75">
      <c r="A66" s="280" t="s">
        <v>631</v>
      </c>
    </row>
    <row r="67" ht="12.75">
      <c r="A67" s="280" t="s">
        <v>630</v>
      </c>
    </row>
    <row r="68" ht="12.75">
      <c r="A68" s="280" t="s">
        <v>608</v>
      </c>
    </row>
    <row r="69" ht="12.75">
      <c r="A69" s="280" t="s">
        <v>571</v>
      </c>
    </row>
    <row r="70" ht="12.75">
      <c r="A70" s="280" t="s">
        <v>574</v>
      </c>
    </row>
    <row r="71" ht="12.75">
      <c r="A71" s="280" t="s">
        <v>575</v>
      </c>
    </row>
    <row r="72" ht="12.75">
      <c r="A72" s="280" t="s">
        <v>632</v>
      </c>
    </row>
    <row r="73" ht="12.75">
      <c r="A73" s="280" t="s">
        <v>585</v>
      </c>
    </row>
    <row r="74" ht="12.75">
      <c r="A74" s="280" t="s">
        <v>644</v>
      </c>
    </row>
    <row r="75" ht="12.75">
      <c r="A75" s="280" t="s">
        <v>601</v>
      </c>
    </row>
    <row r="76" ht="12.75">
      <c r="A76" s="280" t="s">
        <v>593</v>
      </c>
    </row>
    <row r="77" ht="12.75">
      <c r="A77" s="280" t="s">
        <v>606</v>
      </c>
    </row>
    <row r="78" ht="12.75">
      <c r="A78" s="280" t="s">
        <v>613</v>
      </c>
    </row>
    <row r="79" ht="12.75">
      <c r="A79" s="280" t="s">
        <v>563</v>
      </c>
    </row>
    <row r="80" ht="12.75">
      <c r="A80" s="280" t="s">
        <v>587</v>
      </c>
    </row>
    <row r="81" ht="12.75">
      <c r="A81" s="280" t="s">
        <v>581</v>
      </c>
    </row>
    <row r="82" ht="12.75">
      <c r="A82" s="280" t="s">
        <v>583</v>
      </c>
    </row>
    <row r="83" ht="12.75">
      <c r="A83" s="280" t="s">
        <v>588</v>
      </c>
    </row>
    <row r="84" ht="12.75">
      <c r="A84" s="280" t="s">
        <v>623</v>
      </c>
    </row>
    <row r="85" ht="12.75">
      <c r="A85" s="280" t="s">
        <v>586</v>
      </c>
    </row>
    <row r="86" ht="12.75">
      <c r="A86" s="280" t="s">
        <v>577</v>
      </c>
    </row>
    <row r="87" ht="12.75">
      <c r="A87" s="280" t="s">
        <v>620</v>
      </c>
    </row>
    <row r="88" ht="12.75">
      <c r="A88" s="280" t="s">
        <v>567</v>
      </c>
    </row>
    <row r="89" ht="12.75">
      <c r="A89" s="280" t="s">
        <v>622</v>
      </c>
    </row>
    <row r="90" ht="12.75">
      <c r="A90" s="280" t="s">
        <v>599</v>
      </c>
    </row>
    <row r="91" ht="12.75">
      <c r="A91" s="280" t="s">
        <v>610</v>
      </c>
    </row>
    <row r="92" ht="12.75">
      <c r="A92" s="280" t="s">
        <v>616</v>
      </c>
    </row>
    <row r="93" ht="12.75">
      <c r="A93" s="280" t="s">
        <v>633</v>
      </c>
    </row>
    <row r="94" ht="12.75">
      <c r="A94" s="280" t="s">
        <v>596</v>
      </c>
    </row>
    <row r="95" ht="12.75">
      <c r="A95" s="280" t="s">
        <v>590</v>
      </c>
    </row>
    <row r="96" ht="12.75">
      <c r="A96" s="280" t="s">
        <v>594</v>
      </c>
    </row>
    <row r="97" ht="12.75">
      <c r="A97" s="280" t="s">
        <v>604</v>
      </c>
    </row>
    <row r="98" ht="12.75">
      <c r="A98" s="280" t="s">
        <v>607</v>
      </c>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