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<sst xmlns="http://schemas.openxmlformats.org/spreadsheetml/2006/main" count="1162" uniqueCount="542">
  <si>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</si>
  <si>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</si>
  <si>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</si>
  <si>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</si>
  <si>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</si>
  <si>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</si>
  <si>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</si>
  <si>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</si>
  <si>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</si>
  <si>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</si>
  <si>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</si>
  <si>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</si>
  <si>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</si>
  <si>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</si>
  <si>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</si>
  <si>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</si>
  <si>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</si>
  <si>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</si>
  <si>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</si>
  <si>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</si>
  <si>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</si>
  <si>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</si>
  <si>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</si>
  <si>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</si>
  <si>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</si>
  <si>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</si>
  <si>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</si>
  <si>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</si>
  <si>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</si>
  <si>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</si>
  <si>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</si>
  <si>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</si>
  <si>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</si>
  <si>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</si>
  <si>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</si>
  <si>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</si>
  <si>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</si>
  <si>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</si>
  <si>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</si>
  <si>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</si>
  <si>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</si>
  <si>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</si>
  <si>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</si>
  <si>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</si>
  <si>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</si>
  <si>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</si>
  <si>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</si>
  <si>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</si>
  <si>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</si>
  <si>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</si>
  <si>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</si>
  <si>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</si>
  <si>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</si>
  <si>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</si>
  <si>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</si>
  <si>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</si>
  <si>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</si>
  <si>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</si>
  <si>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</si>
  <si>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</si>
  <si>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</si>
  <si>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</si>
  <si>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</si>
  <si>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</si>
  <si>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</si>
  <si>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</si>
  <si>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</si>
  <si>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</si>
  <si>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</si>
  <si>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</si>
  <si>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</si>
  <si>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</si>
  <si>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</si>
  <si>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</si>
  <si>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</si>
  <si>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</si>
  <si>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</si>
  <si>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</si>
  <si>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</si>
  <si>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</si>
  <si>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</si>
  <si>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</si>
  <si>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</si>
  <si>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</si>
  <si>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</si>
  <si>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</si>
  <si>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</si>
  <si>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</si>
  <si>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</si>
  <si>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</si>
  <si>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</si>
  <si>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</si>
  <si>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</si>
  <si>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</si>
  <si>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</si>
  <si>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</si>
  <si>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</si>
  <si>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</si>
  <si>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</si>
  <si>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</si>
  <si>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</si>
  <si>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</si>
  <si>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</si>
  <si>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</si>
  <si>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</si>
  <si>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</si>
  <si>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</si>
  <si>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</si>
  <si>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</si>
  <si>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</si>
  <si>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</si>
  <si>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</si>
  <si>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</si>
  <si>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</si>
  <si>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</si>
  <si>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</si>
  <si>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</si>
  <si>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</si>
  <si>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</si>
  <si>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</si>
  <si>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</si>
  <si>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</si>
  <si>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</si>
  <si>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</si>
  <si>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</si>
  <si>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</si>
  <si>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</si>
  <si>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</si>
  <si>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</si>
  <si>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</si>
  <si>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</si>
  <si>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</si>
  <si>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</si>
  <si>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</si>
  <si>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</si>
  <si>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</si>
  <si>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</si>
  <si>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</si>
  <si>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</si>
  <si>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</si>
  <si>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</si>
  <si>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</si>
  <si>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</si>
  <si>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</si>
  <si>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</si>
  <si>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</si>
  <si>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</si>
  <si>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</si>
  <si>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</si>
  <si>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</si>
  <si>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</si>
  <si>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</si>
  <si>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</si>
  <si>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</si>
  <si>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</si>
  <si>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</si>
  <si>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</si>
  <si>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</si>
  <si>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</si>
  <si>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</si>
  <si>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</si>
  <si>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</si>
  <si>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</si>
  <si>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</si>
  <si>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</si>
  <si>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</si>
  <si>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</si>
  <si>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</si>
  <si>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</si>
  <si>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</si>
  <si>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</si>
  <si>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</si>
  <si>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</si>
  <si>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</si>
  <si>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</si>
  <si>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</si>
  <si>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</si>
  <si>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</si>
  <si>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</si>
  <si>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</si>
  <si>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</si>
  <si>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</si>
  <si>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</si>
  <si>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</si>
  <si>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</si>
  <si>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</si>
  <si>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</si>
  <si>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</si>
  <si>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</si>
  <si>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</si>
  <si>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</si>
  <si>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</si>
  <si>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</si>
  <si>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</si>
  <si>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</si>
  <si>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</si>
  <si>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</si>
  <si>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</si>
  <si>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</si>
  <si>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</si>
  <si>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</si>
  <si>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</si>
  <si>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</si>
  <si>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</si>
  <si>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</si>
  <si>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</si>
  <si>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</si>
  <si>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</si>
  <si>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</si>
  <si>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</si>
  <si>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</si>
  <si>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</si>
  <si>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</si>
  <si>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</si>
  <si>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</si>
  <si>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</si>
  <si>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</si>
  <si>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</si>
  <si>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</si>
  <si>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</si>
  <si>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</si>
  <si>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</si>
  <si>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</si>
  <si>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</si>
  <si>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</si>
  <si>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</si>
  <si>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</si>
  <si>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</si>
  <si>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</si>
  <si>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</si>
  <si>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</si>
  <si>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</si>
  <si>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</si>
  <si>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</si>
  <si>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</si>
  <si>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</si>
  <si>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</si>
  <si>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</si>
  <si>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</si>
  <si>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</si>
  <si>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</si>
  <si>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</si>
  <si>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</si>
  <si>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</si>
  <si>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</si>
  <si>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</si>
  <si>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</si>
  <si>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</si>
  <si>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</si>
  <si>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</si>
  <si>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</si>
  <si>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</si>
  <si>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</si>
  <si>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</si>
  <si>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</si>
  <si>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</si>
  <si>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</si>
  <si>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</si>
  <si>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</si>
  <si>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</si>
  <si>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</si>
  <si>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</si>
  <si>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</si>
  <si>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</si>
  <si>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</si>
  <si>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</si>
  <si>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</si>
  <si>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</si>
  <si>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</si>
  <si>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</si>
  <si>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</si>
  <si>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</si>
  <si>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</si>
  <si>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</si>
  <si>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</si>
  <si>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</si>
  <si>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</si>
  <si>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</si>
  <si>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</si>
  <si>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</si>
  <si>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</si>
  <si>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</si>
  <si>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C81006</t>
  </si>
  <si>
    <t>C81007</t>
  </si>
  <si>
    <t>C81009</t>
  </si>
  <si>
    <t>C81014</t>
  </si>
  <si>
    <t>C81019</t>
  </si>
  <si>
    <t>C81035</t>
  </si>
  <si>
    <t>C81036</t>
  </si>
  <si>
    <t>C81040</t>
  </si>
  <si>
    <t>C81042</t>
  </si>
  <si>
    <t>C81047</t>
  </si>
  <si>
    <t>C81051</t>
  </si>
  <si>
    <t>C81054</t>
  </si>
  <si>
    <t>C81064</t>
  </si>
  <si>
    <t>C81066</t>
  </si>
  <si>
    <t>C81068</t>
  </si>
  <si>
    <t>C81072</t>
  </si>
  <si>
    <t>C81073</t>
  </si>
  <si>
    <t>C81087</t>
  </si>
  <si>
    <t>C81100</t>
  </si>
  <si>
    <t>C81108</t>
  </si>
  <si>
    <t>C81113</t>
  </si>
  <si>
    <t>C81118</t>
  </si>
  <si>
    <t>C81616</t>
  </si>
  <si>
    <t>C81626</t>
  </si>
  <si>
    <t>C81629</t>
  </si>
  <si>
    <t>C81639</t>
  </si>
  <si>
    <t>C81648</t>
  </si>
  <si>
    <t>C81652</t>
  </si>
  <si>
    <t>C81653</t>
  </si>
  <si>
    <t>C81665</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</si>
  <si>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</si>
  <si>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</si>
  <si>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</si>
  <si>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</si>
  <si>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</si>
  <si>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</si>
  <si>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</si>
  <si>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</si>
  <si>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</si>
  <si>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</si>
  <si>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</si>
  <si>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</si>
  <si>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</si>
  <si>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</si>
  <si>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</si>
  <si>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</si>
  <si>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</si>
  <si>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</si>
  <si>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</si>
  <si>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</si>
  <si>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</si>
  <si>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</si>
  <si>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</si>
  <si>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</si>
  <si>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</si>
  <si>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</si>
  <si>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</si>
  <si>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</si>
  <si>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</si>
  <si>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</si>
  <si>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</si>
  <si>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</si>
  <si>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</si>
  <si>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</si>
  <si>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</si>
  <si>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</si>
  <si>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</si>
  <si>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</si>
  <si>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</si>
  <si>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</si>
  <si>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</si>
  <si>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</si>
  <si>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</si>
  <si>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</si>
  <si>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</si>
  <si>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</si>
  <si>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</si>
  <si>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</si>
  <si>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</si>
  <si>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</si>
  <si>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</si>
  <si>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</si>
  <si>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</si>
  <si>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</si>
  <si>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</si>
  <si>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</si>
  <si>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</si>
  <si>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</si>
  <si>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</si>
  <si>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</si>
  <si>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</si>
  <si>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</si>
  <si>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</si>
  <si>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</si>
  <si>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</si>
  <si>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</si>
  <si>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</si>
  <si>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</si>
  <si>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</si>
  <si>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</si>
  <si>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</si>
  <si>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</si>
  <si>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</si>
  <si>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</si>
  <si>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</si>
  <si>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</si>
  <si>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</si>
  <si>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</si>
  <si>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</si>
  <si>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</si>
  <si>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</si>
  <si>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</si>
  <si>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</si>
  <si>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</si>
  <si>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</si>
  <si>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</si>
  <si>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</si>
  <si>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</si>
  <si>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</si>
  <si>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</si>
  <si>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</si>
  <si>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</si>
  <si>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</si>
  <si>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</si>
  <si>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</si>
  <si>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</si>
  <si>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</si>
  <si>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</si>
  <si>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</si>
  <si>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</si>
  <si>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</si>
  <si>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</si>
  <si>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</si>
  <si>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</si>
  <si>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</si>
  <si>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</si>
  <si>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</si>
  <si>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</si>
  <si>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</si>
  <si>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</si>
  <si>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</si>
  <si>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</si>
  <si>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</si>
  <si>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</si>
  <si>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</si>
  <si>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</si>
  <si>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</si>
  <si>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</si>
  <si>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</si>
  <si>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</si>
  <si>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</si>
  <si>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</si>
  <si>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</si>
  <si>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</si>
  <si>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</si>
  <si>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</si>
  <si>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</si>
  <si>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</si>
  <si>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</si>
  <si>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</si>
  <si>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</si>
  <si>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</si>
  <si>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</si>
  <si>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</si>
  <si>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</si>
  <si>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</si>
  <si>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</si>
  <si>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</si>
  <si>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</si>
  <si>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</si>
  <si>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</si>
  <si>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</si>
  <si>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</si>
  <si>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</si>
  <si>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</si>
  <si>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</si>
  <si>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</si>
  <si>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</si>
  <si>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</si>
  <si>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</si>
  <si>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</si>
  <si>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</si>
  <si>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</si>
  <si>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</si>
  <si>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</si>
  <si>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</si>
  <si>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</si>
  <si>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</si>
  <si>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</si>
  <si>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</si>
  <si>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</si>
  <si>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</si>
  <si>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</si>
  <si>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</si>
  <si>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</si>
  <si>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</si>
  <si>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</si>
  <si>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</si>
  <si>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</si>
  <si>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</si>
  <si>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</si>
  <si>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</si>
  <si>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</si>
  <si>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</si>
  <si>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</si>
  <si>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</si>
  <si>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</si>
  <si>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</si>
  <si>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</si>
  <si>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</si>
  <si>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</si>
  <si>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</si>
  <si>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</si>
  <si>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C81071</t>
  </si>
  <si>
    <t>2010/11</t>
  </si>
  <si>
    <t>2008/09-2010/11</t>
  </si>
  <si>
    <t>2005/06-2010/11</t>
  </si>
  <si>
    <t>(C81006) CHARNWOOD SURGERY</t>
  </si>
  <si>
    <t>(C81007) VERNON STREET MEDICAL CENTRE</t>
  </si>
  <si>
    <t>(C81009) WILSON STREET SURGERY</t>
  </si>
  <si>
    <t>(C81014) DERWENT VALLEY MEDICAL PRACTICE</t>
  </si>
  <si>
    <t>(C81019) WELLSIDE MEDICAL CENTRE</t>
  </si>
  <si>
    <t>(C81035) VILLAGE SURGERY</t>
  </si>
  <si>
    <t>(C81036) FRIAR GATE SURGERY</t>
  </si>
  <si>
    <t>(C81040) PARK LANE SURGERY</t>
  </si>
  <si>
    <t>(C81042) VICARAGE ROAD MEDICAL CENTRE</t>
  </si>
  <si>
    <t>(C81047) ALVASTON MEDICAL CENTRE</t>
  </si>
  <si>
    <t>(C81051) THE PARK MEDICAL PRACTICE</t>
  </si>
  <si>
    <t>(C81054) HOLLYBROOK MEDICAL CENTRE</t>
  </si>
  <si>
    <t>(C81064) PARK FARM MEDICAL CENTRE</t>
  </si>
  <si>
    <t>(C81066) OVERDALE MEDICAL PRACTICE</t>
  </si>
  <si>
    <t>(C81068) CHAPEL STREET MEDICAL CENTRE</t>
  </si>
  <si>
    <t>(C81071) OSMASTON SURGERY</t>
  </si>
  <si>
    <t>(C81072) LISTER HOUSE SURGERY</t>
  </si>
  <si>
    <t>(C81073) MACKLIN STREET SURGERY</t>
  </si>
  <si>
    <t>(C81087) HAVEN MEDICAL CENTRE</t>
  </si>
  <si>
    <t>(C81100) THE NEW PARKFIELDS SURGERY</t>
  </si>
  <si>
    <t>(C81108) CHELLASTON MEDICAL CENTRE</t>
  </si>
  <si>
    <t>(C81113) MICKLEOVER SURGERY</t>
  </si>
  <si>
    <t>(C81118) DERBY FAMILY MEDICAL CENTRE</t>
  </si>
  <si>
    <t>(C81616) PEARTREE MEDICAL CENTRE</t>
  </si>
  <si>
    <t>(C81626) NORMANTON MEDICAL CENTRE</t>
  </si>
  <si>
    <t>(C81629) CLARENCE ROAD SURGERY</t>
  </si>
  <si>
    <t>(C81639) HEMA MEDICAL CENTRE</t>
  </si>
  <si>
    <t>(C81648) OAKWOOD SURGERY</t>
  </si>
  <si>
    <t>(C81652) DERWENT MEDICAL CENTRE</t>
  </si>
  <si>
    <t>(C81653) BROOK MEDICAL CENTRE</t>
  </si>
  <si>
    <t>(C81665) MEADOWFIELDS PRACTICE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</si>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</sst>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0.9351114887836038</c:v>
                </c:pt>
                <c:pt idx="3">
                  <c:v>0.9999999534338717</c:v>
                </c:pt>
                <c:pt idx="4">
                  <c:v>0.867094723070709</c:v>
                </c:pt>
                <c:pt idx="5">
                  <c:v>0.9772722562284859</c:v>
                </c:pt>
                <c:pt idx="6">
                  <c:v>1</c:v>
                </c:pt>
                <c:pt idx="7">
                  <c:v>0.7618271783731595</c:v>
                </c:pt>
                <c:pt idx="8">
                  <c:v>1</c:v>
                </c:pt>
                <c:pt idx="9">
                  <c:v>1</c:v>
                </c:pt>
                <c:pt idx="10">
                  <c:v>0.8223771156321974</c:v>
                </c:pt>
                <c:pt idx="11">
                  <c:v>0.7523243394673716</c:v>
                </c:pt>
                <c:pt idx="12">
                  <c:v>1</c:v>
                </c:pt>
                <c:pt idx="13">
                  <c:v>0</c:v>
                </c:pt>
                <c:pt idx="14">
                  <c:v>1</c:v>
                </c:pt>
                <c:pt idx="15">
                  <c:v>0.8283586587235169</c:v>
                </c:pt>
                <c:pt idx="16">
                  <c:v>0.9347540520911504</c:v>
                </c:pt>
                <c:pt idx="17">
                  <c:v>1</c:v>
                </c:pt>
                <c:pt idx="18">
                  <c:v>1</c:v>
                </c:pt>
                <c:pt idx="19">
                  <c:v>1</c:v>
                </c:pt>
                <c:pt idx="20">
                  <c:v>1</c:v>
                </c:pt>
                <c:pt idx="21">
                  <c:v>1</c:v>
                </c:pt>
                <c:pt idx="22">
                  <c:v>0.8338503242935998</c:v>
                </c:pt>
                <c:pt idx="23">
                  <c:v>0.9188823183552378</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0.6294306979858086</c:v>
                </c:pt>
                <c:pt idx="3">
                  <c:v>0.7083333191047941</c:v>
                </c:pt>
                <c:pt idx="4">
                  <c:v>0.6166745315357051</c:v>
                </c:pt>
                <c:pt idx="5">
                  <c:v>0.5923660527589625</c:v>
                </c:pt>
                <c:pt idx="6">
                  <c:v>0.666666687362723</c:v>
                </c:pt>
                <c:pt idx="7">
                  <c:v>0.5799890747868949</c:v>
                </c:pt>
                <c:pt idx="8">
                  <c:v>0.722737412019491</c:v>
                </c:pt>
                <c:pt idx="9">
                  <c:v>0.7125199030277507</c:v>
                </c:pt>
                <c:pt idx="10">
                  <c:v>0.6259034567608106</c:v>
                </c:pt>
                <c:pt idx="11">
                  <c:v>0.5590795878346436</c:v>
                </c:pt>
                <c:pt idx="12">
                  <c:v>0.6888072377387094</c:v>
                </c:pt>
                <c:pt idx="13">
                  <c:v>0</c:v>
                </c:pt>
                <c:pt idx="14">
                  <c:v>0.5839056173042001</c:v>
                </c:pt>
                <c:pt idx="15">
                  <c:v>0.6069325951748085</c:v>
                </c:pt>
                <c:pt idx="16">
                  <c:v>0.6568937346663924</c:v>
                </c:pt>
                <c:pt idx="17">
                  <c:v>0.5526444250301801</c:v>
                </c:pt>
                <c:pt idx="18">
                  <c:v>0.5789627857312679</c:v>
                </c:pt>
                <c:pt idx="19">
                  <c:v>0.6519365266847587</c:v>
                </c:pt>
                <c:pt idx="20">
                  <c:v>0.6050736239589728</c:v>
                </c:pt>
                <c:pt idx="21">
                  <c:v>0.6362435722391749</c:v>
                </c:pt>
                <c:pt idx="22">
                  <c:v>0.5940283128946101</c:v>
                </c:pt>
                <c:pt idx="23">
                  <c:v>0.6532277493254082</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0.32102815686273567</c:v>
                </c:pt>
                <c:pt idx="3">
                  <c:v>0.29166664985112034</c:v>
                </c:pt>
                <c:pt idx="4">
                  <c:v>0.3309473195258088</c:v>
                </c:pt>
                <c:pt idx="5">
                  <c:v>0.3471191224750422</c:v>
                </c:pt>
                <c:pt idx="6">
                  <c:v>0.3833333498901784</c:v>
                </c:pt>
                <c:pt idx="7">
                  <c:v>0.32231961753284977</c:v>
                </c:pt>
                <c:pt idx="8">
                  <c:v>0.4157495036996932</c:v>
                </c:pt>
                <c:pt idx="9">
                  <c:v>0.3986662070503557</c:v>
                </c:pt>
                <c:pt idx="10">
                  <c:v>0.37443913775783855</c:v>
                </c:pt>
                <c:pt idx="11">
                  <c:v>0.3486446824715914</c:v>
                </c:pt>
                <c:pt idx="12">
                  <c:v>0.29749829992834836</c:v>
                </c:pt>
                <c:pt idx="13">
                  <c:v>0</c:v>
                </c:pt>
                <c:pt idx="14">
                  <c:v>0.4170107981847798</c:v>
                </c:pt>
                <c:pt idx="15">
                  <c:v>0.434461599338933</c:v>
                </c:pt>
                <c:pt idx="16">
                  <c:v>0.316775479072555</c:v>
                </c:pt>
                <c:pt idx="17">
                  <c:v>0.4099246829782972</c:v>
                </c:pt>
                <c:pt idx="18">
                  <c:v>0.3663464958670882</c:v>
                </c:pt>
                <c:pt idx="19">
                  <c:v>0.38851144155282724</c:v>
                </c:pt>
                <c:pt idx="20">
                  <c:v>0.3352849892820901</c:v>
                </c:pt>
                <c:pt idx="21">
                  <c:v>0.40901645697501454</c:v>
                </c:pt>
                <c:pt idx="22">
                  <c:v>0.36800734315899797</c:v>
                </c:pt>
                <c:pt idx="23">
                  <c:v>0.33938713103713014</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c:v>
                </c:pt>
                <c:pt idx="4">
                  <c:v>0</c:v>
                </c:pt>
                <c:pt idx="5">
                  <c:v>0</c:v>
                </c:pt>
                <c:pt idx="6">
                  <c:v>0.23333334678576997</c:v>
                </c:pt>
                <c:pt idx="7">
                  <c:v>0</c:v>
                </c:pt>
                <c:pt idx="8">
                  <c:v>0.06318474402935692</c:v>
                </c:pt>
                <c:pt idx="9">
                  <c:v>0.08908575410187747</c:v>
                </c:pt>
                <c:pt idx="10">
                  <c:v>0</c:v>
                </c:pt>
                <c:pt idx="11">
                  <c:v>0</c:v>
                </c:pt>
                <c:pt idx="12">
                  <c:v>0.0567905139061022</c:v>
                </c:pt>
                <c:pt idx="13">
                  <c:v>0</c:v>
                </c:pt>
                <c:pt idx="14">
                  <c:v>0.25956313346230286</c:v>
                </c:pt>
                <c:pt idx="15">
                  <c:v>0</c:v>
                </c:pt>
                <c:pt idx="16">
                  <c:v>0</c:v>
                </c:pt>
                <c:pt idx="17">
                  <c:v>0.22119376738070562</c:v>
                </c:pt>
                <c:pt idx="18">
                  <c:v>0.26395369156103005</c:v>
                </c:pt>
                <c:pt idx="19">
                  <c:v>0.27853871670540814</c:v>
                </c:pt>
                <c:pt idx="20">
                  <c:v>0.10958942898861555</c:v>
                </c:pt>
                <c:pt idx="21">
                  <c:v>0.19492385704404266</c:v>
                </c:pt>
                <c:pt idx="22">
                  <c:v>0</c:v>
                </c:pt>
                <c:pt idx="23">
                  <c:v>0</c:v>
                </c:pt>
                <c:pt idx="24">
                  <c:v>0</c:v>
                </c:pt>
                <c:pt idx="25">
                  <c:v>0</c:v>
                </c:pt>
                <c:pt idx="26">
                  <c:v>0</c:v>
                </c:pt>
              </c:numCache>
            </c:numRef>
          </c:val>
        </c:ser>
        <c:overlap val="100"/>
        <c:gapWidth val="100"/>
        <c:axId val="17363213"/>
        <c:axId val="22051190"/>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0.5531122501498426</c:v>
                </c:pt>
                <c:pt idx="3">
                  <c:v>0.4171220887929208</c:v>
                </c:pt>
                <c:pt idx="4">
                  <c:v>0.4939498850377944</c:v>
                </c:pt>
                <c:pt idx="5">
                  <c:v>0.6028203833630417</c:v>
                </c:pt>
                <c:pt idx="6">
                  <c:v>0.6313575360542972</c:v>
                </c:pt>
                <c:pt idx="7">
                  <c:v>0.34848050695564353</c:v>
                </c:pt>
                <c:pt idx="8">
                  <c:v>0.39162863212554627</c:v>
                </c:pt>
                <c:pt idx="9">
                  <c:v>0.4154351930924628</c:v>
                </c:pt>
                <c:pt idx="10">
                  <c:v>0.47941940705429353</c:v>
                </c:pt>
                <c:pt idx="11">
                  <c:v>0.4883943828171983</c:v>
                </c:pt>
                <c:pt idx="12">
                  <c:v>0.6058210666655823</c:v>
                </c:pt>
                <c:pt idx="13">
                  <c:v>0.5</c:v>
                </c:pt>
                <c:pt idx="14">
                  <c:v>0.46914230300323456</c:v>
                </c:pt>
                <c:pt idx="15">
                  <c:v>0.5208156059926866</c:v>
                </c:pt>
                <c:pt idx="16">
                  <c:v>0.7277945019755314</c:v>
                </c:pt>
                <c:pt idx="17">
                  <c:v>0.5574416690252937</c:v>
                </c:pt>
                <c:pt idx="18">
                  <c:v>0.5600214652069477</c:v>
                </c:pt>
                <c:pt idx="19">
                  <c:v>0.6197349782673136</c:v>
                </c:pt>
                <c:pt idx="20">
                  <c:v>0.6100896751505142</c:v>
                </c:pt>
                <c:pt idx="21">
                  <c:v>0.5309882065085841</c:v>
                </c:pt>
                <c:pt idx="22">
                  <c:v>0.5326227456719481</c:v>
                </c:pt>
                <c:pt idx="23">
                  <c:v>0.4367285729616389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0.678175178144936</c:v>
                </c:pt>
                <c:pt idx="5">
                  <c:v>0.7167395727512409</c:v>
                </c:pt>
                <c:pt idx="6">
                  <c:v>-999</c:v>
                </c:pt>
                <c:pt idx="7">
                  <c:v>-999</c:v>
                </c:pt>
                <c:pt idx="8">
                  <c:v>-999</c:v>
                </c:pt>
                <c:pt idx="9">
                  <c:v>-999</c:v>
                </c:pt>
                <c:pt idx="10">
                  <c:v>-999</c:v>
                </c:pt>
                <c:pt idx="11">
                  <c:v>-999</c:v>
                </c:pt>
                <c:pt idx="12">
                  <c:v>-999</c:v>
                </c:pt>
                <c:pt idx="13">
                  <c:v>-999</c:v>
                </c:pt>
                <c:pt idx="14">
                  <c:v>0.479876161529747</c:v>
                </c:pt>
                <c:pt idx="15">
                  <c:v>0.4818919895252036</c:v>
                </c:pt>
                <c:pt idx="16">
                  <c:v>0.6513418060271801</c:v>
                </c:pt>
                <c:pt idx="17">
                  <c:v>-999</c:v>
                </c:pt>
                <c:pt idx="18">
                  <c:v>-999</c:v>
                </c:pt>
                <c:pt idx="19">
                  <c:v>0.5798531867500286</c:v>
                </c:pt>
                <c:pt idx="20">
                  <c:v>-999</c:v>
                </c:pt>
                <c:pt idx="21">
                  <c:v>0.584253747710005</c:v>
                </c:pt>
                <c:pt idx="22">
                  <c:v>0.5916127994316589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0.755279773930418</c:v>
                </c:pt>
                <c:pt idx="3">
                  <c:v>0.37499999363596254</c:v>
                </c:pt>
                <c:pt idx="4">
                  <c:v>-999</c:v>
                </c:pt>
                <c:pt idx="5">
                  <c:v>-999</c:v>
                </c:pt>
                <c:pt idx="6">
                  <c:v>0.7999999846021341</c:v>
                </c:pt>
                <c:pt idx="7">
                  <c:v>0.7508721903934349</c:v>
                </c:pt>
                <c:pt idx="8">
                  <c:v>0.7998965601684414</c:v>
                </c:pt>
                <c:pt idx="9">
                  <c:v>0.6872215540035017</c:v>
                </c:pt>
                <c:pt idx="10">
                  <c:v>0.6614237112491796</c:v>
                </c:pt>
                <c:pt idx="11">
                  <c:v>0.6401283355593298</c:v>
                </c:pt>
                <c:pt idx="12">
                  <c:v>0.8619585943201832</c:v>
                </c:pt>
                <c:pt idx="13">
                  <c:v>0.6534174122807733</c:v>
                </c:pt>
                <c:pt idx="14">
                  <c:v>-999</c:v>
                </c:pt>
                <c:pt idx="15">
                  <c:v>-999</c:v>
                </c:pt>
                <c:pt idx="16">
                  <c:v>-999</c:v>
                </c:pt>
                <c:pt idx="17">
                  <c:v>0.707414618740613</c:v>
                </c:pt>
                <c:pt idx="18">
                  <c:v>0.9878433770220681</c:v>
                </c:pt>
                <c:pt idx="19">
                  <c:v>-999</c:v>
                </c:pt>
                <c:pt idx="20">
                  <c:v>0.7503004134334764</c:v>
                </c:pt>
                <c:pt idx="21">
                  <c:v>-999</c:v>
                </c:pt>
                <c:pt idx="22">
                  <c:v>-999</c:v>
                </c:pt>
                <c:pt idx="23">
                  <c:v>0.9188823037997073</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4242983"/>
        <c:axId val="41315936"/>
      </c:scatterChart>
      <c:catAx>
        <c:axId val="17363213"/>
        <c:scaling>
          <c:orientation val="maxMin"/>
        </c:scaling>
        <c:axPos val="l"/>
        <c:delete val="0"/>
        <c:numFmt formatCode="General" sourceLinked="1"/>
        <c:majorTickMark val="out"/>
        <c:minorTickMark val="none"/>
        <c:tickLblPos val="none"/>
        <c:spPr>
          <a:ln w="3175">
            <a:noFill/>
          </a:ln>
        </c:spPr>
        <c:crossAx val="22051190"/>
        <c:crosses val="autoZero"/>
        <c:auto val="1"/>
        <c:lblOffset val="100"/>
        <c:tickLblSkip val="1"/>
        <c:noMultiLvlLbl val="0"/>
      </c:catAx>
      <c:valAx>
        <c:axId val="22051190"/>
        <c:scaling>
          <c:orientation val="minMax"/>
          <c:max val="1"/>
          <c:min val="0"/>
        </c:scaling>
        <c:axPos val="t"/>
        <c:delete val="0"/>
        <c:numFmt formatCode="General" sourceLinked="1"/>
        <c:majorTickMark val="none"/>
        <c:minorTickMark val="none"/>
        <c:tickLblPos val="none"/>
        <c:spPr>
          <a:ln w="3175">
            <a:noFill/>
          </a:ln>
        </c:spPr>
        <c:crossAx val="17363213"/>
        <c:crossesAt val="1"/>
        <c:crossBetween val="between"/>
        <c:dispUnits/>
        <c:majorUnit val="1"/>
      </c:valAx>
      <c:valAx>
        <c:axId val="64242983"/>
        <c:scaling>
          <c:orientation val="minMax"/>
          <c:max val="1"/>
          <c:min val="0"/>
        </c:scaling>
        <c:axPos val="t"/>
        <c:delete val="0"/>
        <c:numFmt formatCode="General" sourceLinked="1"/>
        <c:majorTickMark val="none"/>
        <c:minorTickMark val="none"/>
        <c:tickLblPos val="none"/>
        <c:spPr>
          <a:ln w="3175">
            <a:noFill/>
          </a:ln>
        </c:spPr>
        <c:crossAx val="41315936"/>
        <c:crosses val="max"/>
        <c:crossBetween val="midCat"/>
        <c:dispUnits/>
        <c:majorUnit val="0.1"/>
        <c:minorUnit val="0.020000000000000004"/>
      </c:valAx>
      <c:valAx>
        <c:axId val="41315936"/>
        <c:scaling>
          <c:orientation val="maxMin"/>
          <c:max val="29"/>
          <c:min val="0"/>
        </c:scaling>
        <c:axPos val="l"/>
        <c:delete val="0"/>
        <c:numFmt formatCode="General" sourceLinked="1"/>
        <c:majorTickMark val="none"/>
        <c:minorTickMark val="none"/>
        <c:tickLblPos val="none"/>
        <c:spPr>
          <a:ln w="3175">
            <a:noFill/>
          </a:ln>
        </c:spPr>
        <c:crossAx val="64242983"/>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(C81047) ALVASTON MEDICAL CENTRE, DERBY CITY PCT (5N7)</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467</v>
      </c>
      <c r="Q3" s="65"/>
      <c r="R3" s="66"/>
      <c r="S3" s="66"/>
      <c r="T3" s="66"/>
      <c r="U3" s="66"/>
      <c r="V3" s="66"/>
      <c r="W3" s="66"/>
      <c r="X3" s="66"/>
      <c r="Y3" s="66"/>
      <c r="Z3" s="66"/>
      <c r="AA3" s="66"/>
      <c r="AB3" s="66"/>
      <c r="AC3" s="66"/>
    </row>
    <row r="4" spans="2:29" ht="18" customHeight="1">
      <c r="B4" s="319" t="s">
        <v>533</v>
      </c>
      <c r="C4" s="320"/>
      <c r="D4" s="320"/>
      <c r="E4" s="320"/>
      <c r="F4" s="320"/>
      <c r="G4" s="321"/>
      <c r="H4" s="112"/>
      <c r="I4" s="112"/>
      <c r="J4" s="112"/>
      <c r="K4" s="112"/>
      <c r="L4" s="113"/>
      <c r="M4" s="65"/>
      <c r="N4" s="65"/>
      <c r="O4" s="65"/>
      <c r="P4" s="134" t="s">
        <v>468</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469</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364</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532</v>
      </c>
      <c r="C8" s="115"/>
      <c r="D8" s="115"/>
      <c r="E8" s="128">
        <f>VLOOKUP('Hide - Control'!A$3,'All practice data'!A:CA,4,FALSE)</f>
        <v>10740</v>
      </c>
      <c r="F8" s="310" t="str">
        <f>VLOOKUP('Hide - Control'!B4,'Hide - Calculation'!AY:BA,3,FALSE)</f>
        <v> </v>
      </c>
      <c r="G8" s="310"/>
      <c r="H8" s="310"/>
      <c r="I8" s="115"/>
      <c r="J8" s="115"/>
      <c r="K8" s="115"/>
      <c r="L8" s="115"/>
      <c r="M8" s="109"/>
      <c r="N8" s="314" t="s">
        <v>477</v>
      </c>
      <c r="O8" s="314"/>
      <c r="P8" s="314"/>
      <c r="Q8" s="314" t="s">
        <v>32</v>
      </c>
      <c r="R8" s="314"/>
      <c r="S8" s="314"/>
      <c r="T8" s="314" t="s">
        <v>536</v>
      </c>
      <c r="U8" s="314"/>
      <c r="V8" s="314" t="s">
        <v>33</v>
      </c>
      <c r="W8" s="314"/>
      <c r="X8" s="314"/>
      <c r="Y8" s="135"/>
      <c r="Z8" s="314" t="s">
        <v>470</v>
      </c>
      <c r="AA8" s="314"/>
      <c r="AB8" s="161"/>
      <c r="AC8" s="109"/>
    </row>
    <row r="9" spans="2:29" s="61" customFormat="1" ht="19.5" customHeight="1" thickBot="1">
      <c r="B9" s="114" t="s">
        <v>462</v>
      </c>
      <c r="C9" s="114"/>
      <c r="D9" s="114"/>
      <c r="E9" s="129">
        <f>VLOOKUP('Hide - Control'!B4,'Hide - Calculation'!AY:BB,4,FALSE)</f>
        <v>295312</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459</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440</v>
      </c>
      <c r="E11" s="317"/>
      <c r="F11" s="318"/>
      <c r="G11" s="263" t="s">
        <v>438</v>
      </c>
      <c r="H11" s="255" t="s">
        <v>439</v>
      </c>
      <c r="I11" s="255" t="s">
        <v>450</v>
      </c>
      <c r="J11" s="255" t="s">
        <v>451</v>
      </c>
      <c r="K11" s="255" t="s">
        <v>322</v>
      </c>
      <c r="L11" s="256" t="s">
        <v>364</v>
      </c>
      <c r="M11" s="257" t="s">
        <v>460</v>
      </c>
      <c r="N11" s="334" t="s">
        <v>458</v>
      </c>
      <c r="O11" s="334"/>
      <c r="P11" s="334"/>
      <c r="Q11" s="334"/>
      <c r="R11" s="334"/>
      <c r="S11" s="334"/>
      <c r="T11" s="334"/>
      <c r="U11" s="334"/>
      <c r="V11" s="334"/>
      <c r="W11" s="334"/>
      <c r="X11" s="334"/>
      <c r="Y11" s="334"/>
      <c r="Z11" s="334"/>
      <c r="AA11" s="258" t="s">
        <v>461</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320</v>
      </c>
      <c r="C13" s="163">
        <v>1</v>
      </c>
      <c r="D13" s="312" t="s">
        <v>316</v>
      </c>
      <c r="E13" s="313"/>
      <c r="F13" s="313"/>
      <c r="G13" s="166">
        <f>IF(VLOOKUP('Hide - Control'!A$3,'All practice data'!A:CA,C13+4,FALSE)=" "," ",VLOOKUP('Hide - Control'!A$3,'All practice data'!A:CA,C13+4,FALSE))</f>
        <v>2122</v>
      </c>
      <c r="H13" s="190">
        <f>IF(VLOOKUP('Hide - Control'!A$3,'All practice data'!A:CA,C13+30,FALSE)=" "," ",VLOOKUP('Hide - Control'!A$3,'All practice data'!A:CA,C13+30,FALSE))</f>
        <v>0.19757914338919927</v>
      </c>
      <c r="I13" s="191">
        <f>IF(LEFT(G13,1)=" "," n/a",+((2*G13+1.96^2-1.96*SQRT(1.96^2+4*G13*(1-G13/E$8)))/(2*(E$8+1.96^2))))</f>
        <v>0.19015731714437759</v>
      </c>
      <c r="J13" s="191">
        <f>IF(LEFT(G13,1)=" "," n/a",+((2*G13+1.96^2+1.96*SQRT(1.96^2+4*G13*(1-G13/E$8)))/(2*(E$8+1.96^2))))</f>
        <v>0.205217238638351</v>
      </c>
      <c r="K13" s="190">
        <f>IF('Hide - Calculation'!N7="","",'Hide - Calculation'!N7)</f>
        <v>0.15030882591970526</v>
      </c>
      <c r="L13" s="192">
        <f>'Hide - Calculation'!O7</f>
        <v>0.1599882305185145</v>
      </c>
      <c r="M13" s="208">
        <f>IF(ISBLANK('Hide - Calculation'!K7),"",'Hide - Calculation'!U7)</f>
        <v>0.05714285746216774</v>
      </c>
      <c r="N13" s="173"/>
      <c r="O13" s="173"/>
      <c r="P13" s="173"/>
      <c r="Q13" s="173"/>
      <c r="R13" s="173"/>
      <c r="S13" s="173"/>
      <c r="T13" s="173"/>
      <c r="U13" s="173"/>
      <c r="V13" s="173"/>
      <c r="W13" s="173"/>
      <c r="X13" s="173"/>
      <c r="Y13" s="173"/>
      <c r="Z13" s="173"/>
      <c r="AA13" s="226">
        <f>IF(ISBLANK('Hide - Calculation'!K7),"",'Hide - Calculation'!T7)</f>
        <v>0.23101694881916046</v>
      </c>
      <c r="AB13" s="233" t="s">
        <v>530</v>
      </c>
      <c r="AC13" s="209" t="s">
        <v>531</v>
      </c>
    </row>
    <row r="14" spans="2:29" ht="33.75" customHeight="1">
      <c r="B14" s="306"/>
      <c r="C14" s="137">
        <v>2</v>
      </c>
      <c r="D14" s="132" t="s">
        <v>471</v>
      </c>
      <c r="E14" s="85"/>
      <c r="F14" s="85"/>
      <c r="G14" s="118" t="str">
        <f>IF(VLOOKUP('Hide - Control'!A$3,'All practice data'!A:CA,C14+4,FALSE)=" "," ",VLOOKUP('Hide - Control'!A$3,'All practice data'!A:CA,C14+4,FALSE))</f>
        <v>Quintile 3</v>
      </c>
      <c r="H14" s="119">
        <f>IF(VLOOKUP('Hide - Control'!A$3,'All practice data'!A:CA,C14+30,FALSE)=" "," ",VLOOKUP('Hide - Control'!A$3,'All practice data'!A:CA,C14+30,FALSE))</f>
        <v>0.14</v>
      </c>
      <c r="I14" s="120">
        <f>IF(LEFT(G14,1)=" "," n/a",+((2*H14*E8+1.96^2-1.96*SQRT(1.96^2+4*H14*E8*(1-H14*E8/E$8)))/(2*(E$8+1.96^2))))</f>
        <v>0.13356616584544898</v>
      </c>
      <c r="J14" s="120">
        <f>IF(LEFT(G14,1)=" "," n/a",+((2*H14*E8+1.96^2+1.96*SQRT(1.96^2+4*H14*E8*(1-H14*E8/E$8)))/(2*(E$8+1.96^2))))</f>
        <v>0.14669127949886812</v>
      </c>
      <c r="K14" s="119">
        <f>IF('Hide - Calculation'!N8="","",'Hide - Calculation'!N8)</f>
        <v>0.1658069431651948</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0.28999999165534973</v>
      </c>
      <c r="AB14" s="234" t="s">
        <v>39</v>
      </c>
      <c r="AC14" s="130" t="s">
        <v>531</v>
      </c>
    </row>
    <row r="15" spans="2:39" s="63" customFormat="1" ht="33.75" customHeight="1">
      <c r="B15" s="306"/>
      <c r="C15" s="137">
        <v>3</v>
      </c>
      <c r="D15" s="132" t="s">
        <v>325</v>
      </c>
      <c r="E15" s="85"/>
      <c r="F15" s="85"/>
      <c r="G15" s="121">
        <f>IF(VLOOKUP('Hide - Control'!A$3,'All practice data'!A:CA,C15+4,FALSE)=" "," ",VLOOKUP('Hide - Control'!A$3,'All practice data'!A:CA,C15+4,FALSE))</f>
        <v>62</v>
      </c>
      <c r="H15" s="122">
        <f>IF(VLOOKUP('Hide - Control'!A$3,'All practice data'!A:CA,C15+30,FALSE)=" "," ",VLOOKUP('Hide - Control'!A$3,'All practice data'!A:CA,C15+30,FALSE))</f>
        <v>577.2811918063314</v>
      </c>
      <c r="I15" s="123">
        <f>IF(LEFT(G15,1)=" "," n/a",IF(G15&lt;5,100000*VLOOKUP(G15,'Hide - Calculation'!AQ:AR,2,FALSE)/$E$8,100000*(G15*(1-1/(9*G15)-1.96/(3*SQRT(G15)))^3)/$E$8))</f>
        <v>442.57258866079275</v>
      </c>
      <c r="J15" s="123">
        <f>IF(LEFT(G15,1)=" "," n/a",IF(G15&lt;5,100000*VLOOKUP(G15,'Hide - Calculation'!AQ:AS,3,FALSE)/$E$8,100000*((G15+1)*(1-1/(9*(G15+1))+1.96/(3*SQRT(G15+1)))^3)/$E$8))</f>
        <v>740.0638258602454</v>
      </c>
      <c r="K15" s="122">
        <f>IF('Hide - Calculation'!N9="","",'Hide - Calculation'!N9)</f>
        <v>443.2600097523975</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712.29736328125</v>
      </c>
      <c r="AB15" s="234" t="s">
        <v>441</v>
      </c>
      <c r="AC15" s="131">
        <v>2009</v>
      </c>
      <c r="AD15" s="64"/>
      <c r="AE15" s="64"/>
      <c r="AF15" s="64"/>
      <c r="AG15" s="64"/>
      <c r="AH15" s="64"/>
      <c r="AI15" s="64"/>
      <c r="AJ15" s="64"/>
      <c r="AK15" s="64"/>
      <c r="AL15" s="64"/>
      <c r="AM15" s="64"/>
    </row>
    <row r="16" spans="2:29" s="63" customFormat="1" ht="33.75" customHeight="1">
      <c r="B16" s="306"/>
      <c r="C16" s="137">
        <v>4</v>
      </c>
      <c r="D16" s="132" t="s">
        <v>463</v>
      </c>
      <c r="E16" s="85"/>
      <c r="F16" s="85"/>
      <c r="G16" s="121">
        <f>IF(VLOOKUP('Hide - Control'!A$3,'All practice data'!A:CA,C16+4,FALSE)=" "," ",VLOOKUP('Hide - Control'!A$3,'All practice data'!A:CA,C16+4,FALSE))</f>
        <v>29</v>
      </c>
      <c r="H16" s="122">
        <f>IF(VLOOKUP('Hide - Control'!A$3,'All practice data'!A:CA,C16+30,FALSE)=" "," ",VLOOKUP('Hide - Control'!A$3,'All practice data'!A:CA,C16+30,FALSE))</f>
        <v>270.0186219739292</v>
      </c>
      <c r="I16" s="123">
        <f>IF(LEFT(G16,1)=" "," n/a",IF(G16&lt;5,100000*VLOOKUP(G16,'Hide - Calculation'!AQ:AR,2,FALSE)/$E$8,100000*(G16*(1-1/(9*G16)-1.96/(3*SQRT(G16)))^3)/$E$8))</f>
        <v>180.7968970695242</v>
      </c>
      <c r="J16" s="123">
        <f>IF(LEFT(G16,1)=" "," n/a",IF(G16&lt;5,100000*VLOOKUP(G16,'Hide - Calculation'!AQ:AS,3,FALSE)/$E$8,100000*((G16+1)*(1-1/(9*(G16+1))+1.96/(3*SQRT(G16+1)))^3)/$E$8))</f>
        <v>387.8081311880175</v>
      </c>
      <c r="K16" s="122">
        <f>IF('Hide - Calculation'!N10="","",'Hide - Calculation'!N10)</f>
        <v>208.25432085387658</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352.1126708984375</v>
      </c>
      <c r="AB16" s="234" t="s">
        <v>319</v>
      </c>
      <c r="AC16" s="131" t="s">
        <v>496</v>
      </c>
    </row>
    <row r="17" spans="2:29" s="63" customFormat="1" ht="33.75" customHeight="1" thickBot="1">
      <c r="B17" s="309"/>
      <c r="C17" s="180">
        <v>5</v>
      </c>
      <c r="D17" s="195" t="s">
        <v>324</v>
      </c>
      <c r="E17" s="182"/>
      <c r="F17" s="182"/>
      <c r="G17" s="140">
        <f>IF(VLOOKUP('Hide - Control'!A$3,'All practice data'!A:CA,C17+4,FALSE)=" "," ",VLOOKUP('Hide - Control'!A$3,'All practice data'!A:CA,C17+4,FALSE))</f>
        <v>224</v>
      </c>
      <c r="H17" s="141">
        <f>IF(VLOOKUP('Hide - Control'!A$3,'All practice data'!A:CA,C17+30,FALSE)=" "," ",VLOOKUP('Hide - Control'!A$3,'All practice data'!A:CA,C17+30,FALSE))</f>
        <v>0.021</v>
      </c>
      <c r="I17" s="142">
        <f>IF(LEFT(G17,1)=" "," n/a",+((2*G17+1.96^2-1.96*SQRT(1.96^2+4*G17*(1-G17/E$8)))/(2*(E$8+1.96^2))))</f>
        <v>0.018320285479311634</v>
      </c>
      <c r="J17" s="142">
        <f>IF(LEFT(G17,1)=" "," n/a",+((2*G17+1.96^2+1.96*SQRT(1.96^2+4*G17*(1-G17/E$8)))/(2*(E$8+1.96^2))))</f>
        <v>0.023735583996649365</v>
      </c>
      <c r="K17" s="141">
        <f>IF('Hide - Calculation'!N11="","",'Hide - Calculation'!N11)</f>
        <v>0.013257165303137022</v>
      </c>
      <c r="L17" s="157">
        <f>'Hide - Calculation'!O11</f>
        <v>0.015940726342527432</v>
      </c>
      <c r="M17" s="210">
        <f>IF(ISBLANK('Hide - Calculation'!K11),"",'Hide - Calculation'!U11)</f>
        <v>0.004000000189989805</v>
      </c>
      <c r="N17" s="91"/>
      <c r="O17" s="91"/>
      <c r="P17" s="91"/>
      <c r="Q17" s="91"/>
      <c r="R17" s="91"/>
      <c r="S17" s="91"/>
      <c r="T17" s="91"/>
      <c r="U17" s="91"/>
      <c r="V17" s="91"/>
      <c r="W17" s="91"/>
      <c r="X17" s="91"/>
      <c r="Y17" s="91"/>
      <c r="Z17" s="91"/>
      <c r="AA17" s="229">
        <f>IF(ISBLANK('Hide - Calculation'!K11),"",'Hide - Calculation'!T11)</f>
        <v>0.027000000700354576</v>
      </c>
      <c r="AB17" s="235" t="s">
        <v>464</v>
      </c>
      <c r="AC17" s="189" t="s">
        <v>496</v>
      </c>
    </row>
    <row r="18" spans="2:29" s="63" customFormat="1" ht="33.75" customHeight="1">
      <c r="B18" s="308" t="s">
        <v>13</v>
      </c>
      <c r="C18" s="163">
        <v>6</v>
      </c>
      <c r="D18" s="164" t="s">
        <v>472</v>
      </c>
      <c r="E18" s="165"/>
      <c r="F18" s="165"/>
      <c r="G18" s="219">
        <f>IF(OR(VLOOKUP('Hide - Control'!A$3,'All practice data'!A:CA,C18+4,FALSE)=" ",VLOOKUP('Hide - Control'!A$3,'All practice data'!A:CA,C18+52,FALSE)=0)," n/a",VLOOKUP('Hide - Control'!A$3,'All practice data'!A:CA,C18+4,FALSE))</f>
        <v>1191</v>
      </c>
      <c r="H18" s="220">
        <f>IF(OR(VLOOKUP('Hide - Control'!A$3,'All practice data'!A:CA,C18+30,FALSE)=" ",VLOOKUP('Hide - Control'!A$3,'All practice data'!A:CA,C18+52,FALSE)=0)," n/a",VLOOKUP('Hide - Control'!A$3,'All practice data'!A:CA,C18+30,FALSE))</f>
        <v>0.838142</v>
      </c>
      <c r="I18" s="191">
        <f>IF(OR(LEFT(H18,1)=" ",VLOOKUP('Hide - Control'!A$3,'All practice data'!A:CA,C18+52,FALSE)=0)," n/a",+((2*G18+1.96^2-1.96*SQRT(1.96^2+4*G18*(1-G18/(VLOOKUP('Hide - Control'!A$3,'All practice data'!A:CA,C18+52,FALSE)))))/(2*(((VLOOKUP('Hide - Control'!A$3,'All practice data'!A:CA,C18+52,FALSE)))+1.96^2))))</f>
        <v>0.8180838802216752</v>
      </c>
      <c r="J18" s="191">
        <f>IF(OR(LEFT(H18,1)=" ",VLOOKUP('Hide - Control'!A$3,'All practice data'!A:CA,C18+52,FALSE)=0)," n/a",+((2*G18+1.96^2+1.96*SQRT(1.96^2+4*G18*(1-G18/(VLOOKUP('Hide - Control'!A$3,'All practice data'!A:CA,C18+52,FALSE)))))/(2*((VLOOKUP('Hide - Control'!A$3,'All practice data'!A:CA,C18+52,FALSE))+1.96^2))))</f>
        <v>0.856377056348397</v>
      </c>
      <c r="K18" s="220">
        <f>IF('Hide - Calculation'!N12="","",'Hide - Calculation'!N12)</f>
        <v>0.7669398554465668</v>
      </c>
      <c r="L18" s="192">
        <f>'Hide - Calculation'!O12</f>
        <v>0.7248631360507991</v>
      </c>
      <c r="M18" s="193">
        <f>IF(ISBLANK('Hide - Calculation'!K12),"",'Hide - Calculation'!U12)</f>
        <v>0.6267610192298889</v>
      </c>
      <c r="N18" s="194"/>
      <c r="O18" s="173"/>
      <c r="P18" s="173"/>
      <c r="Q18" s="173"/>
      <c r="R18" s="173"/>
      <c r="S18" s="173"/>
      <c r="T18" s="173"/>
      <c r="U18" s="173"/>
      <c r="V18" s="173"/>
      <c r="W18" s="173"/>
      <c r="X18" s="173"/>
      <c r="Y18" s="173"/>
      <c r="Z18" s="174"/>
      <c r="AA18" s="193">
        <f>IF(ISBLANK('Hide - Calculation'!K12),"",'Hide - Calculation'!T12)</f>
        <v>0.8412259817123413</v>
      </c>
      <c r="AB18" s="233" t="s">
        <v>48</v>
      </c>
      <c r="AC18" s="175" t="s">
        <v>497</v>
      </c>
    </row>
    <row r="19" spans="2:29" s="63" customFormat="1" ht="33.75" customHeight="1">
      <c r="B19" s="306"/>
      <c r="C19" s="137">
        <v>7</v>
      </c>
      <c r="D19" s="132" t="s">
        <v>473</v>
      </c>
      <c r="E19" s="85"/>
      <c r="F19" s="85"/>
      <c r="G19" s="221">
        <f>IF(OR(VLOOKUP('Hide - Control'!A$3,'All practice data'!A:CA,C19+4,FALSE)=" ",VLOOKUP('Hide - Control'!A$3,'All practice data'!A:CA,C19+52,FALSE)=0)," n/a",VLOOKUP('Hide - Control'!A$3,'All practice data'!A:CA,C19+4,FALSE))</f>
        <v>418</v>
      </c>
      <c r="H19" s="218">
        <f>IF(OR(VLOOKUP('Hide - Control'!A$3,'All practice data'!A:CA,C19+30,FALSE)=" ",VLOOKUP('Hide - Control'!A$3,'All practice data'!A:CA,C19+52,FALSE)=0)," n/a",VLOOKUP('Hide - Control'!A$3,'All practice data'!A:CA,C19+30,FALSE))</f>
        <v>0.84787</v>
      </c>
      <c r="I19" s="120">
        <f>IF(OR(LEFT(H19,1)=" ",VLOOKUP('Hide - Control'!A$3,'All practice data'!A:CA,C19+52,FALSE)=0)," n/a",+((2*G19+1.96^2-1.96*SQRT(1.96^2+4*G19*(1-G19/(VLOOKUP('Hide - Control'!A$3,'All practice data'!A:CA,C19+52,FALSE)))))/(2*(((VLOOKUP('Hide - Control'!A$3,'All practice data'!A:CA,C19+52,FALSE)))+1.96^2))))</f>
        <v>0.8134856022068345</v>
      </c>
      <c r="J19" s="120">
        <f>IF(OR(LEFT(H19,1)=" ",VLOOKUP('Hide - Control'!A$3,'All practice data'!A:CA,C19+52,FALSE)=0)," n/a",+((2*G19+1.96^2+1.96*SQRT(1.96^2+4*G19*(1-G19/(VLOOKUP('Hide - Control'!A$3,'All practice data'!A:CA,C19+52,FALSE)))))/(2*((VLOOKUP('Hide - Control'!A$3,'All practice data'!A:CA,C19+52,FALSE))+1.96^2))))</f>
        <v>0.8768752693465942</v>
      </c>
      <c r="K19" s="218">
        <f>IF('Hide - Calculation'!N13="","",'Hide - Calculation'!N13)</f>
        <v>0.7975986277873071</v>
      </c>
      <c r="L19" s="155">
        <f>'Hide - Calculation'!O13</f>
        <v>0.7467412166569077</v>
      </c>
      <c r="M19" s="152">
        <f>IF(ISBLANK('Hide - Calculation'!K13),"",'Hide - Calculation'!U13)</f>
        <v>0.6653850078582764</v>
      </c>
      <c r="N19" s="160"/>
      <c r="O19" s="84"/>
      <c r="P19" s="84"/>
      <c r="Q19" s="84"/>
      <c r="R19" s="84"/>
      <c r="S19" s="84"/>
      <c r="T19" s="84"/>
      <c r="U19" s="84"/>
      <c r="V19" s="84"/>
      <c r="W19" s="84"/>
      <c r="X19" s="84"/>
      <c r="Y19" s="84"/>
      <c r="Z19" s="88"/>
      <c r="AA19" s="152">
        <f>IF(ISBLANK('Hide - Calculation'!K13),"",'Hide - Calculation'!T13)</f>
        <v>0.8974360227584839</v>
      </c>
      <c r="AB19" s="234" t="s">
        <v>48</v>
      </c>
      <c r="AC19" s="131" t="s">
        <v>496</v>
      </c>
    </row>
    <row r="20" spans="2:29" s="63" customFormat="1" ht="33.75" customHeight="1">
      <c r="B20" s="306"/>
      <c r="C20" s="137">
        <v>8</v>
      </c>
      <c r="D20" s="132" t="s">
        <v>474</v>
      </c>
      <c r="E20" s="85"/>
      <c r="F20" s="85"/>
      <c r="G20" s="221">
        <f>IF(OR(VLOOKUP('Hide - Control'!A$3,'All practice data'!A:CA,C20+4,FALSE)=" ",VLOOKUP('Hide - Control'!A$3,'All practice data'!A:CA,C20+52,FALSE)=0)," n/a",VLOOKUP('Hide - Control'!A$3,'All practice data'!A:CA,C20+4,FALSE))</f>
        <v>2081</v>
      </c>
      <c r="H20" s="218">
        <f>IF(OR(VLOOKUP('Hide - Control'!A$3,'All practice data'!A:CA,C20+30,FALSE)=" ",VLOOKUP('Hide - Control'!A$3,'All practice data'!A:CA,C20+52,FALSE)=0)," n/a",VLOOKUP('Hide - Control'!A$3,'All practice data'!A:CA,C20+30,FALSE))</f>
        <v>0.813208</v>
      </c>
      <c r="I20" s="120">
        <f>IF(OR(LEFT(H20,1)=" ",VLOOKUP('Hide - Control'!A$3,'All practice data'!A:CA,C20+52,FALSE)=0)," n/a",+((2*G20+1.96^2-1.96*SQRT(1.96^2+4*G20*(1-G20/(VLOOKUP('Hide - Control'!A$3,'All practice data'!A:CA,C20+52,FALSE)))))/(2*(((VLOOKUP('Hide - Control'!A$3,'All practice data'!A:CA,C20+52,FALSE)))+1.96^2))))</f>
        <v>0.7976419940496452</v>
      </c>
      <c r="J20" s="120">
        <f>IF(OR(LEFT(H20,1)=" ",VLOOKUP('Hide - Control'!A$3,'All practice data'!A:CA,C20+52,FALSE)=0)," n/a",+((2*G20+1.96^2+1.96*SQRT(1.96^2+4*G20*(1-G20/(VLOOKUP('Hide - Control'!A$3,'All practice data'!A:CA,C20+52,FALSE)))))/(2*((VLOOKUP('Hide - Control'!A$3,'All practice data'!A:CA,C20+52,FALSE))+1.96^2))))</f>
        <v>0.8278356008200493</v>
      </c>
      <c r="K20" s="218">
        <f>IF('Hide - Calculation'!N14="","",'Hide - Calculation'!N14)</f>
        <v>0.7753056095053125</v>
      </c>
      <c r="L20" s="155">
        <f>'Hide - Calculation'!O14</f>
        <v>0.7559681673907895</v>
      </c>
      <c r="M20" s="152">
        <f>IF(ISBLANK('Hide - Calculation'!K14),"",'Hide - Calculation'!U14)</f>
        <v>0.687237024307251</v>
      </c>
      <c r="N20" s="160"/>
      <c r="O20" s="84"/>
      <c r="P20" s="84"/>
      <c r="Q20" s="84"/>
      <c r="R20" s="84"/>
      <c r="S20" s="84"/>
      <c r="T20" s="84"/>
      <c r="U20" s="84"/>
      <c r="V20" s="84"/>
      <c r="W20" s="84"/>
      <c r="X20" s="84"/>
      <c r="Y20" s="84"/>
      <c r="Z20" s="88"/>
      <c r="AA20" s="152">
        <f>IF(ISBLANK('Hide - Calculation'!K14),"",'Hide - Calculation'!T14)</f>
        <v>0.8790810108184814</v>
      </c>
      <c r="AB20" s="234" t="s">
        <v>48</v>
      </c>
      <c r="AC20" s="131" t="s">
        <v>498</v>
      </c>
    </row>
    <row r="21" spans="2:29" s="63" customFormat="1" ht="33.75" customHeight="1">
      <c r="B21" s="306"/>
      <c r="C21" s="137">
        <v>9</v>
      </c>
      <c r="D21" s="132" t="s">
        <v>475</v>
      </c>
      <c r="E21" s="85"/>
      <c r="F21" s="85"/>
      <c r="G21" s="221">
        <f>IF(OR(VLOOKUP('Hide - Control'!A$3,'All practice data'!A:CA,C21+4,FALSE)=" ",VLOOKUP('Hide - Control'!A$3,'All practice data'!A:CA,C21+52,FALSE)=0)," n/a",VLOOKUP('Hide - Control'!A$3,'All practice data'!A:CA,C21+4,FALSE))</f>
        <v>834</v>
      </c>
      <c r="H21" s="218">
        <f>IF(OR(VLOOKUP('Hide - Control'!A$3,'All practice data'!A:CA,C21+30,FALSE)=" ",VLOOKUP('Hide - Control'!A$3,'All practice data'!A:CA,C21+52,FALSE)=0)," n/a",VLOOKUP('Hide - Control'!A$3,'All practice data'!A:CA,C21+30,FALSE))</f>
        <v>0.608759</v>
      </c>
      <c r="I21" s="120">
        <f>IF(OR(LEFT(H21,1)=" ",VLOOKUP('Hide - Control'!A$3,'All practice data'!A:CA,C21+52,FALSE)=0)," n/a",+((2*G21+1.96^2-1.96*SQRT(1.96^2+4*G21*(1-G21/(VLOOKUP('Hide - Control'!A$3,'All practice data'!A:CA,C21+52,FALSE)))))/(2*(((VLOOKUP('Hide - Control'!A$3,'All practice data'!A:CA,C21+52,FALSE)))+1.96^2))))</f>
        <v>0.5826465077680311</v>
      </c>
      <c r="J21" s="120">
        <f>IF(OR(LEFT(H21,1)=" ",VLOOKUP('Hide - Control'!A$3,'All practice data'!A:CA,C21+52,FALSE)=0)," n/a",+((2*G21+1.96^2+1.96*SQRT(1.96^2+4*G21*(1-G21/(VLOOKUP('Hide - Control'!A$3,'All practice data'!A:CA,C21+52,FALSE)))))/(2*((VLOOKUP('Hide - Control'!A$3,'All practice data'!A:CA,C21+52,FALSE))+1.96^2))))</f>
        <v>0.634263505729886</v>
      </c>
      <c r="K21" s="218">
        <f>IF('Hide - Calculation'!N15="","",'Hide - Calculation'!N15)</f>
        <v>0.5449332171893148</v>
      </c>
      <c r="L21" s="155">
        <f>'Hide - Calculation'!O15</f>
        <v>0.5147293797466616</v>
      </c>
      <c r="M21" s="152">
        <f>IF(ISBLANK('Hide - Calculation'!K15),"",'Hide - Calculation'!U15)</f>
        <v>0.2670449912548065</v>
      </c>
      <c r="N21" s="160"/>
      <c r="O21" s="84"/>
      <c r="P21" s="84"/>
      <c r="Q21" s="84"/>
      <c r="R21" s="84"/>
      <c r="S21" s="84"/>
      <c r="T21" s="84"/>
      <c r="U21" s="84"/>
      <c r="V21" s="84"/>
      <c r="W21" s="84"/>
      <c r="X21" s="84"/>
      <c r="Y21" s="84"/>
      <c r="Z21" s="88"/>
      <c r="AA21" s="152">
        <f>IF(ISBLANK('Hide - Calculation'!K15),"",'Hide - Calculation'!T15)</f>
        <v>0.6919130086898804</v>
      </c>
      <c r="AB21" s="234" t="s">
        <v>48</v>
      </c>
      <c r="AC21" s="131" t="s">
        <v>497</v>
      </c>
    </row>
    <row r="22" spans="2:29" s="63" customFormat="1" ht="33.75" customHeight="1" thickBot="1">
      <c r="B22" s="309"/>
      <c r="C22" s="180">
        <v>10</v>
      </c>
      <c r="D22" s="195" t="s">
        <v>476</v>
      </c>
      <c r="E22" s="182"/>
      <c r="F22" s="182"/>
      <c r="G22" s="222">
        <f>IF(OR(VLOOKUP('Hide - Control'!A$3,'All practice data'!A:CA,C22+4,FALSE)=" ",VLOOKUP('Hide - Control'!A$3,'All practice data'!A:CA,C22+52,FALSE)=0)," n/a",VLOOKUP('Hide - Control'!A$3,'All practice data'!A:CA,C22+4,FALSE))</f>
        <v>402</v>
      </c>
      <c r="H22" s="223">
        <f>IF(OR(VLOOKUP('Hide - Control'!A$3,'All practice data'!A:CA,C22+30,FALSE)=" ",VLOOKUP('Hide - Control'!A$3,'All practice data'!A:CA,C22+52,FALSE)=0)," n/a",VLOOKUP('Hide - Control'!A$3,'All practice data'!A:CA,C22+30,FALSE))</f>
        <v>0.657938</v>
      </c>
      <c r="I22" s="196">
        <f>IF(OR(LEFT(H22,1)=" ",VLOOKUP('Hide - Control'!A$3,'All practice data'!A:CA,C22+52,FALSE)=0)," n/a",+((2*G22+1.96^2-1.96*SQRT(1.96^2+4*G22*(1-G22/(VLOOKUP('Hide - Control'!A$3,'All practice data'!A:CA,C22+52,FALSE)))))/(2*(((VLOOKUP('Hide - Control'!A$3,'All practice data'!A:CA,C22+52,FALSE)))+1.96^2))))</f>
        <v>0.6194390354206429</v>
      </c>
      <c r="J22" s="196">
        <f>IF(OR(LEFT(H22,1)=" ",VLOOKUP('Hide - Control'!A$3,'All practice data'!A:CA,C22+52,FALSE)=0)," n/a",+((2*G22+1.96^2+1.96*SQRT(1.96^2+4*G22*(1-G22/(VLOOKUP('Hide - Control'!A$3,'All practice data'!A:CA,C22+52,FALSE)))))/(2*((VLOOKUP('Hide - Control'!A$3,'All practice data'!A:CA,C22+52,FALSE))+1.96^2))))</f>
        <v>0.6944629516927859</v>
      </c>
      <c r="K22" s="223">
        <f>IF('Hide - Calculation'!N16="","",'Hide - Calculation'!N16)</f>
        <v>0.5807043899182106</v>
      </c>
      <c r="L22" s="197">
        <f>'Hide - Calculation'!O16</f>
        <v>0.5752927626212945</v>
      </c>
      <c r="M22" s="198">
        <f>IF(ISBLANK('Hide - Calculation'!K16),"",'Hide - Calculation'!U16)</f>
        <v>0.3092780113220215</v>
      </c>
      <c r="N22" s="199"/>
      <c r="O22" s="91"/>
      <c r="P22" s="91"/>
      <c r="Q22" s="91"/>
      <c r="R22" s="91"/>
      <c r="S22" s="91"/>
      <c r="T22" s="91"/>
      <c r="U22" s="91"/>
      <c r="V22" s="91"/>
      <c r="W22" s="91"/>
      <c r="X22" s="91"/>
      <c r="Y22" s="91"/>
      <c r="Z22" s="188"/>
      <c r="AA22" s="198">
        <f>IF(ISBLANK('Hide - Calculation'!K16),"",'Hide - Calculation'!T16)</f>
        <v>0.719048023223877</v>
      </c>
      <c r="AB22" s="235" t="s">
        <v>48</v>
      </c>
      <c r="AC22" s="189" t="s">
        <v>496</v>
      </c>
    </row>
    <row r="23" spans="2:29" s="63" customFormat="1" ht="33.75" customHeight="1">
      <c r="B23" s="308" t="s">
        <v>314</v>
      </c>
      <c r="C23" s="163">
        <v>11</v>
      </c>
      <c r="D23" s="179" t="s">
        <v>326</v>
      </c>
      <c r="E23" s="165"/>
      <c r="F23" s="165"/>
      <c r="G23" s="118">
        <f>IF(VLOOKUP('Hide - Control'!A$3,'All practice data'!A:CA,C23+4,FALSE)=" "," ",VLOOKUP('Hide - Control'!A$3,'All practice data'!A:CA,C23+4,FALSE))</f>
        <v>255</v>
      </c>
      <c r="H23" s="216">
        <f>IF(VLOOKUP('Hide - Control'!A$3,'All practice data'!A:CA,C23+30,FALSE)=" "," ",VLOOKUP('Hide - Control'!A$3,'All practice data'!A:CA,C23+30,FALSE))</f>
        <v>2374.3016759776538</v>
      </c>
      <c r="I23" s="215">
        <f>IF(LEFT(G23,1)=" "," n/a",IF(G23&lt;5,100000*VLOOKUP(G23,'Hide - Calculation'!AQ:AR,2,FALSE)/$E$8,100000*(G23*(1-1/(9*G23)-1.96/(3*SQRT(G23)))^3)/$E$8))</f>
        <v>2091.7868078973665</v>
      </c>
      <c r="J23" s="215">
        <f>IF(LEFT(G23,1)=" "," n/a",IF(G23&lt;5,100000*VLOOKUP(G23,'Hide - Calculation'!AQ:AS,3,FALSE)/$E$8,100000*((G23+1)*(1-1/(9*(G23+1))+1.96/(3*SQRT(G23+1)))^3)/$E$8))</f>
        <v>2684.329627884705</v>
      </c>
      <c r="K23" s="216">
        <f>IF('Hide - Calculation'!N17="","",'Hide - Calculation'!N17)</f>
        <v>1673.1456899821205</v>
      </c>
      <c r="L23" s="217">
        <f>'Hide - Calculation'!O17</f>
        <v>1812.1669120472948</v>
      </c>
      <c r="M23" s="170">
        <f>IF(ISBLANK('Hide - Calculation'!K17),"",'Hide - Calculation'!U17)</f>
        <v>607.2315673828125</v>
      </c>
      <c r="N23" s="171"/>
      <c r="O23" s="172"/>
      <c r="P23" s="172"/>
      <c r="Q23" s="172"/>
      <c r="R23" s="173"/>
      <c r="S23" s="173"/>
      <c r="T23" s="173"/>
      <c r="U23" s="173"/>
      <c r="V23" s="173"/>
      <c r="W23" s="173"/>
      <c r="X23" s="173"/>
      <c r="Y23" s="173"/>
      <c r="Z23" s="174"/>
      <c r="AA23" s="170">
        <f>IF(ISBLANK('Hide - Calculation'!K17),"",'Hide - Calculation'!T17)</f>
        <v>2677.255615234375</v>
      </c>
      <c r="AB23" s="233" t="s">
        <v>26</v>
      </c>
      <c r="AC23" s="175" t="s">
        <v>496</v>
      </c>
    </row>
    <row r="24" spans="2:29" s="63" customFormat="1" ht="33.75" customHeight="1">
      <c r="B24" s="306"/>
      <c r="C24" s="137">
        <v>12</v>
      </c>
      <c r="D24" s="147" t="s">
        <v>482</v>
      </c>
      <c r="E24" s="85"/>
      <c r="F24" s="85"/>
      <c r="G24" s="118">
        <f>IF(VLOOKUP('Hide - Control'!A$3,'All practice data'!A:CA,C24+4,FALSE)=" "," ",VLOOKUP('Hide - Control'!A$3,'All practice data'!A:CA,C24+4,FALSE))</f>
        <v>255</v>
      </c>
      <c r="H24" s="119">
        <f>IF(VLOOKUP('Hide - Control'!A$3,'All practice data'!A:CA,C24+30,FALSE)=" "," ",VLOOKUP('Hide - Control'!A$3,'All practice data'!A:CA,C24+30,FALSE))</f>
        <v>1.162396088</v>
      </c>
      <c r="I24" s="212">
        <f>IF(LEFT(VLOOKUP('Hide - Control'!A$3,'All practice data'!A:CA,C24+44,FALSE),1)=" "," n/a",VLOOKUP('Hide - Control'!A$3,'All practice data'!A:CA,C24+44,FALSE))</f>
        <v>1.024091568</v>
      </c>
      <c r="J24" s="212">
        <f>IF(LEFT(VLOOKUP('Hide - Control'!A$3,'All practice data'!A:CA,C24+45,FALSE),1)=" "," n/a",VLOOKUP('Hide - Control'!A$3,'All practice data'!A:CA,C24+45,FALSE))</f>
        <v>1.314171143</v>
      </c>
      <c r="K24" s="152" t="s">
        <v>535</v>
      </c>
      <c r="L24" s="213">
        <v>1</v>
      </c>
      <c r="M24" s="152">
        <f>IF(ISBLANK('Hide - Calculation'!K18),"",'Hide - Calculation'!U18)</f>
        <v>0.4707377552986145</v>
      </c>
      <c r="N24" s="86"/>
      <c r="O24" s="87"/>
      <c r="P24" s="87"/>
      <c r="Q24" s="87"/>
      <c r="R24" s="84"/>
      <c r="S24" s="84"/>
      <c r="T24" s="84"/>
      <c r="U24" s="84"/>
      <c r="V24" s="84"/>
      <c r="W24" s="84"/>
      <c r="X24" s="84"/>
      <c r="Y24" s="84"/>
      <c r="Z24" s="88"/>
      <c r="AA24" s="152">
        <f>IF(ISBLANK('Hide - Calculation'!K18),"",'Hide - Calculation'!T18)</f>
        <v>1.4580060243606567</v>
      </c>
      <c r="AB24" s="234" t="s">
        <v>26</v>
      </c>
      <c r="AC24" s="131" t="s">
        <v>496</v>
      </c>
    </row>
    <row r="25" spans="2:29" s="63" customFormat="1" ht="33.75" customHeight="1">
      <c r="B25" s="306"/>
      <c r="C25" s="137">
        <v>13</v>
      </c>
      <c r="D25" s="147" t="s">
        <v>321</v>
      </c>
      <c r="E25" s="85"/>
      <c r="F25" s="85"/>
      <c r="G25" s="118">
        <f>IF(VLOOKUP('Hide - Control'!A$3,'All practice data'!A:CA,C25+4,FALSE)=" "," ",VLOOKUP('Hide - Control'!A$3,'All practice data'!A:CA,C25+4,FALSE))</f>
        <v>29</v>
      </c>
      <c r="H25" s="119">
        <f>IF(VLOOKUP('Hide - Control'!A$3,'All practice data'!A:CA,C25+30,FALSE)=" "," ",VLOOKUP('Hide - Control'!A$3,'All practice data'!A:CA,C25+30,FALSE))</f>
        <v>0.11372549019607843</v>
      </c>
      <c r="I25" s="120">
        <f>IF(LEFT(G25,1)=" "," n/a",IF(G25=0," n/a",+((2*G25+1.96^2-1.96*SQRT(1.96^2+4*G25*(1-G25/G23)))/(2*(G23+1.96^2)))))</f>
        <v>0.08035887859147088</v>
      </c>
      <c r="J25" s="120">
        <f>IF(LEFT(G25,1)=" "," n/a",IF(G25=0," n/a",+((2*G25+1.96^2+1.96*SQRT(1.96^2+4*G25*(1-G25/G23)))/(2*(G23+1.96^2)))))</f>
        <v>0.15855789521923036</v>
      </c>
      <c r="K25" s="125">
        <f>IF('Hide - Calculation'!N19="","",'Hide - Calculation'!N19)</f>
        <v>0.12001619105444242</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0.3333333432674408</v>
      </c>
      <c r="AB25" s="234" t="s">
        <v>26</v>
      </c>
      <c r="AC25" s="131" t="s">
        <v>496</v>
      </c>
    </row>
    <row r="26" spans="2:29" s="63" customFormat="1" ht="33.75" customHeight="1">
      <c r="B26" s="306"/>
      <c r="C26" s="137">
        <v>14</v>
      </c>
      <c r="D26" s="147" t="s">
        <v>465</v>
      </c>
      <c r="E26" s="85"/>
      <c r="F26" s="85"/>
      <c r="G26" s="121">
        <f>IF(VLOOKUP('Hide - Control'!A$3,'All practice data'!A:CA,C26+4,FALSE)=" "," ",VLOOKUP('Hide - Control'!A$3,'All practice data'!A:CA,C26+4,FALSE))</f>
        <v>68</v>
      </c>
      <c r="H26" s="119">
        <f>IF(VLOOKUP('Hide - Control'!A$3,'All practice data'!A:CA,C26+30,FALSE)=" "," ",VLOOKUP('Hide - Control'!A$3,'All practice data'!A:CA,C26+30,FALSE))</f>
        <v>0.4264705882352941</v>
      </c>
      <c r="I26" s="120">
        <f>IF(OR(LEFT(G26,1)=" ",LEFT(G25,1)=" ")," n/a",IF(G26=0," n/a",+((2*G25+1.96^2-1.96*SQRT(1.96^2+4*G25*(1-G25/G26)))/(2*(G26+1.96^2)))))</f>
        <v>0.31597057562082875</v>
      </c>
      <c r="J26" s="120">
        <f>IF(OR(LEFT(G26,1)=" ",LEFT(G25,1)=" ")," n/a",IF(G26=0," n/a",+((2*G25+1.96^2+1.96*SQRT(1.96^2+4*G25*(1-G25/G26)))/(2*(G26+1.96^2)))))</f>
        <v>0.5448343062303549</v>
      </c>
      <c r="K26" s="125">
        <f>IF('Hide - Calculation'!N20="","",'Hide - Calculation'!N20)</f>
        <v>0.4575617283950617</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0.6666666865348816</v>
      </c>
      <c r="AB26" s="234" t="s">
        <v>26</v>
      </c>
      <c r="AC26" s="131" t="s">
        <v>496</v>
      </c>
    </row>
    <row r="27" spans="2:29" s="63" customFormat="1" ht="33.75" customHeight="1">
      <c r="B27" s="306"/>
      <c r="C27" s="137">
        <v>15</v>
      </c>
      <c r="D27" s="147" t="s">
        <v>452</v>
      </c>
      <c r="E27" s="85"/>
      <c r="F27" s="85"/>
      <c r="G27" s="121">
        <f>IF(VLOOKUP('Hide - Control'!A$3,'All practice data'!A:CA,C27+4,FALSE)=" "," ",VLOOKUP('Hide - Control'!A$3,'All practice data'!A:CA,C27+4,FALSE))</f>
        <v>37</v>
      </c>
      <c r="H27" s="122">
        <f>IF(VLOOKUP('Hide - Control'!A$3,'All practice data'!A:CA,C27+30,FALSE)=" "," ",VLOOKUP('Hide - Control'!A$3,'All practice data'!A:CA,C27+30,FALSE))</f>
        <v>344.5065176908752</v>
      </c>
      <c r="I27" s="123">
        <f>IF(LEFT(G27,1)=" "," n/a",IF(G27&lt;5,100000*VLOOKUP(G27,'Hide - Calculation'!AQ:AR,2,FALSE)/$E$8,100000*(G27*(1-1/(9*G27)-1.96/(3*SQRT(G27)))^3)/$E$8))</f>
        <v>242.53064381644654</v>
      </c>
      <c r="J27" s="123">
        <f>IF(LEFT(G27,1)=" "," n/a",IF(G27&lt;5,100000*VLOOKUP(G27,'Hide - Calculation'!AQ:AS,3,FALSE)/$E$8,100000*((G27+1)*(1-1/(9*(G27+1))+1.96/(3*SQRT(G27+1)))^3)/$E$8))</f>
        <v>474.87306077272825</v>
      </c>
      <c r="K27" s="122">
        <f>IF('Hide - Calculation'!N21="","",'Hide - Calculation'!N21)</f>
        <v>283.76767622040416</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467.6643371582031</v>
      </c>
      <c r="AB27" s="234" t="s">
        <v>26</v>
      </c>
      <c r="AC27" s="131" t="s">
        <v>496</v>
      </c>
    </row>
    <row r="28" spans="2:29" s="63" customFormat="1" ht="33.75" customHeight="1">
      <c r="B28" s="306"/>
      <c r="C28" s="137">
        <v>16</v>
      </c>
      <c r="D28" s="147" t="s">
        <v>453</v>
      </c>
      <c r="E28" s="85"/>
      <c r="F28" s="85"/>
      <c r="G28" s="121">
        <f>IF(VLOOKUP('Hide - Control'!A$3,'All practice data'!A:CA,C28+4,FALSE)=" "," ",VLOOKUP('Hide - Control'!A$3,'All practice data'!A:CA,C28+4,FALSE))</f>
        <v>43</v>
      </c>
      <c r="H28" s="122">
        <f>IF(VLOOKUP('Hide - Control'!A$3,'All practice data'!A:CA,C28+30,FALSE)=" "," ",VLOOKUP('Hide - Control'!A$3,'All practice data'!A:CA,C28+30,FALSE))</f>
        <v>400.37243947858474</v>
      </c>
      <c r="I28" s="123">
        <f>IF(LEFT(G28,1)=" "," n/a",IF(G28&lt;5,100000*VLOOKUP(G28,'Hide - Calculation'!AQ:AR,2,FALSE)/$E$8,100000*(G28*(1-1/(9*G28)-1.96/(3*SQRT(G28)))^3)/$E$8))</f>
        <v>289.72048838591024</v>
      </c>
      <c r="J28" s="123">
        <f>IF(LEFT(G28,1)=" "," n/a",IF(G28&lt;5,100000*VLOOKUP(G28,'Hide - Calculation'!AQ:AS,3,FALSE)/$E$8,100000*((G28+1)*(1-1/(9*(G28+1))+1.96/(3*SQRT(G28+1)))^3)/$E$8))</f>
        <v>539.3150696293659</v>
      </c>
      <c r="K28" s="122">
        <f>IF('Hide - Calculation'!N22="","",'Hide - Calculation'!N22)</f>
        <v>258.03218291163245</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630.4241333007812</v>
      </c>
      <c r="AB28" s="234" t="s">
        <v>26</v>
      </c>
      <c r="AC28" s="131" t="s">
        <v>496</v>
      </c>
    </row>
    <row r="29" spans="2:29" s="63" customFormat="1" ht="33.75" customHeight="1">
      <c r="B29" s="306"/>
      <c r="C29" s="137">
        <v>17</v>
      </c>
      <c r="D29" s="147" t="s">
        <v>454</v>
      </c>
      <c r="E29" s="85"/>
      <c r="F29" s="85"/>
      <c r="G29" s="121">
        <f>IF(VLOOKUP('Hide - Control'!A$3,'All practice data'!A:CA,C29+4,FALSE)=" "," ",VLOOKUP('Hide - Control'!A$3,'All practice data'!A:CA,C29+4,FALSE))</f>
        <v>18</v>
      </c>
      <c r="H29" s="122">
        <f>IF(VLOOKUP('Hide - Control'!A$3,'All practice data'!A:CA,C29+30,FALSE)=" "," ",VLOOKUP('Hide - Control'!A$3,'All practice data'!A:CA,C29+30,FALSE))</f>
        <v>167.5977653631285</v>
      </c>
      <c r="I29" s="123">
        <f>IF(LEFT(G29,1)=" "," n/a",IF(G29&lt;5,100000*VLOOKUP(G29,'Hide - Calculation'!AQ:AR,2,FALSE)/$E$8,100000*(G29*(1-1/(9*G29)-1.96/(3*SQRT(G29)))^3)/$E$8))</f>
        <v>99.2773462540102</v>
      </c>
      <c r="J29" s="123">
        <f>IF(LEFT(G29,1)=" "," n/a",IF(G29&lt;5,100000*VLOOKUP(G29,'Hide - Calculation'!AQ:AS,3,FALSE)/$E$8,100000*((G29+1)*(1-1/(9*(G29+1))+1.96/(3*SQRT(G29+1)))^3)/$E$8))</f>
        <v>264.89241509068466</v>
      </c>
      <c r="K29" s="122">
        <f>IF('Hide - Calculation'!N23="","",'Hide - Calculation'!N23)</f>
        <v>60.95248415235412</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170.35775756835938</v>
      </c>
      <c r="AB29" s="234" t="s">
        <v>26</v>
      </c>
      <c r="AC29" s="131" t="s">
        <v>496</v>
      </c>
    </row>
    <row r="30" spans="2:29" s="63" customFormat="1" ht="33.75" customHeight="1" thickBot="1">
      <c r="B30" s="309"/>
      <c r="C30" s="180">
        <v>18</v>
      </c>
      <c r="D30" s="181" t="s">
        <v>455</v>
      </c>
      <c r="E30" s="182"/>
      <c r="F30" s="182"/>
      <c r="G30" s="183">
        <f>IF(VLOOKUP('Hide - Control'!A$3,'All practice data'!A:CA,C30+4,FALSE)=" "," ",VLOOKUP('Hide - Control'!A$3,'All practice data'!A:CA,C30+4,FALSE))</f>
        <v>31</v>
      </c>
      <c r="H30" s="184">
        <f>IF(VLOOKUP('Hide - Control'!A$3,'All practice data'!A:CA,C30+30,FALSE)=" "," ",VLOOKUP('Hide - Control'!A$3,'All practice data'!A:CA,C30+30,FALSE))</f>
        <v>288.6405959031657</v>
      </c>
      <c r="I30" s="185">
        <f>IF(LEFT(G30,1)=" "," n/a",IF(G30&lt;5,100000*VLOOKUP(G30,'Hide - Calculation'!AQ:AR,2,FALSE)/$E$8,100000*(G30*(1-1/(9*G30)-1.96/(3*SQRT(G30)))^3)/$E$8))</f>
        <v>196.07994875412692</v>
      </c>
      <c r="J30" s="185">
        <f>IF(LEFT(G30,1)=" "," n/a",IF(G30&lt;5,100000*VLOOKUP(G30,'Hide - Calculation'!AQ:AS,3,FALSE)/$E$8,100000*((G30+1)*(1-1/(9*(G30+1))+1.96/(3*SQRT(G30+1)))^3)/$E$8))</f>
        <v>409.71861937358636</v>
      </c>
      <c r="K30" s="184">
        <f>IF('Hide - Calculation'!N24="","",'Hide - Calculation'!N24)</f>
        <v>239.7464376659262</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653.0380249023438</v>
      </c>
      <c r="AB30" s="235" t="s">
        <v>26</v>
      </c>
      <c r="AC30" s="189" t="s">
        <v>496</v>
      </c>
    </row>
    <row r="31" spans="2:29" s="63" customFormat="1" ht="33.75" customHeight="1">
      <c r="B31" s="304" t="s">
        <v>323</v>
      </c>
      <c r="C31" s="163">
        <v>19</v>
      </c>
      <c r="D31" s="164" t="s">
        <v>327</v>
      </c>
      <c r="E31" s="165"/>
      <c r="F31" s="165"/>
      <c r="G31" s="166">
        <f>IF(VLOOKUP('Hide - Control'!A$3,'All practice data'!A:CA,C31+4,FALSE)=" "," ",VLOOKUP('Hide - Control'!A$3,'All practice data'!A:CA,C31+4,FALSE))</f>
        <v>70</v>
      </c>
      <c r="H31" s="167">
        <f>IF(VLOOKUP('Hide - Control'!A$3,'All practice data'!A:CA,C31+30,FALSE)=" "," ",VLOOKUP('Hide - Control'!A$3,'All practice data'!A:CA,C31+30,FALSE))</f>
        <v>651.7690875232774</v>
      </c>
      <c r="I31" s="168">
        <f>IF(LEFT(G31,1)=" "," n/a",IF(G31&lt;5,100000*VLOOKUP(G31,'Hide - Calculation'!AQ:AR,2,FALSE)/$E$8,100000*(G31*(1-1/(9*G31)-1.96/(3*SQRT(G31)))^3)/$E$8))</f>
        <v>508.06187796659356</v>
      </c>
      <c r="J31" s="168">
        <f>IF(LEFT(G31,1)=" "," n/a",IF(G31&lt;5,100000*VLOOKUP(G31,'Hide - Calculation'!AQ:AS,3,FALSE)/$E$8,100000*((G31+1)*(1-1/(9*(G31+1))+1.96/(3*SQRT(G31+1)))^3)/$E$8))</f>
        <v>823.486186794962</v>
      </c>
      <c r="K31" s="167">
        <f>IF('Hide - Calculation'!N25="","",'Hide - Calculation'!N25)</f>
        <v>499.8103700493038</v>
      </c>
      <c r="L31" s="169">
        <f>'Hide - Calculation'!O25</f>
        <v>562.6134400960308</v>
      </c>
      <c r="M31" s="170">
        <f>IF(ISBLANK('Hide - Calculation'!K25),"",'Hide - Calculation'!U25)</f>
        <v>244.36090087890625</v>
      </c>
      <c r="N31" s="171"/>
      <c r="O31" s="172"/>
      <c r="P31" s="172"/>
      <c r="Q31" s="172"/>
      <c r="R31" s="173"/>
      <c r="S31" s="173"/>
      <c r="T31" s="173"/>
      <c r="U31" s="173"/>
      <c r="V31" s="173"/>
      <c r="W31" s="173"/>
      <c r="X31" s="173"/>
      <c r="Y31" s="173"/>
      <c r="Z31" s="174"/>
      <c r="AA31" s="170">
        <f>IF(ISBLANK('Hide - Calculation'!K25),"",'Hide - Calculation'!T25)</f>
        <v>810.5452880859375</v>
      </c>
      <c r="AB31" s="233" t="s">
        <v>47</v>
      </c>
      <c r="AC31" s="175" t="s">
        <v>496</v>
      </c>
    </row>
    <row r="32" spans="2:29" s="63" customFormat="1" ht="33.75" customHeight="1">
      <c r="B32" s="305"/>
      <c r="C32" s="137">
        <v>20</v>
      </c>
      <c r="D32" s="132" t="s">
        <v>328</v>
      </c>
      <c r="E32" s="85"/>
      <c r="F32" s="85"/>
      <c r="G32" s="121">
        <f>IF(VLOOKUP('Hide - Control'!A$3,'All practice data'!A:CA,C32+4,FALSE)=" "," ",VLOOKUP('Hide - Control'!A$3,'All practice data'!A:CA,C32+4,FALSE))</f>
        <v>47</v>
      </c>
      <c r="H32" s="122">
        <f>IF(VLOOKUP('Hide - Control'!A$3,'All practice data'!A:CA,C32+30,FALSE)=" "," ",VLOOKUP('Hide - Control'!A$3,'All practice data'!A:CA,C32+30,FALSE))</f>
        <v>437.61638733705774</v>
      </c>
      <c r="I32" s="123">
        <f>IF(LEFT(G32,1)=" "," n/a",IF(G32&lt;5,100000*VLOOKUP(G32,'Hide - Calculation'!AQ:AR,2,FALSE)/$E$8,100000*(G32*(1-1/(9*G32)-1.96/(3*SQRT(G32)))^3)/$E$8))</f>
        <v>321.5144945080493</v>
      </c>
      <c r="J32" s="123">
        <f>IF(LEFT(G32,1)=" "," n/a",IF(G32&lt;5,100000*VLOOKUP(G32,'Hide - Calculation'!AQ:AS,3,FALSE)/$E$8,100000*((G32+1)*(1-1/(9*(G32+1))+1.96/(3*SQRT(G32+1)))^3)/$E$8))</f>
        <v>581.9529100570536</v>
      </c>
      <c r="K32" s="122">
        <f>IF('Hide - Calculation'!N26="","",'Hide - Calculation'!N26)</f>
        <v>404.99539470119737</v>
      </c>
      <c r="L32" s="156">
        <f>'Hide - Calculation'!O26</f>
        <v>405.57105879375996</v>
      </c>
      <c r="M32" s="148">
        <f>IF(ISBLANK('Hide - Calculation'!K26),"",'Hide - Calculation'!U26)</f>
        <v>203.38983154296875</v>
      </c>
      <c r="N32" s="86"/>
      <c r="O32" s="87"/>
      <c r="P32" s="87"/>
      <c r="Q32" s="87"/>
      <c r="R32" s="84"/>
      <c r="S32" s="84"/>
      <c r="T32" s="84"/>
      <c r="U32" s="84"/>
      <c r="V32" s="84"/>
      <c r="W32" s="84"/>
      <c r="X32" s="84"/>
      <c r="Y32" s="84"/>
      <c r="Z32" s="88"/>
      <c r="AA32" s="148">
        <f>IF(ISBLANK('Hide - Calculation'!K26),"",'Hide - Calculation'!T26)</f>
        <v>687.7354125976562</v>
      </c>
      <c r="AB32" s="234" t="s">
        <v>47</v>
      </c>
      <c r="AC32" s="131" t="s">
        <v>496</v>
      </c>
    </row>
    <row r="33" spans="2:29" s="63" customFormat="1" ht="33.75" customHeight="1">
      <c r="B33" s="305"/>
      <c r="C33" s="137">
        <v>21</v>
      </c>
      <c r="D33" s="132" t="s">
        <v>330</v>
      </c>
      <c r="E33" s="85"/>
      <c r="F33" s="85"/>
      <c r="G33" s="121">
        <f>IF(VLOOKUP('Hide - Control'!A$3,'All practice data'!A:CA,C33+4,FALSE)=" "," ",VLOOKUP('Hide - Control'!A$3,'All practice data'!A:CA,C33+4,FALSE))</f>
        <v>121</v>
      </c>
      <c r="H33" s="122">
        <f>IF(VLOOKUP('Hide - Control'!A$3,'All practice data'!A:CA,C33+30,FALSE)=" "," ",VLOOKUP('Hide - Control'!A$3,'All practice data'!A:CA,C33+30,FALSE))</f>
        <v>1126.6294227188082</v>
      </c>
      <c r="I33" s="123">
        <f>IF(LEFT(G33,1)=" "," n/a",IF(G33&lt;5,100000*VLOOKUP(G33,'Hide - Calculation'!AQ:AR,2,FALSE)/$E$8,100000*(G33*(1-1/(9*G33)-1.96/(3*SQRT(G33)))^3)/$E$8))</f>
        <v>934.8282674495342</v>
      </c>
      <c r="J33" s="123">
        <f>IF(LEFT(G33,1)=" "," n/a",IF(G33&lt;5,100000*VLOOKUP(G33,'Hide - Calculation'!AQ:AS,3,FALSE)/$E$8,100000*((G33+1)*(1-1/(9*(G33+1))+1.96/(3*SQRT(G33+1)))^3)/$E$8))</f>
        <v>1346.1925261603499</v>
      </c>
      <c r="K33" s="122">
        <f>IF('Hide - Calculation'!N27="","",'Hide - Calculation'!N27)</f>
        <v>1009.4408625453757</v>
      </c>
      <c r="L33" s="156">
        <f>'Hide - Calculation'!O27</f>
        <v>1059.3522061277838</v>
      </c>
      <c r="M33" s="148">
        <f>IF(ISBLANK('Hide - Calculation'!K27),"",'Hide - Calculation'!U27)</f>
        <v>451.9044494628906</v>
      </c>
      <c r="N33" s="86"/>
      <c r="O33" s="87"/>
      <c r="P33" s="87"/>
      <c r="Q33" s="87"/>
      <c r="R33" s="84"/>
      <c r="S33" s="84"/>
      <c r="T33" s="84"/>
      <c r="U33" s="84"/>
      <c r="V33" s="84"/>
      <c r="W33" s="84"/>
      <c r="X33" s="84"/>
      <c r="Y33" s="84"/>
      <c r="Z33" s="88"/>
      <c r="AA33" s="148">
        <f>IF(ISBLANK('Hide - Calculation'!K27),"",'Hide - Calculation'!T27)</f>
        <v>1402.8974609375</v>
      </c>
      <c r="AB33" s="234" t="s">
        <v>47</v>
      </c>
      <c r="AC33" s="131" t="s">
        <v>496</v>
      </c>
    </row>
    <row r="34" spans="2:29" s="63" customFormat="1" ht="33.75" customHeight="1">
      <c r="B34" s="305"/>
      <c r="C34" s="137">
        <v>22</v>
      </c>
      <c r="D34" s="132" t="s">
        <v>329</v>
      </c>
      <c r="E34" s="85"/>
      <c r="F34" s="85"/>
      <c r="G34" s="118">
        <f>IF(VLOOKUP('Hide - Control'!A$3,'All practice data'!A:CA,C34+4,FALSE)=" "," ",VLOOKUP('Hide - Control'!A$3,'All practice data'!A:CA,C34+4,FALSE))</f>
        <v>99</v>
      </c>
      <c r="H34" s="122">
        <f>IF(VLOOKUP('Hide - Control'!A$3,'All practice data'!A:CA,C34+30,FALSE)=" "," ",VLOOKUP('Hide - Control'!A$3,'All practice data'!A:CA,C34+30,FALSE))</f>
        <v>921.7877094972067</v>
      </c>
      <c r="I34" s="123">
        <f>IF(LEFT(G34,1)=" "," n/a",IF(G34&lt;5,100000*VLOOKUP(G34,'Hide - Calculation'!AQ:AR,2,FALSE)/$E$8,100000*(G34*(1-1/(9*G34)-1.96/(3*SQRT(G34)))^3)/$E$8))</f>
        <v>749.1629960156907</v>
      </c>
      <c r="J34" s="123">
        <f>IF(LEFT(G34,1)=" "," n/a",IF(G34&lt;5,100000*VLOOKUP(G34,'Hide - Calculation'!AQ:AS,3,FALSE)/$E$8,100000*((G34+1)*(1-1/(9*(G34+1))+1.96/(3*SQRT(G34+1)))^3)/$E$8))</f>
        <v>1122.257944420177</v>
      </c>
      <c r="K34" s="122">
        <f>IF('Hide - Calculation'!N28="","",'Hide - Calculation'!N28)</f>
        <v>625.7788372975023</v>
      </c>
      <c r="L34" s="156">
        <f>'Hide - Calculation'!O28</f>
        <v>582.9390489900089</v>
      </c>
      <c r="M34" s="148">
        <f>IF(ISBLANK('Hide - Calculation'!K28),"",'Hide - Calculation'!U28)</f>
        <v>276.01434326171875</v>
      </c>
      <c r="N34" s="86"/>
      <c r="O34" s="87"/>
      <c r="P34" s="87"/>
      <c r="Q34" s="87"/>
      <c r="R34" s="84"/>
      <c r="S34" s="84"/>
      <c r="T34" s="84"/>
      <c r="U34" s="84"/>
      <c r="V34" s="84"/>
      <c r="W34" s="84"/>
      <c r="X34" s="84"/>
      <c r="Y34" s="84"/>
      <c r="Z34" s="88"/>
      <c r="AA34" s="148">
        <f>IF(ISBLANK('Hide - Calculation'!K28),"",'Hide - Calculation'!T28)</f>
        <v>921.7877197265625</v>
      </c>
      <c r="AB34" s="234" t="s">
        <v>47</v>
      </c>
      <c r="AC34" s="131" t="s">
        <v>496</v>
      </c>
    </row>
    <row r="35" spans="2:29" s="63" customFormat="1" ht="33.75" customHeight="1">
      <c r="B35" s="305"/>
      <c r="C35" s="137">
        <v>23</v>
      </c>
      <c r="D35" s="138" t="s">
        <v>456</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315</v>
      </c>
      <c r="AC35" s="131">
        <v>2008</v>
      </c>
    </row>
    <row r="36" spans="2:29" ht="33.75" customHeight="1">
      <c r="B36" s="306"/>
      <c r="C36" s="137">
        <v>24</v>
      </c>
      <c r="D36" s="224" t="s">
        <v>457</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315</v>
      </c>
      <c r="AC36" s="131">
        <v>2008</v>
      </c>
    </row>
    <row r="37" spans="2:29" ht="33.75" customHeight="1" thickBot="1">
      <c r="B37" s="307"/>
      <c r="C37" s="176">
        <v>25</v>
      </c>
      <c r="D37" s="177" t="s">
        <v>331</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315</v>
      </c>
      <c r="AC37" s="149">
        <v>2008</v>
      </c>
    </row>
    <row r="38" spans="2:29" ht="16.5" customHeight="1">
      <c r="B38" s="69"/>
      <c r="C38" s="69"/>
      <c r="D38" s="65" t="s">
        <v>313</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534</v>
      </c>
      <c r="C39" s="244"/>
      <c r="D39" s="244"/>
      <c r="E39" s="303" t="s">
        <v>538</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481</v>
      </c>
      <c r="BE2" s="341"/>
      <c r="BF2" s="341"/>
      <c r="BG2" s="341"/>
      <c r="BH2" s="341"/>
      <c r="BI2" s="341"/>
      <c r="BJ2" s="342"/>
    </row>
    <row r="3" spans="1:82" s="72" customFormat="1" ht="76.5" customHeight="1">
      <c r="A3" s="266" t="s">
        <v>276</v>
      </c>
      <c r="B3" s="275" t="s">
        <v>277</v>
      </c>
      <c r="C3" s="276" t="s">
        <v>49</v>
      </c>
      <c r="D3" s="274" t="s">
        <v>466</v>
      </c>
      <c r="E3" s="267" t="s">
        <v>338</v>
      </c>
      <c r="F3" s="267" t="s">
        <v>449</v>
      </c>
      <c r="G3" s="267" t="s">
        <v>340</v>
      </c>
      <c r="H3" s="267" t="s">
        <v>341</v>
      </c>
      <c r="I3" s="267" t="s">
        <v>342</v>
      </c>
      <c r="J3" s="267" t="s">
        <v>490</v>
      </c>
      <c r="K3" s="267" t="s">
        <v>491</v>
      </c>
      <c r="L3" s="267" t="s">
        <v>492</v>
      </c>
      <c r="M3" s="267" t="s">
        <v>343</v>
      </c>
      <c r="N3" s="267" t="s">
        <v>344</v>
      </c>
      <c r="O3" s="267" t="s">
        <v>345</v>
      </c>
      <c r="P3" s="267" t="s">
        <v>480</v>
      </c>
      <c r="Q3" s="267" t="s">
        <v>346</v>
      </c>
      <c r="R3" s="267" t="s">
        <v>347</v>
      </c>
      <c r="S3" s="267" t="s">
        <v>348</v>
      </c>
      <c r="T3" s="267" t="s">
        <v>349</v>
      </c>
      <c r="U3" s="267" t="s">
        <v>350</v>
      </c>
      <c r="V3" s="267" t="s">
        <v>351</v>
      </c>
      <c r="W3" s="267" t="s">
        <v>352</v>
      </c>
      <c r="X3" s="267" t="s">
        <v>353</v>
      </c>
      <c r="Y3" s="267" t="s">
        <v>354</v>
      </c>
      <c r="Z3" s="267" t="s">
        <v>355</v>
      </c>
      <c r="AA3" s="267" t="s">
        <v>356</v>
      </c>
      <c r="AB3" s="267" t="s">
        <v>357</v>
      </c>
      <c r="AC3" s="267" t="s">
        <v>358</v>
      </c>
      <c r="AD3" s="268" t="s">
        <v>359</v>
      </c>
      <c r="AE3" s="268" t="s">
        <v>338</v>
      </c>
      <c r="AF3" s="269" t="s">
        <v>339</v>
      </c>
      <c r="AG3" s="268" t="s">
        <v>340</v>
      </c>
      <c r="AH3" s="268" t="s">
        <v>341</v>
      </c>
      <c r="AI3" s="268" t="s">
        <v>342</v>
      </c>
      <c r="AJ3" s="268" t="s">
        <v>490</v>
      </c>
      <c r="AK3" s="268" t="s">
        <v>491</v>
      </c>
      <c r="AL3" s="268" t="s">
        <v>492</v>
      </c>
      <c r="AM3" s="268" t="s">
        <v>343</v>
      </c>
      <c r="AN3" s="268" t="s">
        <v>344</v>
      </c>
      <c r="AO3" s="268" t="s">
        <v>345</v>
      </c>
      <c r="AP3" s="268" t="s">
        <v>480</v>
      </c>
      <c r="AQ3" s="268" t="s">
        <v>346</v>
      </c>
      <c r="AR3" s="268" t="s">
        <v>347</v>
      </c>
      <c r="AS3" s="268" t="s">
        <v>348</v>
      </c>
      <c r="AT3" s="268" t="s">
        <v>349</v>
      </c>
      <c r="AU3" s="268" t="s">
        <v>350</v>
      </c>
      <c r="AV3" s="268" t="s">
        <v>351</v>
      </c>
      <c r="AW3" s="268" t="s">
        <v>352</v>
      </c>
      <c r="AX3" s="268" t="s">
        <v>353</v>
      </c>
      <c r="AY3" s="270" t="s">
        <v>354</v>
      </c>
      <c r="AZ3" s="271" t="s">
        <v>355</v>
      </c>
      <c r="BA3" s="271" t="s">
        <v>356</v>
      </c>
      <c r="BB3" s="271" t="s">
        <v>357</v>
      </c>
      <c r="BC3" s="272" t="s">
        <v>358</v>
      </c>
      <c r="BD3" s="273" t="s">
        <v>478</v>
      </c>
      <c r="BE3" s="273" t="s">
        <v>479</v>
      </c>
      <c r="BF3" s="273" t="s">
        <v>486</v>
      </c>
      <c r="BG3" s="273" t="s">
        <v>487</v>
      </c>
      <c r="BH3" s="273" t="s">
        <v>485</v>
      </c>
      <c r="BI3" s="273" t="s">
        <v>488</v>
      </c>
      <c r="BJ3" s="273" t="s">
        <v>489</v>
      </c>
      <c r="BK3" s="73"/>
      <c r="BL3" s="73"/>
      <c r="BM3" s="73"/>
      <c r="BN3" s="73"/>
      <c r="BO3" s="73"/>
      <c r="BP3" s="73"/>
      <c r="BQ3" s="73"/>
      <c r="BR3" s="73"/>
      <c r="BS3" s="73"/>
      <c r="BT3" s="73"/>
      <c r="BU3" s="73"/>
      <c r="BV3" s="73"/>
      <c r="BW3" s="73"/>
      <c r="BX3" s="73"/>
      <c r="BY3" s="73"/>
      <c r="BZ3" s="73"/>
      <c r="CA3" s="73"/>
      <c r="CB3" s="73"/>
      <c r="CC3" s="73"/>
      <c r="CD3" s="73"/>
    </row>
    <row r="4" spans="1:66" ht="12.75">
      <c r="A4" s="79" t="s">
        <v>508</v>
      </c>
      <c r="B4" s="79" t="s">
        <v>291</v>
      </c>
      <c r="C4" s="79" t="s">
        <v>175</v>
      </c>
      <c r="D4" s="99">
        <v>10740</v>
      </c>
      <c r="E4" s="99">
        <v>2122</v>
      </c>
      <c r="F4" s="99" t="s">
        <v>336</v>
      </c>
      <c r="G4" s="99">
        <v>62</v>
      </c>
      <c r="H4" s="99">
        <v>29</v>
      </c>
      <c r="I4" s="99">
        <v>224</v>
      </c>
      <c r="J4" s="99">
        <v>1191</v>
      </c>
      <c r="K4" s="99">
        <v>418</v>
      </c>
      <c r="L4" s="99">
        <v>2081</v>
      </c>
      <c r="M4" s="99">
        <v>834</v>
      </c>
      <c r="N4" s="99">
        <v>402</v>
      </c>
      <c r="O4" s="99">
        <v>255</v>
      </c>
      <c r="P4" s="159">
        <v>255</v>
      </c>
      <c r="Q4" s="99">
        <v>29</v>
      </c>
      <c r="R4" s="99">
        <v>68</v>
      </c>
      <c r="S4" s="99">
        <v>37</v>
      </c>
      <c r="T4" s="99">
        <v>43</v>
      </c>
      <c r="U4" s="99">
        <v>18</v>
      </c>
      <c r="V4" s="99">
        <v>31</v>
      </c>
      <c r="W4" s="99">
        <v>70</v>
      </c>
      <c r="X4" s="99">
        <v>47</v>
      </c>
      <c r="Y4" s="99">
        <v>121</v>
      </c>
      <c r="Z4" s="99">
        <v>99</v>
      </c>
      <c r="AA4" s="99" t="s">
        <v>537</v>
      </c>
      <c r="AB4" s="99" t="s">
        <v>537</v>
      </c>
      <c r="AC4" s="99" t="s">
        <v>537</v>
      </c>
      <c r="AD4" s="98" t="s">
        <v>313</v>
      </c>
      <c r="AE4" s="100">
        <v>0.19757914338919927</v>
      </c>
      <c r="AF4" s="100">
        <v>0.14</v>
      </c>
      <c r="AG4" s="98">
        <v>577.2811918063314</v>
      </c>
      <c r="AH4" s="98">
        <v>270.0186219739292</v>
      </c>
      <c r="AI4" s="100">
        <v>0.021</v>
      </c>
      <c r="AJ4" s="100">
        <v>0.838142</v>
      </c>
      <c r="AK4" s="100">
        <v>0.84787</v>
      </c>
      <c r="AL4" s="100">
        <v>0.813208</v>
      </c>
      <c r="AM4" s="100">
        <v>0.608759</v>
      </c>
      <c r="AN4" s="100">
        <v>0.657938</v>
      </c>
      <c r="AO4" s="98">
        <v>2374.3016759776538</v>
      </c>
      <c r="AP4" s="158">
        <v>1.162396088</v>
      </c>
      <c r="AQ4" s="100">
        <v>0.11372549019607843</v>
      </c>
      <c r="AR4" s="100">
        <v>0.4264705882352941</v>
      </c>
      <c r="AS4" s="98">
        <v>344.5065176908752</v>
      </c>
      <c r="AT4" s="98">
        <v>400.37243947858474</v>
      </c>
      <c r="AU4" s="98">
        <v>167.5977653631285</v>
      </c>
      <c r="AV4" s="98">
        <v>288.6405959031657</v>
      </c>
      <c r="AW4" s="98">
        <v>651.7690875232774</v>
      </c>
      <c r="AX4" s="98">
        <v>437.61638733705774</v>
      </c>
      <c r="AY4" s="98">
        <v>1126.6294227188082</v>
      </c>
      <c r="AZ4" s="98">
        <v>921.7877094972067</v>
      </c>
      <c r="BA4" s="100" t="s">
        <v>537</v>
      </c>
      <c r="BB4" s="100" t="s">
        <v>537</v>
      </c>
      <c r="BC4" s="100" t="s">
        <v>537</v>
      </c>
      <c r="BD4" s="158">
        <v>1.024091568</v>
      </c>
      <c r="BE4" s="158">
        <v>1.314171143</v>
      </c>
      <c r="BF4" s="162">
        <v>1421</v>
      </c>
      <c r="BG4" s="162">
        <v>493</v>
      </c>
      <c r="BH4" s="162">
        <v>2559</v>
      </c>
      <c r="BI4" s="162">
        <v>1370</v>
      </c>
      <c r="BJ4" s="162">
        <v>611</v>
      </c>
      <c r="BK4" s="97"/>
      <c r="BL4" s="97"/>
      <c r="BM4" s="97"/>
      <c r="BN4" s="97"/>
    </row>
    <row r="5" spans="1:66" ht="12.75">
      <c r="A5" s="79" t="s">
        <v>528</v>
      </c>
      <c r="B5" s="79" t="s">
        <v>310</v>
      </c>
      <c r="C5" s="79" t="s">
        <v>175</v>
      </c>
      <c r="D5" s="99">
        <v>3522</v>
      </c>
      <c r="E5" s="99">
        <v>541</v>
      </c>
      <c r="F5" s="99" t="s">
        <v>335</v>
      </c>
      <c r="G5" s="99">
        <v>11</v>
      </c>
      <c r="H5" s="99">
        <v>8</v>
      </c>
      <c r="I5" s="99">
        <v>52</v>
      </c>
      <c r="J5" s="99">
        <v>219</v>
      </c>
      <c r="K5" s="99">
        <v>82</v>
      </c>
      <c r="L5" s="99">
        <v>725</v>
      </c>
      <c r="M5" s="99">
        <v>145</v>
      </c>
      <c r="N5" s="99">
        <v>77</v>
      </c>
      <c r="O5" s="99">
        <v>69</v>
      </c>
      <c r="P5" s="159">
        <v>69</v>
      </c>
      <c r="Q5" s="99">
        <v>7</v>
      </c>
      <c r="R5" s="99">
        <v>18</v>
      </c>
      <c r="S5" s="99">
        <v>14</v>
      </c>
      <c r="T5" s="99">
        <v>11</v>
      </c>
      <c r="U5" s="99">
        <v>6</v>
      </c>
      <c r="V5" s="99">
        <v>23</v>
      </c>
      <c r="W5" s="99">
        <v>13</v>
      </c>
      <c r="X5" s="99">
        <v>10</v>
      </c>
      <c r="Y5" s="99">
        <v>36</v>
      </c>
      <c r="Z5" s="99">
        <v>23</v>
      </c>
      <c r="AA5" s="99" t="s">
        <v>537</v>
      </c>
      <c r="AB5" s="99" t="s">
        <v>537</v>
      </c>
      <c r="AC5" s="99" t="s">
        <v>537</v>
      </c>
      <c r="AD5" s="98" t="s">
        <v>313</v>
      </c>
      <c r="AE5" s="100">
        <v>0.15360590573537763</v>
      </c>
      <c r="AF5" s="100">
        <v>0.11</v>
      </c>
      <c r="AG5" s="98">
        <v>312.32254400908573</v>
      </c>
      <c r="AH5" s="98">
        <v>227.14366837024417</v>
      </c>
      <c r="AI5" s="100">
        <v>0.015</v>
      </c>
      <c r="AJ5" s="100">
        <v>0.773852</v>
      </c>
      <c r="AK5" s="100">
        <v>0.773585</v>
      </c>
      <c r="AL5" s="100">
        <v>0.823864</v>
      </c>
      <c r="AM5" s="100">
        <v>0.525362</v>
      </c>
      <c r="AN5" s="100">
        <v>0.596899</v>
      </c>
      <c r="AO5" s="98">
        <v>1959.114139693356</v>
      </c>
      <c r="AP5" s="158">
        <v>1.114004135</v>
      </c>
      <c r="AQ5" s="100">
        <v>0.10144927536231885</v>
      </c>
      <c r="AR5" s="100">
        <v>0.3888888888888889</v>
      </c>
      <c r="AS5" s="98">
        <v>397.5014196479273</v>
      </c>
      <c r="AT5" s="98">
        <v>312.32254400908573</v>
      </c>
      <c r="AU5" s="98">
        <v>170.35775127768312</v>
      </c>
      <c r="AV5" s="98">
        <v>653.038046564452</v>
      </c>
      <c r="AW5" s="98">
        <v>369.1084611016468</v>
      </c>
      <c r="AX5" s="98">
        <v>283.9295854628052</v>
      </c>
      <c r="AY5" s="98">
        <v>1022.1465076660988</v>
      </c>
      <c r="AZ5" s="98">
        <v>653.038046564452</v>
      </c>
      <c r="BA5" s="100" t="s">
        <v>537</v>
      </c>
      <c r="BB5" s="100" t="s">
        <v>537</v>
      </c>
      <c r="BC5" s="100" t="s">
        <v>537</v>
      </c>
      <c r="BD5" s="158">
        <v>0.8667617035</v>
      </c>
      <c r="BE5" s="158">
        <v>1.409843445</v>
      </c>
      <c r="BF5" s="162">
        <v>283</v>
      </c>
      <c r="BG5" s="162">
        <v>106</v>
      </c>
      <c r="BH5" s="162">
        <v>880</v>
      </c>
      <c r="BI5" s="162">
        <v>276</v>
      </c>
      <c r="BJ5" s="162">
        <v>129</v>
      </c>
      <c r="BK5" s="97"/>
      <c r="BL5" s="97"/>
      <c r="BM5" s="97"/>
      <c r="BN5" s="97"/>
    </row>
    <row r="6" spans="1:66" ht="12.75">
      <c r="A6" s="79" t="s">
        <v>513</v>
      </c>
      <c r="B6" s="79" t="s">
        <v>296</v>
      </c>
      <c r="C6" s="79" t="s">
        <v>175</v>
      </c>
      <c r="D6" s="99">
        <v>11836</v>
      </c>
      <c r="E6" s="99">
        <v>2259</v>
      </c>
      <c r="F6" s="99" t="s">
        <v>336</v>
      </c>
      <c r="G6" s="99">
        <v>63</v>
      </c>
      <c r="H6" s="99">
        <v>27</v>
      </c>
      <c r="I6" s="99">
        <v>150</v>
      </c>
      <c r="J6" s="99">
        <v>1095</v>
      </c>
      <c r="K6" s="99">
        <v>234</v>
      </c>
      <c r="L6" s="99">
        <v>2260</v>
      </c>
      <c r="M6" s="99">
        <v>779</v>
      </c>
      <c r="N6" s="99">
        <v>346</v>
      </c>
      <c r="O6" s="99">
        <v>187</v>
      </c>
      <c r="P6" s="159">
        <v>187</v>
      </c>
      <c r="Q6" s="99">
        <v>30</v>
      </c>
      <c r="R6" s="99">
        <v>60</v>
      </c>
      <c r="S6" s="99">
        <v>29</v>
      </c>
      <c r="T6" s="99">
        <v>33</v>
      </c>
      <c r="U6" s="99">
        <v>8</v>
      </c>
      <c r="V6" s="99">
        <v>15</v>
      </c>
      <c r="W6" s="99">
        <v>70</v>
      </c>
      <c r="X6" s="99">
        <v>39</v>
      </c>
      <c r="Y6" s="99">
        <v>134</v>
      </c>
      <c r="Z6" s="99">
        <v>78</v>
      </c>
      <c r="AA6" s="99" t="s">
        <v>537</v>
      </c>
      <c r="AB6" s="99" t="s">
        <v>537</v>
      </c>
      <c r="AC6" s="99" t="s">
        <v>537</v>
      </c>
      <c r="AD6" s="98" t="s">
        <v>313</v>
      </c>
      <c r="AE6" s="100">
        <v>0.19085839810746874</v>
      </c>
      <c r="AF6" s="100">
        <v>0.14</v>
      </c>
      <c r="AG6" s="98">
        <v>532.2744170327813</v>
      </c>
      <c r="AH6" s="98">
        <v>228.11760729976342</v>
      </c>
      <c r="AI6" s="100">
        <v>0.013000000000000001</v>
      </c>
      <c r="AJ6" s="100">
        <v>0.773852</v>
      </c>
      <c r="AK6" s="100">
        <v>0.740506</v>
      </c>
      <c r="AL6" s="100">
        <v>0.826628</v>
      </c>
      <c r="AM6" s="100">
        <v>0.589705</v>
      </c>
      <c r="AN6" s="100">
        <v>0.618962</v>
      </c>
      <c r="AO6" s="98">
        <v>1579.9256505576209</v>
      </c>
      <c r="AP6" s="158">
        <v>0.8184237671</v>
      </c>
      <c r="AQ6" s="100">
        <v>0.16042780748663102</v>
      </c>
      <c r="AR6" s="100">
        <v>0.5</v>
      </c>
      <c r="AS6" s="98">
        <v>245.01520784048665</v>
      </c>
      <c r="AT6" s="98">
        <v>278.81040892193306</v>
      </c>
      <c r="AU6" s="98">
        <v>67.59040216289287</v>
      </c>
      <c r="AV6" s="98">
        <v>126.73200405542413</v>
      </c>
      <c r="AW6" s="98">
        <v>591.4160189253126</v>
      </c>
      <c r="AX6" s="98">
        <v>329.5032105441027</v>
      </c>
      <c r="AY6" s="98">
        <v>1132.1392362284555</v>
      </c>
      <c r="AZ6" s="98">
        <v>659.0064210882055</v>
      </c>
      <c r="BA6" s="100" t="s">
        <v>537</v>
      </c>
      <c r="BB6" s="100" t="s">
        <v>537</v>
      </c>
      <c r="BC6" s="100" t="s">
        <v>537</v>
      </c>
      <c r="BD6" s="158">
        <v>0.7053204345999999</v>
      </c>
      <c r="BE6" s="158">
        <v>0.9445045471</v>
      </c>
      <c r="BF6" s="162">
        <v>1415</v>
      </c>
      <c r="BG6" s="162">
        <v>316</v>
      </c>
      <c r="BH6" s="162">
        <v>2734</v>
      </c>
      <c r="BI6" s="162">
        <v>1321</v>
      </c>
      <c r="BJ6" s="162">
        <v>559</v>
      </c>
      <c r="BK6" s="97"/>
      <c r="BL6" s="97"/>
      <c r="BM6" s="97"/>
      <c r="BN6" s="97"/>
    </row>
    <row r="7" spans="1:66" ht="12.75">
      <c r="A7" s="79" t="s">
        <v>499</v>
      </c>
      <c r="B7" s="79" t="s">
        <v>282</v>
      </c>
      <c r="C7" s="79" t="s">
        <v>175</v>
      </c>
      <c r="D7" s="99">
        <v>13274</v>
      </c>
      <c r="E7" s="99">
        <v>2021</v>
      </c>
      <c r="F7" s="99" t="s">
        <v>333</v>
      </c>
      <c r="G7" s="99">
        <v>71</v>
      </c>
      <c r="H7" s="99">
        <v>31</v>
      </c>
      <c r="I7" s="99">
        <v>136</v>
      </c>
      <c r="J7" s="99">
        <v>999</v>
      </c>
      <c r="K7" s="99">
        <v>328</v>
      </c>
      <c r="L7" s="99">
        <v>2215</v>
      </c>
      <c r="M7" s="99">
        <v>593</v>
      </c>
      <c r="N7" s="99">
        <v>278</v>
      </c>
      <c r="O7" s="99">
        <v>268</v>
      </c>
      <c r="P7" s="159">
        <v>268</v>
      </c>
      <c r="Q7" s="99">
        <v>28</v>
      </c>
      <c r="R7" s="99">
        <v>61</v>
      </c>
      <c r="S7" s="99">
        <v>37</v>
      </c>
      <c r="T7" s="99">
        <v>34</v>
      </c>
      <c r="U7" s="99">
        <v>9</v>
      </c>
      <c r="V7" s="99">
        <v>17</v>
      </c>
      <c r="W7" s="99">
        <v>53</v>
      </c>
      <c r="X7" s="99">
        <v>63</v>
      </c>
      <c r="Y7" s="99">
        <v>156</v>
      </c>
      <c r="Z7" s="99">
        <v>118</v>
      </c>
      <c r="AA7" s="99" t="s">
        <v>537</v>
      </c>
      <c r="AB7" s="99" t="s">
        <v>537</v>
      </c>
      <c r="AC7" s="99" t="s">
        <v>537</v>
      </c>
      <c r="AD7" s="98" t="s">
        <v>313</v>
      </c>
      <c r="AE7" s="100">
        <v>0.15225252373060116</v>
      </c>
      <c r="AF7" s="100">
        <v>0.22</v>
      </c>
      <c r="AG7" s="98">
        <v>534.8802169654965</v>
      </c>
      <c r="AH7" s="98">
        <v>233.5392496609914</v>
      </c>
      <c r="AI7" s="100">
        <v>0.01</v>
      </c>
      <c r="AJ7" s="100">
        <v>0.718705</v>
      </c>
      <c r="AK7" s="100">
        <v>0.735426</v>
      </c>
      <c r="AL7" s="100">
        <v>0.717061</v>
      </c>
      <c r="AM7" s="100">
        <v>0.486864</v>
      </c>
      <c r="AN7" s="100">
        <v>0.531549</v>
      </c>
      <c r="AO7" s="98">
        <v>2018.9844809401839</v>
      </c>
      <c r="AP7" s="158">
        <v>1.136830139</v>
      </c>
      <c r="AQ7" s="100">
        <v>0.1044776119402985</v>
      </c>
      <c r="AR7" s="100">
        <v>0.45901639344262296</v>
      </c>
      <c r="AS7" s="98">
        <v>278.7403947566672</v>
      </c>
      <c r="AT7" s="98">
        <v>256.1398222088293</v>
      </c>
      <c r="AU7" s="98">
        <v>67.80171764351364</v>
      </c>
      <c r="AV7" s="98">
        <v>128.06991110441464</v>
      </c>
      <c r="AW7" s="98">
        <v>399.2767816784692</v>
      </c>
      <c r="AX7" s="98">
        <v>474.61202350459547</v>
      </c>
      <c r="AY7" s="98">
        <v>1175.2297724875698</v>
      </c>
      <c r="AZ7" s="98">
        <v>888.9558535482898</v>
      </c>
      <c r="BA7" s="100" t="s">
        <v>537</v>
      </c>
      <c r="BB7" s="100" t="s">
        <v>537</v>
      </c>
      <c r="BC7" s="100" t="s">
        <v>537</v>
      </c>
      <c r="BD7" s="158">
        <v>1.004785614</v>
      </c>
      <c r="BE7" s="158">
        <v>1.281403656</v>
      </c>
      <c r="BF7" s="162">
        <v>1390</v>
      </c>
      <c r="BG7" s="162">
        <v>446</v>
      </c>
      <c r="BH7" s="162">
        <v>3089</v>
      </c>
      <c r="BI7" s="162">
        <v>1218</v>
      </c>
      <c r="BJ7" s="162">
        <v>523</v>
      </c>
      <c r="BK7" s="97"/>
      <c r="BL7" s="97"/>
      <c r="BM7" s="97"/>
      <c r="BN7" s="97"/>
    </row>
    <row r="8" spans="1:66" ht="12.75">
      <c r="A8" s="79" t="s">
        <v>519</v>
      </c>
      <c r="B8" s="79" t="s">
        <v>301</v>
      </c>
      <c r="C8" s="79" t="s">
        <v>175</v>
      </c>
      <c r="D8" s="99">
        <v>13796</v>
      </c>
      <c r="E8" s="99">
        <v>2319</v>
      </c>
      <c r="F8" s="99" t="s">
        <v>337</v>
      </c>
      <c r="G8" s="99">
        <v>75</v>
      </c>
      <c r="H8" s="99">
        <v>23</v>
      </c>
      <c r="I8" s="99">
        <v>286</v>
      </c>
      <c r="J8" s="99">
        <v>1439</v>
      </c>
      <c r="K8" s="99">
        <v>478</v>
      </c>
      <c r="L8" s="99">
        <v>3128</v>
      </c>
      <c r="M8" s="99">
        <v>934</v>
      </c>
      <c r="N8" s="99">
        <v>458</v>
      </c>
      <c r="O8" s="99">
        <v>281</v>
      </c>
      <c r="P8" s="159">
        <v>281</v>
      </c>
      <c r="Q8" s="99">
        <v>15</v>
      </c>
      <c r="R8" s="99">
        <v>49</v>
      </c>
      <c r="S8" s="99">
        <v>40</v>
      </c>
      <c r="T8" s="99">
        <v>60</v>
      </c>
      <c r="U8" s="99">
        <v>8</v>
      </c>
      <c r="V8" s="99">
        <v>26</v>
      </c>
      <c r="W8" s="99">
        <v>90</v>
      </c>
      <c r="X8" s="99">
        <v>64</v>
      </c>
      <c r="Y8" s="99">
        <v>151</v>
      </c>
      <c r="Z8" s="99">
        <v>93</v>
      </c>
      <c r="AA8" s="99" t="s">
        <v>537</v>
      </c>
      <c r="AB8" s="99" t="s">
        <v>537</v>
      </c>
      <c r="AC8" s="99" t="s">
        <v>537</v>
      </c>
      <c r="AD8" s="98" t="s">
        <v>313</v>
      </c>
      <c r="AE8" s="100">
        <v>0.16809220063786603</v>
      </c>
      <c r="AF8" s="100">
        <v>0.08</v>
      </c>
      <c r="AG8" s="98">
        <v>543.6358364743404</v>
      </c>
      <c r="AH8" s="98">
        <v>166.71498985213105</v>
      </c>
      <c r="AI8" s="100">
        <v>0.021</v>
      </c>
      <c r="AJ8" s="100">
        <v>0.841029</v>
      </c>
      <c r="AK8" s="100">
        <v>0.855098</v>
      </c>
      <c r="AL8" s="100">
        <v>0.874231</v>
      </c>
      <c r="AM8" s="100">
        <v>0.614878</v>
      </c>
      <c r="AN8" s="100">
        <v>0.662808</v>
      </c>
      <c r="AO8" s="98">
        <v>2036.822267323862</v>
      </c>
      <c r="AP8" s="158">
        <v>1.055875549</v>
      </c>
      <c r="AQ8" s="100">
        <v>0.05338078291814947</v>
      </c>
      <c r="AR8" s="100">
        <v>0.30612244897959184</v>
      </c>
      <c r="AS8" s="98">
        <v>289.93911278631487</v>
      </c>
      <c r="AT8" s="98">
        <v>434.9086691794723</v>
      </c>
      <c r="AU8" s="98">
        <v>57.98782255726297</v>
      </c>
      <c r="AV8" s="98">
        <v>188.46042331110468</v>
      </c>
      <c r="AW8" s="98">
        <v>652.3630037692085</v>
      </c>
      <c r="AX8" s="98">
        <v>463.9025804581038</v>
      </c>
      <c r="AY8" s="98">
        <v>1094.5201507683387</v>
      </c>
      <c r="AZ8" s="98">
        <v>674.1084372281821</v>
      </c>
      <c r="BA8" s="100" t="s">
        <v>537</v>
      </c>
      <c r="BB8" s="100" t="s">
        <v>537</v>
      </c>
      <c r="BC8" s="100" t="s">
        <v>537</v>
      </c>
      <c r="BD8" s="158">
        <v>0.9360174561</v>
      </c>
      <c r="BE8" s="158">
        <v>1.186826935</v>
      </c>
      <c r="BF8" s="162">
        <v>1711</v>
      </c>
      <c r="BG8" s="162">
        <v>559</v>
      </c>
      <c r="BH8" s="162">
        <v>3578</v>
      </c>
      <c r="BI8" s="162">
        <v>1519</v>
      </c>
      <c r="BJ8" s="162">
        <v>691</v>
      </c>
      <c r="BK8" s="97"/>
      <c r="BL8" s="97"/>
      <c r="BM8" s="97"/>
      <c r="BN8" s="97"/>
    </row>
    <row r="9" spans="1:66" ht="12.75">
      <c r="A9" s="79" t="s">
        <v>524</v>
      </c>
      <c r="B9" s="79" t="s">
        <v>306</v>
      </c>
      <c r="C9" s="79" t="s">
        <v>175</v>
      </c>
      <c r="D9" s="99">
        <v>3623</v>
      </c>
      <c r="E9" s="99">
        <v>310</v>
      </c>
      <c r="F9" s="99" t="s">
        <v>334</v>
      </c>
      <c r="G9" s="99">
        <v>9</v>
      </c>
      <c r="H9" s="99" t="s">
        <v>537</v>
      </c>
      <c r="I9" s="99">
        <v>17</v>
      </c>
      <c r="J9" s="99">
        <v>162</v>
      </c>
      <c r="K9" s="99">
        <v>51</v>
      </c>
      <c r="L9" s="99">
        <v>570</v>
      </c>
      <c r="M9" s="99">
        <v>47</v>
      </c>
      <c r="N9" s="99">
        <v>29</v>
      </c>
      <c r="O9" s="99">
        <v>22</v>
      </c>
      <c r="P9" s="159">
        <v>22</v>
      </c>
      <c r="Q9" s="99" t="s">
        <v>537</v>
      </c>
      <c r="R9" s="99" t="s">
        <v>537</v>
      </c>
      <c r="S9" s="99" t="s">
        <v>537</v>
      </c>
      <c r="T9" s="99">
        <v>6</v>
      </c>
      <c r="U9" s="99" t="s">
        <v>537</v>
      </c>
      <c r="V9" s="99" t="s">
        <v>537</v>
      </c>
      <c r="W9" s="99">
        <v>15</v>
      </c>
      <c r="X9" s="99">
        <v>8</v>
      </c>
      <c r="Y9" s="99">
        <v>17</v>
      </c>
      <c r="Z9" s="99">
        <v>10</v>
      </c>
      <c r="AA9" s="99" t="s">
        <v>537</v>
      </c>
      <c r="AB9" s="99" t="s">
        <v>537</v>
      </c>
      <c r="AC9" s="99" t="s">
        <v>537</v>
      </c>
      <c r="AD9" s="98" t="s">
        <v>313</v>
      </c>
      <c r="AE9" s="100">
        <v>0.08556444935136627</v>
      </c>
      <c r="AF9" s="100">
        <v>0.25</v>
      </c>
      <c r="AG9" s="98">
        <v>248.41291747170854</v>
      </c>
      <c r="AH9" s="98" t="s">
        <v>537</v>
      </c>
      <c r="AI9" s="100">
        <v>0.005</v>
      </c>
      <c r="AJ9" s="100">
        <v>0.658537</v>
      </c>
      <c r="AK9" s="100">
        <v>0.772727</v>
      </c>
      <c r="AL9" s="100">
        <v>0.719697</v>
      </c>
      <c r="AM9" s="100">
        <v>0.267045</v>
      </c>
      <c r="AN9" s="100">
        <v>0.358025</v>
      </c>
      <c r="AO9" s="98">
        <v>607.2315760419542</v>
      </c>
      <c r="AP9" s="158">
        <v>0.4793902588</v>
      </c>
      <c r="AQ9" s="100" t="s">
        <v>537</v>
      </c>
      <c r="AR9" s="100" t="s">
        <v>537</v>
      </c>
      <c r="AS9" s="98" t="s">
        <v>537</v>
      </c>
      <c r="AT9" s="98">
        <v>165.60861164780567</v>
      </c>
      <c r="AU9" s="98" t="s">
        <v>537</v>
      </c>
      <c r="AV9" s="98" t="s">
        <v>537</v>
      </c>
      <c r="AW9" s="98">
        <v>414.02152911951424</v>
      </c>
      <c r="AX9" s="98">
        <v>220.81148219707424</v>
      </c>
      <c r="AY9" s="98">
        <v>469.2243996687828</v>
      </c>
      <c r="AZ9" s="98">
        <v>276.0143527463428</v>
      </c>
      <c r="BA9" s="100" t="s">
        <v>537</v>
      </c>
      <c r="BB9" s="100" t="s">
        <v>537</v>
      </c>
      <c r="BC9" s="100" t="s">
        <v>537</v>
      </c>
      <c r="BD9" s="158">
        <v>0.3004313278</v>
      </c>
      <c r="BE9" s="158">
        <v>0.7258026123000001</v>
      </c>
      <c r="BF9" s="162">
        <v>246</v>
      </c>
      <c r="BG9" s="162">
        <v>66</v>
      </c>
      <c r="BH9" s="162">
        <v>792</v>
      </c>
      <c r="BI9" s="162">
        <v>176</v>
      </c>
      <c r="BJ9" s="162">
        <v>81</v>
      </c>
      <c r="BK9" s="97"/>
      <c r="BL9" s="97"/>
      <c r="BM9" s="97"/>
      <c r="BN9" s="97"/>
    </row>
    <row r="10" spans="1:66" ht="12.75">
      <c r="A10" s="79" t="s">
        <v>521</v>
      </c>
      <c r="B10" s="79" t="s">
        <v>303</v>
      </c>
      <c r="C10" s="79" t="s">
        <v>175</v>
      </c>
      <c r="D10" s="99">
        <v>4384</v>
      </c>
      <c r="E10" s="99">
        <v>446</v>
      </c>
      <c r="F10" s="99" t="s">
        <v>333</v>
      </c>
      <c r="G10" s="99" t="s">
        <v>537</v>
      </c>
      <c r="H10" s="99">
        <v>7</v>
      </c>
      <c r="I10" s="99">
        <v>32</v>
      </c>
      <c r="J10" s="99">
        <v>239</v>
      </c>
      <c r="K10" s="99">
        <v>58</v>
      </c>
      <c r="L10" s="99">
        <v>786</v>
      </c>
      <c r="M10" s="99">
        <v>83</v>
      </c>
      <c r="N10" s="99">
        <v>48</v>
      </c>
      <c r="O10" s="99">
        <v>37</v>
      </c>
      <c r="P10" s="159">
        <v>37</v>
      </c>
      <c r="Q10" s="99">
        <v>6</v>
      </c>
      <c r="R10" s="99">
        <v>9</v>
      </c>
      <c r="S10" s="99" t="s">
        <v>537</v>
      </c>
      <c r="T10" s="99">
        <v>8</v>
      </c>
      <c r="U10" s="99" t="s">
        <v>537</v>
      </c>
      <c r="V10" s="99" t="s">
        <v>537</v>
      </c>
      <c r="W10" s="99">
        <v>15</v>
      </c>
      <c r="X10" s="99">
        <v>12</v>
      </c>
      <c r="Y10" s="99">
        <v>48</v>
      </c>
      <c r="Z10" s="99">
        <v>15</v>
      </c>
      <c r="AA10" s="99" t="s">
        <v>537</v>
      </c>
      <c r="AB10" s="99" t="s">
        <v>537</v>
      </c>
      <c r="AC10" s="99" t="s">
        <v>537</v>
      </c>
      <c r="AD10" s="98" t="s">
        <v>313</v>
      </c>
      <c r="AE10" s="100">
        <v>0.10173357664233576</v>
      </c>
      <c r="AF10" s="100">
        <v>0.23</v>
      </c>
      <c r="AG10" s="98" t="s">
        <v>537</v>
      </c>
      <c r="AH10" s="98">
        <v>159.67153284671534</v>
      </c>
      <c r="AI10" s="100">
        <v>0.006999999999999999</v>
      </c>
      <c r="AJ10" s="100">
        <v>0.660221</v>
      </c>
      <c r="AK10" s="100">
        <v>0.674419</v>
      </c>
      <c r="AL10" s="100">
        <v>0.77668</v>
      </c>
      <c r="AM10" s="100">
        <v>0.30855</v>
      </c>
      <c r="AN10" s="100">
        <v>0.358209</v>
      </c>
      <c r="AO10" s="98">
        <v>843.978102189781</v>
      </c>
      <c r="AP10" s="158">
        <v>0.6019333267</v>
      </c>
      <c r="AQ10" s="100">
        <v>0.16216216216216217</v>
      </c>
      <c r="AR10" s="100">
        <v>0.6666666666666666</v>
      </c>
      <c r="AS10" s="98" t="s">
        <v>537</v>
      </c>
      <c r="AT10" s="98">
        <v>182.4817518248175</v>
      </c>
      <c r="AU10" s="98" t="s">
        <v>537</v>
      </c>
      <c r="AV10" s="98" t="s">
        <v>537</v>
      </c>
      <c r="AW10" s="98">
        <v>342.15328467153284</v>
      </c>
      <c r="AX10" s="98">
        <v>273.7226277372263</v>
      </c>
      <c r="AY10" s="98">
        <v>1094.890510948905</v>
      </c>
      <c r="AZ10" s="98">
        <v>342.15328467153284</v>
      </c>
      <c r="BA10" s="100" t="s">
        <v>537</v>
      </c>
      <c r="BB10" s="100" t="s">
        <v>537</v>
      </c>
      <c r="BC10" s="100" t="s">
        <v>537</v>
      </c>
      <c r="BD10" s="158">
        <v>0.4238166046</v>
      </c>
      <c r="BE10" s="158">
        <v>0.8296858215</v>
      </c>
      <c r="BF10" s="162">
        <v>362</v>
      </c>
      <c r="BG10" s="162">
        <v>86</v>
      </c>
      <c r="BH10" s="162">
        <v>1012</v>
      </c>
      <c r="BI10" s="162">
        <v>269</v>
      </c>
      <c r="BJ10" s="162">
        <v>134</v>
      </c>
      <c r="BK10" s="97"/>
      <c r="BL10" s="97"/>
      <c r="BM10" s="97"/>
      <c r="BN10" s="97"/>
    </row>
    <row r="11" spans="1:66" ht="12.75">
      <c r="A11" s="79" t="s">
        <v>527</v>
      </c>
      <c r="B11" s="79" t="s">
        <v>309</v>
      </c>
      <c r="C11" s="79" t="s">
        <v>175</v>
      </c>
      <c r="D11" s="99">
        <v>3679</v>
      </c>
      <c r="E11" s="99">
        <v>428</v>
      </c>
      <c r="F11" s="99" t="s">
        <v>336</v>
      </c>
      <c r="G11" s="99">
        <v>11</v>
      </c>
      <c r="H11" s="99" t="s">
        <v>537</v>
      </c>
      <c r="I11" s="99">
        <v>40</v>
      </c>
      <c r="J11" s="99">
        <v>255</v>
      </c>
      <c r="K11" s="99">
        <v>93</v>
      </c>
      <c r="L11" s="99">
        <v>725</v>
      </c>
      <c r="M11" s="99">
        <v>164</v>
      </c>
      <c r="N11" s="99">
        <v>68</v>
      </c>
      <c r="O11" s="99">
        <v>28</v>
      </c>
      <c r="P11" s="159">
        <v>28</v>
      </c>
      <c r="Q11" s="99" t="s">
        <v>537</v>
      </c>
      <c r="R11" s="99">
        <v>14</v>
      </c>
      <c r="S11" s="99">
        <v>9</v>
      </c>
      <c r="T11" s="99" t="s">
        <v>537</v>
      </c>
      <c r="U11" s="99" t="s">
        <v>537</v>
      </c>
      <c r="V11" s="99" t="s">
        <v>537</v>
      </c>
      <c r="W11" s="99">
        <v>11</v>
      </c>
      <c r="X11" s="99">
        <v>13</v>
      </c>
      <c r="Y11" s="99">
        <v>20</v>
      </c>
      <c r="Z11" s="99">
        <v>21</v>
      </c>
      <c r="AA11" s="99" t="s">
        <v>537</v>
      </c>
      <c r="AB11" s="99" t="s">
        <v>537</v>
      </c>
      <c r="AC11" s="99" t="s">
        <v>537</v>
      </c>
      <c r="AD11" s="98" t="s">
        <v>313</v>
      </c>
      <c r="AE11" s="100">
        <v>0.11633596085892906</v>
      </c>
      <c r="AF11" s="100">
        <v>0.17</v>
      </c>
      <c r="AG11" s="98">
        <v>298.9942919271541</v>
      </c>
      <c r="AH11" s="98" t="s">
        <v>537</v>
      </c>
      <c r="AI11" s="100">
        <v>0.011000000000000001</v>
      </c>
      <c r="AJ11" s="100">
        <v>0.716292</v>
      </c>
      <c r="AK11" s="100">
        <v>0.756098</v>
      </c>
      <c r="AL11" s="100">
        <v>0.770457</v>
      </c>
      <c r="AM11" s="100">
        <v>0.5</v>
      </c>
      <c r="AN11" s="100">
        <v>0.535433</v>
      </c>
      <c r="AO11" s="98">
        <v>761.0763794509378</v>
      </c>
      <c r="AP11" s="158">
        <v>0.4707377625</v>
      </c>
      <c r="AQ11" s="100" t="s">
        <v>537</v>
      </c>
      <c r="AR11" s="100" t="s">
        <v>537</v>
      </c>
      <c r="AS11" s="98">
        <v>244.63169339494428</v>
      </c>
      <c r="AT11" s="98" t="s">
        <v>537</v>
      </c>
      <c r="AU11" s="98" t="s">
        <v>537</v>
      </c>
      <c r="AV11" s="98" t="s">
        <v>537</v>
      </c>
      <c r="AW11" s="98">
        <v>298.9942919271541</v>
      </c>
      <c r="AX11" s="98">
        <v>353.35689045936397</v>
      </c>
      <c r="AY11" s="98">
        <v>543.6259853220984</v>
      </c>
      <c r="AZ11" s="98">
        <v>570.8072845882033</v>
      </c>
      <c r="BA11" s="100" t="s">
        <v>537</v>
      </c>
      <c r="BB11" s="100" t="s">
        <v>537</v>
      </c>
      <c r="BC11" s="100" t="s">
        <v>537</v>
      </c>
      <c r="BD11" s="158">
        <v>0.3128018188</v>
      </c>
      <c r="BE11" s="158">
        <v>0.6803471375</v>
      </c>
      <c r="BF11" s="162">
        <v>356</v>
      </c>
      <c r="BG11" s="162">
        <v>123</v>
      </c>
      <c r="BH11" s="162">
        <v>941</v>
      </c>
      <c r="BI11" s="162">
        <v>328</v>
      </c>
      <c r="BJ11" s="162">
        <v>127</v>
      </c>
      <c r="BK11" s="97"/>
      <c r="BL11" s="97"/>
      <c r="BM11" s="97"/>
      <c r="BN11" s="97"/>
    </row>
    <row r="12" spans="1:66" ht="12.75">
      <c r="A12" s="79" t="s">
        <v>502</v>
      </c>
      <c r="B12" s="79" t="s">
        <v>285</v>
      </c>
      <c r="C12" s="79" t="s">
        <v>175</v>
      </c>
      <c r="D12" s="99">
        <v>12214</v>
      </c>
      <c r="E12" s="99">
        <v>2126</v>
      </c>
      <c r="F12" s="99" t="s">
        <v>333</v>
      </c>
      <c r="G12" s="99">
        <v>87</v>
      </c>
      <c r="H12" s="99">
        <v>27</v>
      </c>
      <c r="I12" s="99">
        <v>194</v>
      </c>
      <c r="J12" s="99">
        <v>1135</v>
      </c>
      <c r="K12" s="99">
        <v>258</v>
      </c>
      <c r="L12" s="99">
        <v>2230</v>
      </c>
      <c r="M12" s="99">
        <v>782</v>
      </c>
      <c r="N12" s="99">
        <v>373</v>
      </c>
      <c r="O12" s="99">
        <v>327</v>
      </c>
      <c r="P12" s="159">
        <v>327</v>
      </c>
      <c r="Q12" s="99">
        <v>23</v>
      </c>
      <c r="R12" s="99">
        <v>48</v>
      </c>
      <c r="S12" s="99">
        <v>55</v>
      </c>
      <c r="T12" s="99">
        <v>77</v>
      </c>
      <c r="U12" s="99">
        <v>11</v>
      </c>
      <c r="V12" s="99">
        <v>45</v>
      </c>
      <c r="W12" s="99">
        <v>99</v>
      </c>
      <c r="X12" s="99">
        <v>84</v>
      </c>
      <c r="Y12" s="99">
        <v>161</v>
      </c>
      <c r="Z12" s="99">
        <v>94</v>
      </c>
      <c r="AA12" s="99" t="s">
        <v>537</v>
      </c>
      <c r="AB12" s="99" t="s">
        <v>537</v>
      </c>
      <c r="AC12" s="99" t="s">
        <v>537</v>
      </c>
      <c r="AD12" s="98" t="s">
        <v>313</v>
      </c>
      <c r="AE12" s="100">
        <v>0.17406255117078762</v>
      </c>
      <c r="AF12" s="100">
        <v>0.18</v>
      </c>
      <c r="AG12" s="98">
        <v>712.2973636810218</v>
      </c>
      <c r="AH12" s="98">
        <v>221.0578025216964</v>
      </c>
      <c r="AI12" s="100">
        <v>0.016</v>
      </c>
      <c r="AJ12" s="100">
        <v>0.770014</v>
      </c>
      <c r="AK12" s="100">
        <v>0.793846</v>
      </c>
      <c r="AL12" s="100">
        <v>0.782456</v>
      </c>
      <c r="AM12" s="100">
        <v>0.541927</v>
      </c>
      <c r="AN12" s="100">
        <v>0.604538</v>
      </c>
      <c r="AO12" s="98">
        <v>2677.255608318323</v>
      </c>
      <c r="AP12" s="158">
        <v>1.444514923</v>
      </c>
      <c r="AQ12" s="100">
        <v>0.07033639143730887</v>
      </c>
      <c r="AR12" s="100">
        <v>0.4791666666666667</v>
      </c>
      <c r="AS12" s="98">
        <v>450.3029310627149</v>
      </c>
      <c r="AT12" s="98">
        <v>630.4241034878008</v>
      </c>
      <c r="AU12" s="98">
        <v>90.06058621254299</v>
      </c>
      <c r="AV12" s="98">
        <v>368.42967086949403</v>
      </c>
      <c r="AW12" s="98">
        <v>810.5452759128868</v>
      </c>
      <c r="AX12" s="98">
        <v>687.7353856230555</v>
      </c>
      <c r="AY12" s="98">
        <v>1318.1594891108564</v>
      </c>
      <c r="AZ12" s="98">
        <v>769.6086458162764</v>
      </c>
      <c r="BA12" s="100" t="s">
        <v>537</v>
      </c>
      <c r="BB12" s="100" t="s">
        <v>537</v>
      </c>
      <c r="BC12" s="100" t="s">
        <v>537</v>
      </c>
      <c r="BD12" s="158">
        <v>1.29217453</v>
      </c>
      <c r="BE12" s="158">
        <v>1.609878387</v>
      </c>
      <c r="BF12" s="162">
        <v>1474</v>
      </c>
      <c r="BG12" s="162">
        <v>325</v>
      </c>
      <c r="BH12" s="162">
        <v>2850</v>
      </c>
      <c r="BI12" s="162">
        <v>1443</v>
      </c>
      <c r="BJ12" s="162">
        <v>617</v>
      </c>
      <c r="BK12" s="97"/>
      <c r="BL12" s="97"/>
      <c r="BM12" s="97"/>
      <c r="BN12" s="97"/>
    </row>
    <row r="13" spans="1:66" ht="12.75">
      <c r="A13" s="79" t="s">
        <v>505</v>
      </c>
      <c r="B13" s="79" t="s">
        <v>288</v>
      </c>
      <c r="C13" s="79" t="s">
        <v>175</v>
      </c>
      <c r="D13" s="99">
        <v>5462</v>
      </c>
      <c r="E13" s="99">
        <v>952</v>
      </c>
      <c r="F13" s="99" t="s">
        <v>336</v>
      </c>
      <c r="G13" s="99">
        <v>25</v>
      </c>
      <c r="H13" s="99">
        <v>16</v>
      </c>
      <c r="I13" s="99">
        <v>91</v>
      </c>
      <c r="J13" s="99">
        <v>468</v>
      </c>
      <c r="K13" s="99">
        <v>148</v>
      </c>
      <c r="L13" s="99">
        <v>953</v>
      </c>
      <c r="M13" s="99">
        <v>330</v>
      </c>
      <c r="N13" s="99">
        <v>141</v>
      </c>
      <c r="O13" s="99">
        <v>138</v>
      </c>
      <c r="P13" s="159">
        <v>138</v>
      </c>
      <c r="Q13" s="99">
        <v>20</v>
      </c>
      <c r="R13" s="99">
        <v>32</v>
      </c>
      <c r="S13" s="99">
        <v>23</v>
      </c>
      <c r="T13" s="99">
        <v>15</v>
      </c>
      <c r="U13" s="99" t="s">
        <v>537</v>
      </c>
      <c r="V13" s="99">
        <v>20</v>
      </c>
      <c r="W13" s="99">
        <v>24</v>
      </c>
      <c r="X13" s="99">
        <v>29</v>
      </c>
      <c r="Y13" s="99">
        <v>54</v>
      </c>
      <c r="Z13" s="99">
        <v>42</v>
      </c>
      <c r="AA13" s="99" t="s">
        <v>537</v>
      </c>
      <c r="AB13" s="99" t="s">
        <v>537</v>
      </c>
      <c r="AC13" s="99" t="s">
        <v>537</v>
      </c>
      <c r="AD13" s="98" t="s">
        <v>313</v>
      </c>
      <c r="AE13" s="100">
        <v>0.174295129989015</v>
      </c>
      <c r="AF13" s="100">
        <v>0.16</v>
      </c>
      <c r="AG13" s="98">
        <v>457.70779934090075</v>
      </c>
      <c r="AH13" s="98">
        <v>292.9329915781765</v>
      </c>
      <c r="AI13" s="100">
        <v>0.017</v>
      </c>
      <c r="AJ13" s="100">
        <v>0.785235</v>
      </c>
      <c r="AK13" s="100">
        <v>0.791444</v>
      </c>
      <c r="AL13" s="100">
        <v>0.736476</v>
      </c>
      <c r="AM13" s="100">
        <v>0.557432</v>
      </c>
      <c r="AN13" s="100">
        <v>0.585062</v>
      </c>
      <c r="AO13" s="98">
        <v>2526.5470523617723</v>
      </c>
      <c r="AP13" s="158">
        <v>1.36539444</v>
      </c>
      <c r="AQ13" s="100">
        <v>0.14492753623188406</v>
      </c>
      <c r="AR13" s="100">
        <v>0.625</v>
      </c>
      <c r="AS13" s="98">
        <v>421.0911753936287</v>
      </c>
      <c r="AT13" s="98">
        <v>274.62467960454046</v>
      </c>
      <c r="AU13" s="98" t="s">
        <v>537</v>
      </c>
      <c r="AV13" s="98">
        <v>366.16623947272063</v>
      </c>
      <c r="AW13" s="98">
        <v>439.3994873672647</v>
      </c>
      <c r="AX13" s="98">
        <v>530.9410472354449</v>
      </c>
      <c r="AY13" s="98">
        <v>988.6488465763457</v>
      </c>
      <c r="AZ13" s="98">
        <v>768.9491028927133</v>
      </c>
      <c r="BA13" s="100" t="s">
        <v>537</v>
      </c>
      <c r="BB13" s="100" t="s">
        <v>537</v>
      </c>
      <c r="BC13" s="100" t="s">
        <v>537</v>
      </c>
      <c r="BD13" s="158">
        <v>1.147098694</v>
      </c>
      <c r="BE13" s="158">
        <v>1.613141632</v>
      </c>
      <c r="BF13" s="162">
        <v>596</v>
      </c>
      <c r="BG13" s="162">
        <v>187</v>
      </c>
      <c r="BH13" s="162">
        <v>1294</v>
      </c>
      <c r="BI13" s="162">
        <v>592</v>
      </c>
      <c r="BJ13" s="162">
        <v>241</v>
      </c>
      <c r="BK13" s="97"/>
      <c r="BL13" s="97"/>
      <c r="BM13" s="97"/>
      <c r="BN13" s="97"/>
    </row>
    <row r="14" spans="1:66" ht="12.75">
      <c r="A14" s="79" t="s">
        <v>517</v>
      </c>
      <c r="B14" s="79" t="s">
        <v>299</v>
      </c>
      <c r="C14" s="79" t="s">
        <v>175</v>
      </c>
      <c r="D14" s="99">
        <v>8153</v>
      </c>
      <c r="E14" s="99">
        <v>1016</v>
      </c>
      <c r="F14" s="99" t="s">
        <v>334</v>
      </c>
      <c r="G14" s="99">
        <v>40</v>
      </c>
      <c r="H14" s="99">
        <v>18</v>
      </c>
      <c r="I14" s="99">
        <v>85</v>
      </c>
      <c r="J14" s="99">
        <v>551</v>
      </c>
      <c r="K14" s="99">
        <v>173</v>
      </c>
      <c r="L14" s="99">
        <v>1380</v>
      </c>
      <c r="M14" s="99">
        <v>313</v>
      </c>
      <c r="N14" s="99">
        <v>145</v>
      </c>
      <c r="O14" s="99">
        <v>163</v>
      </c>
      <c r="P14" s="159">
        <v>163</v>
      </c>
      <c r="Q14" s="99">
        <v>18</v>
      </c>
      <c r="R14" s="99">
        <v>41</v>
      </c>
      <c r="S14" s="99">
        <v>33</v>
      </c>
      <c r="T14" s="99">
        <v>25</v>
      </c>
      <c r="U14" s="99">
        <v>6</v>
      </c>
      <c r="V14" s="99">
        <v>25</v>
      </c>
      <c r="W14" s="99">
        <v>47</v>
      </c>
      <c r="X14" s="99">
        <v>32</v>
      </c>
      <c r="Y14" s="99">
        <v>94</v>
      </c>
      <c r="Z14" s="99">
        <v>57</v>
      </c>
      <c r="AA14" s="99" t="s">
        <v>537</v>
      </c>
      <c r="AB14" s="99" t="s">
        <v>537</v>
      </c>
      <c r="AC14" s="99" t="s">
        <v>537</v>
      </c>
      <c r="AD14" s="98" t="s">
        <v>313</v>
      </c>
      <c r="AE14" s="100">
        <v>0.12461670550717527</v>
      </c>
      <c r="AF14" s="100">
        <v>0.27</v>
      </c>
      <c r="AG14" s="98">
        <v>490.6169508156507</v>
      </c>
      <c r="AH14" s="98">
        <v>220.7776278670428</v>
      </c>
      <c r="AI14" s="100">
        <v>0.01</v>
      </c>
      <c r="AJ14" s="100">
        <v>0.69483</v>
      </c>
      <c r="AK14" s="100">
        <v>0.665385</v>
      </c>
      <c r="AL14" s="100">
        <v>0.762431</v>
      </c>
      <c r="AM14" s="100">
        <v>0.465082</v>
      </c>
      <c r="AN14" s="100">
        <v>0.480132</v>
      </c>
      <c r="AO14" s="98">
        <v>1999.2640745737765</v>
      </c>
      <c r="AP14" s="158">
        <v>1.288497314</v>
      </c>
      <c r="AQ14" s="100">
        <v>0.11042944785276074</v>
      </c>
      <c r="AR14" s="100">
        <v>0.43902439024390244</v>
      </c>
      <c r="AS14" s="98">
        <v>404.7589844229118</v>
      </c>
      <c r="AT14" s="98">
        <v>306.63559425978167</v>
      </c>
      <c r="AU14" s="98">
        <v>73.59254262234761</v>
      </c>
      <c r="AV14" s="98">
        <v>306.63559425978167</v>
      </c>
      <c r="AW14" s="98">
        <v>576.4749172083896</v>
      </c>
      <c r="AX14" s="98">
        <v>392.49356065252056</v>
      </c>
      <c r="AY14" s="98">
        <v>1152.9498344167791</v>
      </c>
      <c r="AZ14" s="98">
        <v>699.1291549123022</v>
      </c>
      <c r="BA14" s="100" t="s">
        <v>537</v>
      </c>
      <c r="BB14" s="100" t="s">
        <v>537</v>
      </c>
      <c r="BC14" s="100" t="s">
        <v>537</v>
      </c>
      <c r="BD14" s="158">
        <v>1.098282242</v>
      </c>
      <c r="BE14" s="158">
        <v>1.502191162</v>
      </c>
      <c r="BF14" s="162">
        <v>793</v>
      </c>
      <c r="BG14" s="162">
        <v>260</v>
      </c>
      <c r="BH14" s="162">
        <v>1810</v>
      </c>
      <c r="BI14" s="162">
        <v>673</v>
      </c>
      <c r="BJ14" s="162">
        <v>302</v>
      </c>
      <c r="BK14" s="97"/>
      <c r="BL14" s="97"/>
      <c r="BM14" s="97"/>
      <c r="BN14" s="97"/>
    </row>
    <row r="15" spans="1:66" ht="12.75">
      <c r="A15" s="79" t="s">
        <v>525</v>
      </c>
      <c r="B15" s="79" t="s">
        <v>307</v>
      </c>
      <c r="C15" s="79" t="s">
        <v>175</v>
      </c>
      <c r="D15" s="99">
        <v>3098</v>
      </c>
      <c r="E15" s="99">
        <v>311</v>
      </c>
      <c r="F15" s="99" t="s">
        <v>336</v>
      </c>
      <c r="G15" s="99">
        <v>11</v>
      </c>
      <c r="H15" s="99" t="s">
        <v>537</v>
      </c>
      <c r="I15" s="99">
        <v>54</v>
      </c>
      <c r="J15" s="99">
        <v>207</v>
      </c>
      <c r="K15" s="99">
        <v>66</v>
      </c>
      <c r="L15" s="99">
        <v>660</v>
      </c>
      <c r="M15" s="99">
        <v>105</v>
      </c>
      <c r="N15" s="99">
        <v>56</v>
      </c>
      <c r="O15" s="99">
        <v>27</v>
      </c>
      <c r="P15" s="159">
        <v>27</v>
      </c>
      <c r="Q15" s="99">
        <v>9</v>
      </c>
      <c r="R15" s="99">
        <v>15</v>
      </c>
      <c r="S15" s="99" t="s">
        <v>537</v>
      </c>
      <c r="T15" s="99" t="s">
        <v>537</v>
      </c>
      <c r="U15" s="99" t="s">
        <v>537</v>
      </c>
      <c r="V15" s="99" t="s">
        <v>537</v>
      </c>
      <c r="W15" s="99">
        <v>8</v>
      </c>
      <c r="X15" s="99">
        <v>11</v>
      </c>
      <c r="Y15" s="99">
        <v>14</v>
      </c>
      <c r="Z15" s="99">
        <v>18</v>
      </c>
      <c r="AA15" s="99" t="s">
        <v>537</v>
      </c>
      <c r="AB15" s="99" t="s">
        <v>537</v>
      </c>
      <c r="AC15" s="99" t="s">
        <v>537</v>
      </c>
      <c r="AD15" s="98" t="s">
        <v>313</v>
      </c>
      <c r="AE15" s="100">
        <v>0.10038734667527437</v>
      </c>
      <c r="AF15" s="100">
        <v>0.17</v>
      </c>
      <c r="AG15" s="98">
        <v>355.06778566817303</v>
      </c>
      <c r="AH15" s="98" t="s">
        <v>537</v>
      </c>
      <c r="AI15" s="100">
        <v>0.017</v>
      </c>
      <c r="AJ15" s="100">
        <v>0.755474</v>
      </c>
      <c r="AK15" s="100">
        <v>0.717391</v>
      </c>
      <c r="AL15" s="100">
        <v>0.829146</v>
      </c>
      <c r="AM15" s="100">
        <v>0.410156</v>
      </c>
      <c r="AN15" s="100">
        <v>0.491228</v>
      </c>
      <c r="AO15" s="98">
        <v>871.5300193673338</v>
      </c>
      <c r="AP15" s="158">
        <v>0.5821589279</v>
      </c>
      <c r="AQ15" s="100">
        <v>0.3333333333333333</v>
      </c>
      <c r="AR15" s="100">
        <v>0.6</v>
      </c>
      <c r="AS15" s="98" t="s">
        <v>537</v>
      </c>
      <c r="AT15" s="98" t="s">
        <v>537</v>
      </c>
      <c r="AU15" s="98" t="s">
        <v>537</v>
      </c>
      <c r="AV15" s="98" t="s">
        <v>537</v>
      </c>
      <c r="AW15" s="98">
        <v>258.23111684958036</v>
      </c>
      <c r="AX15" s="98">
        <v>355.06778566817303</v>
      </c>
      <c r="AY15" s="98">
        <v>451.90445448676564</v>
      </c>
      <c r="AZ15" s="98">
        <v>581.0200129115558</v>
      </c>
      <c r="BA15" s="100" t="s">
        <v>537</v>
      </c>
      <c r="BB15" s="100" t="s">
        <v>537</v>
      </c>
      <c r="BC15" s="100" t="s">
        <v>537</v>
      </c>
      <c r="BD15" s="158">
        <v>0.3836463928</v>
      </c>
      <c r="BE15" s="158">
        <v>0.8470106506</v>
      </c>
      <c r="BF15" s="162">
        <v>274</v>
      </c>
      <c r="BG15" s="162">
        <v>92</v>
      </c>
      <c r="BH15" s="162">
        <v>796</v>
      </c>
      <c r="BI15" s="162">
        <v>256</v>
      </c>
      <c r="BJ15" s="162">
        <v>114</v>
      </c>
      <c r="BK15" s="97"/>
      <c r="BL15" s="97"/>
      <c r="BM15" s="97"/>
      <c r="BN15" s="97"/>
    </row>
    <row r="16" spans="1:66" ht="12.75">
      <c r="A16" s="79" t="s">
        <v>510</v>
      </c>
      <c r="B16" s="79" t="s">
        <v>293</v>
      </c>
      <c r="C16" s="79" t="s">
        <v>175</v>
      </c>
      <c r="D16" s="99">
        <v>14968</v>
      </c>
      <c r="E16" s="99">
        <v>1768</v>
      </c>
      <c r="F16" s="99" t="s">
        <v>336</v>
      </c>
      <c r="G16" s="99">
        <v>64</v>
      </c>
      <c r="H16" s="99">
        <v>32</v>
      </c>
      <c r="I16" s="99">
        <v>123</v>
      </c>
      <c r="J16" s="99">
        <v>1172</v>
      </c>
      <c r="K16" s="99">
        <v>384</v>
      </c>
      <c r="L16" s="99">
        <v>2954</v>
      </c>
      <c r="M16" s="99">
        <v>661</v>
      </c>
      <c r="N16" s="99">
        <v>310</v>
      </c>
      <c r="O16" s="99">
        <v>268</v>
      </c>
      <c r="P16" s="159">
        <v>268</v>
      </c>
      <c r="Q16" s="99">
        <v>25</v>
      </c>
      <c r="R16" s="99">
        <v>64</v>
      </c>
      <c r="S16" s="99">
        <v>70</v>
      </c>
      <c r="T16" s="99">
        <v>34</v>
      </c>
      <c r="U16" s="99" t="s">
        <v>537</v>
      </c>
      <c r="V16" s="99">
        <v>37</v>
      </c>
      <c r="W16" s="99">
        <v>68</v>
      </c>
      <c r="X16" s="99">
        <v>57</v>
      </c>
      <c r="Y16" s="99">
        <v>149</v>
      </c>
      <c r="Z16" s="99">
        <v>78</v>
      </c>
      <c r="AA16" s="99" t="s">
        <v>537</v>
      </c>
      <c r="AB16" s="99" t="s">
        <v>537</v>
      </c>
      <c r="AC16" s="99" t="s">
        <v>537</v>
      </c>
      <c r="AD16" s="98" t="s">
        <v>313</v>
      </c>
      <c r="AE16" s="100">
        <v>0.11811865312667023</v>
      </c>
      <c r="AF16" s="100">
        <v>0.14</v>
      </c>
      <c r="AG16" s="98">
        <v>427.57883484767507</v>
      </c>
      <c r="AH16" s="98">
        <v>213.78941742383753</v>
      </c>
      <c r="AI16" s="100">
        <v>0.008</v>
      </c>
      <c r="AJ16" s="100">
        <v>0.767518</v>
      </c>
      <c r="AK16" s="100">
        <v>0.766467</v>
      </c>
      <c r="AL16" s="100">
        <v>0.756854</v>
      </c>
      <c r="AM16" s="100">
        <v>0.517619</v>
      </c>
      <c r="AN16" s="100">
        <v>0.581614</v>
      </c>
      <c r="AO16" s="98">
        <v>1790.4863709246392</v>
      </c>
      <c r="AP16" s="158">
        <v>1.113987045</v>
      </c>
      <c r="AQ16" s="100">
        <v>0.09328358208955224</v>
      </c>
      <c r="AR16" s="100">
        <v>0.390625</v>
      </c>
      <c r="AS16" s="98">
        <v>467.66435061464455</v>
      </c>
      <c r="AT16" s="98">
        <v>227.15125601282736</v>
      </c>
      <c r="AU16" s="98" t="s">
        <v>537</v>
      </c>
      <c r="AV16" s="98">
        <v>247.19401389631213</v>
      </c>
      <c r="AW16" s="98">
        <v>454.3025120256547</v>
      </c>
      <c r="AX16" s="98">
        <v>380.81239978621056</v>
      </c>
      <c r="AY16" s="98">
        <v>995.4569748797435</v>
      </c>
      <c r="AZ16" s="98">
        <v>521.1117049706039</v>
      </c>
      <c r="BA16" s="100" t="s">
        <v>537</v>
      </c>
      <c r="BB16" s="100" t="s">
        <v>537</v>
      </c>
      <c r="BC16" s="100" t="s">
        <v>537</v>
      </c>
      <c r="BD16" s="158">
        <v>0.9845957946999999</v>
      </c>
      <c r="BE16" s="158">
        <v>1.255655518</v>
      </c>
      <c r="BF16" s="162">
        <v>1527</v>
      </c>
      <c r="BG16" s="162">
        <v>501</v>
      </c>
      <c r="BH16" s="162">
        <v>3903</v>
      </c>
      <c r="BI16" s="162">
        <v>1277</v>
      </c>
      <c r="BJ16" s="162">
        <v>533</v>
      </c>
      <c r="BK16" s="97"/>
      <c r="BL16" s="97"/>
      <c r="BM16" s="97"/>
      <c r="BN16" s="97"/>
    </row>
    <row r="17" spans="1:66" ht="12.75">
      <c r="A17" s="79" t="s">
        <v>515</v>
      </c>
      <c r="B17" s="79" t="s">
        <v>297</v>
      </c>
      <c r="C17" s="79" t="s">
        <v>175</v>
      </c>
      <c r="D17" s="99">
        <v>19125</v>
      </c>
      <c r="E17" s="99">
        <v>2244</v>
      </c>
      <c r="F17" s="99" t="s">
        <v>333</v>
      </c>
      <c r="G17" s="99">
        <v>64</v>
      </c>
      <c r="H17" s="99">
        <v>28</v>
      </c>
      <c r="I17" s="99">
        <v>158</v>
      </c>
      <c r="J17" s="99">
        <v>1202</v>
      </c>
      <c r="K17" s="99">
        <v>437</v>
      </c>
      <c r="L17" s="99">
        <v>3430</v>
      </c>
      <c r="M17" s="99">
        <v>733</v>
      </c>
      <c r="N17" s="99">
        <v>318</v>
      </c>
      <c r="O17" s="99">
        <v>207</v>
      </c>
      <c r="P17" s="159">
        <v>207</v>
      </c>
      <c r="Q17" s="99">
        <v>36</v>
      </c>
      <c r="R17" s="99">
        <v>80</v>
      </c>
      <c r="S17" s="99">
        <v>46</v>
      </c>
      <c r="T17" s="99">
        <v>32</v>
      </c>
      <c r="U17" s="99">
        <v>15</v>
      </c>
      <c r="V17" s="99">
        <v>22</v>
      </c>
      <c r="W17" s="99">
        <v>72</v>
      </c>
      <c r="X17" s="99">
        <v>74</v>
      </c>
      <c r="Y17" s="99">
        <v>133</v>
      </c>
      <c r="Z17" s="99">
        <v>86</v>
      </c>
      <c r="AA17" s="99" t="s">
        <v>537</v>
      </c>
      <c r="AB17" s="99" t="s">
        <v>537</v>
      </c>
      <c r="AC17" s="99" t="s">
        <v>537</v>
      </c>
      <c r="AD17" s="98" t="s">
        <v>313</v>
      </c>
      <c r="AE17" s="100">
        <v>0.11733333333333333</v>
      </c>
      <c r="AF17" s="100">
        <v>0.2</v>
      </c>
      <c r="AG17" s="98">
        <v>334.640522875817</v>
      </c>
      <c r="AH17" s="98">
        <v>146.40522875816993</v>
      </c>
      <c r="AI17" s="100">
        <v>0.008</v>
      </c>
      <c r="AJ17" s="100">
        <v>0.713777</v>
      </c>
      <c r="AK17" s="100">
        <v>0.752151</v>
      </c>
      <c r="AL17" s="100">
        <v>0.749072</v>
      </c>
      <c r="AM17" s="100">
        <v>0.520967</v>
      </c>
      <c r="AN17" s="100">
        <v>0.521311</v>
      </c>
      <c r="AO17" s="98">
        <v>1082.3529411764705</v>
      </c>
      <c r="AP17" s="158">
        <v>0.7053343964</v>
      </c>
      <c r="AQ17" s="100">
        <v>0.17391304347826086</v>
      </c>
      <c r="AR17" s="100">
        <v>0.45</v>
      </c>
      <c r="AS17" s="98">
        <v>240.52287581699346</v>
      </c>
      <c r="AT17" s="98">
        <v>167.3202614379085</v>
      </c>
      <c r="AU17" s="98">
        <v>78.43137254901961</v>
      </c>
      <c r="AV17" s="98">
        <v>115.0326797385621</v>
      </c>
      <c r="AW17" s="98">
        <v>376.47058823529414</v>
      </c>
      <c r="AX17" s="98">
        <v>386.9281045751634</v>
      </c>
      <c r="AY17" s="98">
        <v>695.4248366013072</v>
      </c>
      <c r="AZ17" s="98">
        <v>449.6732026143791</v>
      </c>
      <c r="BA17" s="100" t="s">
        <v>537</v>
      </c>
      <c r="BB17" s="100" t="s">
        <v>537</v>
      </c>
      <c r="BC17" s="100" t="s">
        <v>537</v>
      </c>
      <c r="BD17" s="158">
        <v>0.6125157547</v>
      </c>
      <c r="BE17" s="158">
        <v>0.8082447815</v>
      </c>
      <c r="BF17" s="162">
        <v>1684</v>
      </c>
      <c r="BG17" s="162">
        <v>581</v>
      </c>
      <c r="BH17" s="162">
        <v>4579</v>
      </c>
      <c r="BI17" s="162">
        <v>1407</v>
      </c>
      <c r="BJ17" s="162">
        <v>610</v>
      </c>
      <c r="BK17" s="97"/>
      <c r="BL17" s="97"/>
      <c r="BM17" s="97"/>
      <c r="BN17" s="97"/>
    </row>
    <row r="18" spans="1:66" ht="12.75">
      <c r="A18" s="79" t="s">
        <v>516</v>
      </c>
      <c r="B18" s="79" t="s">
        <v>298</v>
      </c>
      <c r="C18" s="79" t="s">
        <v>175</v>
      </c>
      <c r="D18" s="99">
        <v>10906</v>
      </c>
      <c r="E18" s="99">
        <v>1771</v>
      </c>
      <c r="F18" s="99" t="s">
        <v>333</v>
      </c>
      <c r="G18" s="99">
        <v>63</v>
      </c>
      <c r="H18" s="99">
        <v>22</v>
      </c>
      <c r="I18" s="99">
        <v>185</v>
      </c>
      <c r="J18" s="99">
        <v>894</v>
      </c>
      <c r="K18" s="99">
        <v>275</v>
      </c>
      <c r="L18" s="99">
        <v>1937</v>
      </c>
      <c r="M18" s="99">
        <v>560</v>
      </c>
      <c r="N18" s="99">
        <v>266</v>
      </c>
      <c r="O18" s="99">
        <v>280</v>
      </c>
      <c r="P18" s="159">
        <v>280</v>
      </c>
      <c r="Q18" s="99">
        <v>20</v>
      </c>
      <c r="R18" s="99">
        <v>47</v>
      </c>
      <c r="S18" s="99">
        <v>32</v>
      </c>
      <c r="T18" s="99">
        <v>34</v>
      </c>
      <c r="U18" s="99">
        <v>6</v>
      </c>
      <c r="V18" s="99">
        <v>51</v>
      </c>
      <c r="W18" s="99">
        <v>66</v>
      </c>
      <c r="X18" s="99">
        <v>59</v>
      </c>
      <c r="Y18" s="99">
        <v>153</v>
      </c>
      <c r="Z18" s="99">
        <v>60</v>
      </c>
      <c r="AA18" s="99" t="s">
        <v>537</v>
      </c>
      <c r="AB18" s="99" t="s">
        <v>537</v>
      </c>
      <c r="AC18" s="99" t="s">
        <v>537</v>
      </c>
      <c r="AD18" s="98" t="s">
        <v>313</v>
      </c>
      <c r="AE18" s="100">
        <v>0.16238767650834404</v>
      </c>
      <c r="AF18" s="100">
        <v>0.17</v>
      </c>
      <c r="AG18" s="98">
        <v>577.6636713735559</v>
      </c>
      <c r="AH18" s="98">
        <v>201.7238217494957</v>
      </c>
      <c r="AI18" s="100">
        <v>0.017</v>
      </c>
      <c r="AJ18" s="100">
        <v>0.728013</v>
      </c>
      <c r="AK18" s="100">
        <v>0.766017</v>
      </c>
      <c r="AL18" s="100">
        <v>0.723301</v>
      </c>
      <c r="AM18" s="100">
        <v>0.539499</v>
      </c>
      <c r="AN18" s="100">
        <v>0.5898</v>
      </c>
      <c r="AO18" s="98">
        <v>2567.3940949935813</v>
      </c>
      <c r="AP18" s="158">
        <v>1.402510529</v>
      </c>
      <c r="AQ18" s="100">
        <v>0.07142857142857142</v>
      </c>
      <c r="AR18" s="100">
        <v>0.425531914893617</v>
      </c>
      <c r="AS18" s="98">
        <v>293.41646799926644</v>
      </c>
      <c r="AT18" s="98">
        <v>311.7549972492206</v>
      </c>
      <c r="AU18" s="98">
        <v>55.01558774986246</v>
      </c>
      <c r="AV18" s="98">
        <v>467.6324958738309</v>
      </c>
      <c r="AW18" s="98">
        <v>605.171465248487</v>
      </c>
      <c r="AX18" s="98">
        <v>540.9866128736476</v>
      </c>
      <c r="AY18" s="98">
        <v>1402.8974876214927</v>
      </c>
      <c r="AZ18" s="98">
        <v>550.1558774986246</v>
      </c>
      <c r="BA18" s="100" t="s">
        <v>537</v>
      </c>
      <c r="BB18" s="100" t="s">
        <v>537</v>
      </c>
      <c r="BC18" s="100" t="s">
        <v>537</v>
      </c>
      <c r="BD18" s="158">
        <v>1.243028641</v>
      </c>
      <c r="BE18" s="158">
        <v>1.5767807010000001</v>
      </c>
      <c r="BF18" s="162">
        <v>1228</v>
      </c>
      <c r="BG18" s="162">
        <v>359</v>
      </c>
      <c r="BH18" s="162">
        <v>2678</v>
      </c>
      <c r="BI18" s="162">
        <v>1038</v>
      </c>
      <c r="BJ18" s="162">
        <v>451</v>
      </c>
      <c r="BK18" s="97"/>
      <c r="BL18" s="97"/>
      <c r="BM18" s="97"/>
      <c r="BN18" s="97"/>
    </row>
    <row r="19" spans="1:66" ht="12.75">
      <c r="A19" s="79" t="s">
        <v>529</v>
      </c>
      <c r="B19" s="79" t="s">
        <v>311</v>
      </c>
      <c r="C19" s="79" t="s">
        <v>175</v>
      </c>
      <c r="D19" s="99">
        <v>8870</v>
      </c>
      <c r="E19" s="99">
        <v>645</v>
      </c>
      <c r="F19" s="99" t="s">
        <v>333</v>
      </c>
      <c r="G19" s="99">
        <v>23</v>
      </c>
      <c r="H19" s="99">
        <v>11</v>
      </c>
      <c r="I19" s="99">
        <v>84</v>
      </c>
      <c r="J19" s="99">
        <v>530</v>
      </c>
      <c r="K19" s="99">
        <v>198</v>
      </c>
      <c r="L19" s="99">
        <v>1862</v>
      </c>
      <c r="M19" s="99">
        <v>255</v>
      </c>
      <c r="N19" s="99">
        <v>105</v>
      </c>
      <c r="O19" s="99">
        <v>169</v>
      </c>
      <c r="P19" s="159">
        <v>169</v>
      </c>
      <c r="Q19" s="99">
        <v>13</v>
      </c>
      <c r="R19" s="99">
        <v>32</v>
      </c>
      <c r="S19" s="99">
        <v>28</v>
      </c>
      <c r="T19" s="99">
        <v>23</v>
      </c>
      <c r="U19" s="99">
        <v>6</v>
      </c>
      <c r="V19" s="99">
        <v>41</v>
      </c>
      <c r="W19" s="99">
        <v>38</v>
      </c>
      <c r="X19" s="99">
        <v>27</v>
      </c>
      <c r="Y19" s="99">
        <v>81</v>
      </c>
      <c r="Z19" s="99">
        <v>33</v>
      </c>
      <c r="AA19" s="99" t="s">
        <v>537</v>
      </c>
      <c r="AB19" s="99" t="s">
        <v>537</v>
      </c>
      <c r="AC19" s="99" t="s">
        <v>537</v>
      </c>
      <c r="AD19" s="98" t="s">
        <v>313</v>
      </c>
      <c r="AE19" s="100">
        <v>0.07271702367531004</v>
      </c>
      <c r="AF19" s="100">
        <v>0.19</v>
      </c>
      <c r="AG19" s="98">
        <v>259.30101465614433</v>
      </c>
      <c r="AH19" s="98">
        <v>124.01352874859076</v>
      </c>
      <c r="AI19" s="100">
        <v>0.009000000000000001</v>
      </c>
      <c r="AJ19" s="100">
        <v>0.773723</v>
      </c>
      <c r="AK19" s="100">
        <v>0.821577</v>
      </c>
      <c r="AL19" s="100">
        <v>0.784992</v>
      </c>
      <c r="AM19" s="100">
        <v>0.532359</v>
      </c>
      <c r="AN19" s="100">
        <v>0.544041</v>
      </c>
      <c r="AO19" s="98">
        <v>1905.2987598647126</v>
      </c>
      <c r="AP19" s="158">
        <v>1.4580059810000001</v>
      </c>
      <c r="AQ19" s="100">
        <v>0.07692307692307693</v>
      </c>
      <c r="AR19" s="100">
        <v>0.40625</v>
      </c>
      <c r="AS19" s="98">
        <v>315.67080045095827</v>
      </c>
      <c r="AT19" s="98">
        <v>259.30101465614433</v>
      </c>
      <c r="AU19" s="98">
        <v>67.64374295377678</v>
      </c>
      <c r="AV19" s="98">
        <v>462.2322435174746</v>
      </c>
      <c r="AW19" s="98">
        <v>428.41037204058625</v>
      </c>
      <c r="AX19" s="98">
        <v>304.3968432919955</v>
      </c>
      <c r="AY19" s="98">
        <v>913.1905298759865</v>
      </c>
      <c r="AZ19" s="98">
        <v>372.04058624577226</v>
      </c>
      <c r="BA19" s="101" t="s">
        <v>537</v>
      </c>
      <c r="BB19" s="101" t="s">
        <v>537</v>
      </c>
      <c r="BC19" s="101" t="s">
        <v>537</v>
      </c>
      <c r="BD19" s="158">
        <v>1.246469421</v>
      </c>
      <c r="BE19" s="158">
        <v>1.695155182</v>
      </c>
      <c r="BF19" s="162">
        <v>685</v>
      </c>
      <c r="BG19" s="162">
        <v>241</v>
      </c>
      <c r="BH19" s="162">
        <v>2372</v>
      </c>
      <c r="BI19" s="162">
        <v>479</v>
      </c>
      <c r="BJ19" s="162">
        <v>193</v>
      </c>
      <c r="BK19" s="97"/>
      <c r="BL19" s="97"/>
      <c r="BM19" s="97"/>
      <c r="BN19" s="97"/>
    </row>
    <row r="20" spans="1:66" ht="12.75">
      <c r="A20" s="79" t="s">
        <v>520</v>
      </c>
      <c r="B20" s="79" t="s">
        <v>302</v>
      </c>
      <c r="C20" s="79" t="s">
        <v>175</v>
      </c>
      <c r="D20" s="99">
        <v>5334</v>
      </c>
      <c r="E20" s="99">
        <v>930</v>
      </c>
      <c r="F20" s="99" t="s">
        <v>337</v>
      </c>
      <c r="G20" s="99">
        <v>24</v>
      </c>
      <c r="H20" s="99">
        <v>10</v>
      </c>
      <c r="I20" s="99">
        <v>143</v>
      </c>
      <c r="J20" s="99">
        <v>589</v>
      </c>
      <c r="K20" s="99">
        <v>178</v>
      </c>
      <c r="L20" s="99">
        <v>1093</v>
      </c>
      <c r="M20" s="99">
        <v>403</v>
      </c>
      <c r="N20" s="99">
        <v>188</v>
      </c>
      <c r="O20" s="99">
        <v>92</v>
      </c>
      <c r="P20" s="159">
        <v>92</v>
      </c>
      <c r="Q20" s="99">
        <v>20</v>
      </c>
      <c r="R20" s="99">
        <v>38</v>
      </c>
      <c r="S20" s="99">
        <v>18</v>
      </c>
      <c r="T20" s="99">
        <v>8</v>
      </c>
      <c r="U20" s="99" t="s">
        <v>537</v>
      </c>
      <c r="V20" s="99">
        <v>19</v>
      </c>
      <c r="W20" s="99">
        <v>33</v>
      </c>
      <c r="X20" s="99">
        <v>20</v>
      </c>
      <c r="Y20" s="99">
        <v>56</v>
      </c>
      <c r="Z20" s="99">
        <v>40</v>
      </c>
      <c r="AA20" s="99" t="s">
        <v>537</v>
      </c>
      <c r="AB20" s="99" t="s">
        <v>537</v>
      </c>
      <c r="AC20" s="99" t="s">
        <v>537</v>
      </c>
      <c r="AD20" s="98" t="s">
        <v>313</v>
      </c>
      <c r="AE20" s="100">
        <v>0.17435320584926883</v>
      </c>
      <c r="AF20" s="100">
        <v>0.06</v>
      </c>
      <c r="AG20" s="98">
        <v>449.9437570303712</v>
      </c>
      <c r="AH20" s="98">
        <v>187.47656542932134</v>
      </c>
      <c r="AI20" s="100">
        <v>0.027000000000000003</v>
      </c>
      <c r="AJ20" s="100">
        <v>0.800272</v>
      </c>
      <c r="AK20" s="100">
        <v>0.859903</v>
      </c>
      <c r="AL20" s="100">
        <v>0.792029</v>
      </c>
      <c r="AM20" s="100">
        <v>0.614329</v>
      </c>
      <c r="AN20" s="100">
        <v>0.643836</v>
      </c>
      <c r="AO20" s="98">
        <v>1724.7844019497563</v>
      </c>
      <c r="AP20" s="158">
        <v>0.8608623505</v>
      </c>
      <c r="AQ20" s="100">
        <v>0.21739130434782608</v>
      </c>
      <c r="AR20" s="100">
        <v>0.5263157894736842</v>
      </c>
      <c r="AS20" s="98">
        <v>337.4578177727784</v>
      </c>
      <c r="AT20" s="98">
        <v>149.98125234345707</v>
      </c>
      <c r="AU20" s="98" t="s">
        <v>537</v>
      </c>
      <c r="AV20" s="98">
        <v>356.20547431571055</v>
      </c>
      <c r="AW20" s="98">
        <v>618.6726659167604</v>
      </c>
      <c r="AX20" s="98">
        <v>374.9531308586427</v>
      </c>
      <c r="AY20" s="98">
        <v>1049.8687664041995</v>
      </c>
      <c r="AZ20" s="98">
        <v>749.9062617172854</v>
      </c>
      <c r="BA20" s="100" t="s">
        <v>537</v>
      </c>
      <c r="BB20" s="100" t="s">
        <v>537</v>
      </c>
      <c r="BC20" s="100" t="s">
        <v>537</v>
      </c>
      <c r="BD20" s="158">
        <v>0.693976593</v>
      </c>
      <c r="BE20" s="158">
        <v>1.055771255</v>
      </c>
      <c r="BF20" s="162">
        <v>736</v>
      </c>
      <c r="BG20" s="162">
        <v>207</v>
      </c>
      <c r="BH20" s="162">
        <v>1380</v>
      </c>
      <c r="BI20" s="162">
        <v>656</v>
      </c>
      <c r="BJ20" s="162">
        <v>292</v>
      </c>
      <c r="BK20" s="97"/>
      <c r="BL20" s="97"/>
      <c r="BM20" s="97"/>
      <c r="BN20" s="97"/>
    </row>
    <row r="21" spans="1:66" ht="12.75">
      <c r="A21" s="79" t="s">
        <v>523</v>
      </c>
      <c r="B21" s="79" t="s">
        <v>305</v>
      </c>
      <c r="C21" s="79" t="s">
        <v>175</v>
      </c>
      <c r="D21" s="99">
        <v>5320</v>
      </c>
      <c r="E21" s="99">
        <v>304</v>
      </c>
      <c r="F21" s="99" t="s">
        <v>334</v>
      </c>
      <c r="G21" s="99">
        <v>11</v>
      </c>
      <c r="H21" s="99" t="s">
        <v>537</v>
      </c>
      <c r="I21" s="99">
        <v>26</v>
      </c>
      <c r="J21" s="99">
        <v>178</v>
      </c>
      <c r="K21" s="99">
        <v>61</v>
      </c>
      <c r="L21" s="99">
        <v>843</v>
      </c>
      <c r="M21" s="99">
        <v>57</v>
      </c>
      <c r="N21" s="99">
        <v>30</v>
      </c>
      <c r="O21" s="99">
        <v>37</v>
      </c>
      <c r="P21" s="159">
        <v>37</v>
      </c>
      <c r="Q21" s="99" t="s">
        <v>537</v>
      </c>
      <c r="R21" s="99" t="s">
        <v>537</v>
      </c>
      <c r="S21" s="99">
        <v>6</v>
      </c>
      <c r="T21" s="99" t="s">
        <v>537</v>
      </c>
      <c r="U21" s="99" t="s">
        <v>537</v>
      </c>
      <c r="V21" s="99" t="s">
        <v>537</v>
      </c>
      <c r="W21" s="99">
        <v>13</v>
      </c>
      <c r="X21" s="99">
        <v>14</v>
      </c>
      <c r="Y21" s="99">
        <v>44</v>
      </c>
      <c r="Z21" s="99">
        <v>16</v>
      </c>
      <c r="AA21" s="99" t="s">
        <v>537</v>
      </c>
      <c r="AB21" s="99" t="s">
        <v>537</v>
      </c>
      <c r="AC21" s="99" t="s">
        <v>537</v>
      </c>
      <c r="AD21" s="98" t="s">
        <v>313</v>
      </c>
      <c r="AE21" s="100">
        <v>0.05714285714285714</v>
      </c>
      <c r="AF21" s="100">
        <v>0.29</v>
      </c>
      <c r="AG21" s="98">
        <v>206.7669172932331</v>
      </c>
      <c r="AH21" s="98" t="s">
        <v>537</v>
      </c>
      <c r="AI21" s="100">
        <v>0.005</v>
      </c>
      <c r="AJ21" s="100">
        <v>0.626761</v>
      </c>
      <c r="AK21" s="100">
        <v>0.717647</v>
      </c>
      <c r="AL21" s="100">
        <v>0.769863</v>
      </c>
      <c r="AM21" s="100">
        <v>0.287879</v>
      </c>
      <c r="AN21" s="100">
        <v>0.309278</v>
      </c>
      <c r="AO21" s="98">
        <v>695.4887218045113</v>
      </c>
      <c r="AP21" s="158">
        <v>0.6618102264</v>
      </c>
      <c r="AQ21" s="100" t="s">
        <v>537</v>
      </c>
      <c r="AR21" s="100" t="s">
        <v>537</v>
      </c>
      <c r="AS21" s="98">
        <v>112.78195488721805</v>
      </c>
      <c r="AT21" s="98" t="s">
        <v>537</v>
      </c>
      <c r="AU21" s="98" t="s">
        <v>537</v>
      </c>
      <c r="AV21" s="98" t="s">
        <v>537</v>
      </c>
      <c r="AW21" s="98">
        <v>244.3609022556391</v>
      </c>
      <c r="AX21" s="98">
        <v>263.1578947368421</v>
      </c>
      <c r="AY21" s="98">
        <v>827.0676691729324</v>
      </c>
      <c r="AZ21" s="98">
        <v>300.7518796992481</v>
      </c>
      <c r="BA21" s="100" t="s">
        <v>537</v>
      </c>
      <c r="BB21" s="100" t="s">
        <v>537</v>
      </c>
      <c r="BC21" s="100" t="s">
        <v>537</v>
      </c>
      <c r="BD21" s="158">
        <v>0.46597545619999997</v>
      </c>
      <c r="BE21" s="158">
        <v>0.9122181702000001</v>
      </c>
      <c r="BF21" s="162">
        <v>284</v>
      </c>
      <c r="BG21" s="162">
        <v>85</v>
      </c>
      <c r="BH21" s="162">
        <v>1095</v>
      </c>
      <c r="BI21" s="162">
        <v>198</v>
      </c>
      <c r="BJ21" s="162">
        <v>97</v>
      </c>
      <c r="BK21" s="97"/>
      <c r="BL21" s="97"/>
      <c r="BM21" s="97"/>
      <c r="BN21" s="97"/>
    </row>
    <row r="22" spans="1:66" ht="12.75">
      <c r="A22" s="79" t="s">
        <v>526</v>
      </c>
      <c r="B22" s="79" t="s">
        <v>308</v>
      </c>
      <c r="C22" s="79" t="s">
        <v>175</v>
      </c>
      <c r="D22" s="99">
        <v>3756</v>
      </c>
      <c r="E22" s="99">
        <v>375</v>
      </c>
      <c r="F22" s="99" t="s">
        <v>337</v>
      </c>
      <c r="G22" s="99">
        <v>15</v>
      </c>
      <c r="H22" s="99" t="s">
        <v>537</v>
      </c>
      <c r="I22" s="99">
        <v>33</v>
      </c>
      <c r="J22" s="99">
        <v>308</v>
      </c>
      <c r="K22" s="99">
        <v>72</v>
      </c>
      <c r="L22" s="99">
        <v>841</v>
      </c>
      <c r="M22" s="99">
        <v>183</v>
      </c>
      <c r="N22" s="99">
        <v>85</v>
      </c>
      <c r="O22" s="99">
        <v>33</v>
      </c>
      <c r="P22" s="159">
        <v>33</v>
      </c>
      <c r="Q22" s="99" t="s">
        <v>537</v>
      </c>
      <c r="R22" s="99">
        <v>9</v>
      </c>
      <c r="S22" s="99" t="s">
        <v>537</v>
      </c>
      <c r="T22" s="99" t="s">
        <v>537</v>
      </c>
      <c r="U22" s="99" t="s">
        <v>537</v>
      </c>
      <c r="V22" s="99">
        <v>13</v>
      </c>
      <c r="W22" s="99">
        <v>15</v>
      </c>
      <c r="X22" s="99">
        <v>17</v>
      </c>
      <c r="Y22" s="99">
        <v>33</v>
      </c>
      <c r="Z22" s="99">
        <v>22</v>
      </c>
      <c r="AA22" s="99" t="s">
        <v>537</v>
      </c>
      <c r="AB22" s="99" t="s">
        <v>537</v>
      </c>
      <c r="AC22" s="99" t="s">
        <v>537</v>
      </c>
      <c r="AD22" s="98" t="s">
        <v>313</v>
      </c>
      <c r="AE22" s="100">
        <v>0.09984025559105432</v>
      </c>
      <c r="AF22" s="100">
        <v>0.08</v>
      </c>
      <c r="AG22" s="98">
        <v>399.36102236421726</v>
      </c>
      <c r="AH22" s="98" t="s">
        <v>537</v>
      </c>
      <c r="AI22" s="100">
        <v>0.009000000000000001</v>
      </c>
      <c r="AJ22" s="100">
        <v>0.75122</v>
      </c>
      <c r="AK22" s="100">
        <v>0.878049</v>
      </c>
      <c r="AL22" s="100">
        <v>0.832673</v>
      </c>
      <c r="AM22" s="100">
        <v>0.601974</v>
      </c>
      <c r="AN22" s="100">
        <v>0.653846</v>
      </c>
      <c r="AO22" s="98">
        <v>878.594249201278</v>
      </c>
      <c r="AP22" s="158">
        <v>0.5438628769</v>
      </c>
      <c r="AQ22" s="100" t="s">
        <v>537</v>
      </c>
      <c r="AR22" s="100" t="s">
        <v>537</v>
      </c>
      <c r="AS22" s="98" t="s">
        <v>537</v>
      </c>
      <c r="AT22" s="98" t="s">
        <v>537</v>
      </c>
      <c r="AU22" s="98" t="s">
        <v>537</v>
      </c>
      <c r="AV22" s="98">
        <v>346.1128860489883</v>
      </c>
      <c r="AW22" s="98">
        <v>399.36102236421726</v>
      </c>
      <c r="AX22" s="98">
        <v>452.60915867944624</v>
      </c>
      <c r="AY22" s="98">
        <v>878.594249201278</v>
      </c>
      <c r="AZ22" s="98">
        <v>585.7294994675186</v>
      </c>
      <c r="BA22" s="100" t="s">
        <v>537</v>
      </c>
      <c r="BB22" s="100" t="s">
        <v>537</v>
      </c>
      <c r="BC22" s="100" t="s">
        <v>537</v>
      </c>
      <c r="BD22" s="158">
        <v>0.37437015529999995</v>
      </c>
      <c r="BE22" s="158">
        <v>0.7637857056</v>
      </c>
      <c r="BF22" s="162">
        <v>410</v>
      </c>
      <c r="BG22" s="162">
        <v>82</v>
      </c>
      <c r="BH22" s="162">
        <v>1010</v>
      </c>
      <c r="BI22" s="162">
        <v>304</v>
      </c>
      <c r="BJ22" s="162">
        <v>130</v>
      </c>
      <c r="BK22" s="97"/>
      <c r="BL22" s="97"/>
      <c r="BM22" s="97"/>
      <c r="BN22" s="97"/>
    </row>
    <row r="23" spans="1:66" ht="12.75">
      <c r="A23" s="79" t="s">
        <v>514</v>
      </c>
      <c r="B23" s="79" t="s">
        <v>495</v>
      </c>
      <c r="C23" s="79" t="s">
        <v>175</v>
      </c>
      <c r="D23" s="99">
        <v>15738</v>
      </c>
      <c r="E23" s="99">
        <v>2282</v>
      </c>
      <c r="F23" s="99" t="s">
        <v>334</v>
      </c>
      <c r="G23" s="99">
        <v>59</v>
      </c>
      <c r="H23" s="99">
        <v>29</v>
      </c>
      <c r="I23" s="99">
        <v>192</v>
      </c>
      <c r="J23" s="99">
        <v>1061</v>
      </c>
      <c r="K23" s="99">
        <v>369</v>
      </c>
      <c r="L23" s="99">
        <v>2450</v>
      </c>
      <c r="M23" s="99">
        <v>627</v>
      </c>
      <c r="N23" s="99">
        <v>302</v>
      </c>
      <c r="O23" s="99">
        <v>239</v>
      </c>
      <c r="P23" s="159">
        <v>239</v>
      </c>
      <c r="Q23" s="99">
        <v>37</v>
      </c>
      <c r="R23" s="99">
        <v>63</v>
      </c>
      <c r="S23" s="99">
        <v>35</v>
      </c>
      <c r="T23" s="99">
        <v>32</v>
      </c>
      <c r="U23" s="99">
        <v>11</v>
      </c>
      <c r="V23" s="99">
        <v>45</v>
      </c>
      <c r="W23" s="99">
        <v>55</v>
      </c>
      <c r="X23" s="99">
        <v>53</v>
      </c>
      <c r="Y23" s="99">
        <v>149</v>
      </c>
      <c r="Z23" s="99">
        <v>87</v>
      </c>
      <c r="AA23" s="99" t="s">
        <v>537</v>
      </c>
      <c r="AB23" s="99" t="s">
        <v>537</v>
      </c>
      <c r="AC23" s="99" t="s">
        <v>537</v>
      </c>
      <c r="AD23" s="98" t="s">
        <v>313</v>
      </c>
      <c r="AE23" s="100">
        <v>0.14499936459524718</v>
      </c>
      <c r="AF23" s="100">
        <v>0.25</v>
      </c>
      <c r="AG23" s="98">
        <v>374.8888041682552</v>
      </c>
      <c r="AH23" s="98">
        <v>184.26737831998983</v>
      </c>
      <c r="AI23" s="100">
        <v>0.012</v>
      </c>
      <c r="AJ23" s="100">
        <v>0.723245</v>
      </c>
      <c r="AK23" s="100">
        <v>0.770355</v>
      </c>
      <c r="AL23" s="100">
        <v>0.687237</v>
      </c>
      <c r="AM23" s="100">
        <v>0.452708</v>
      </c>
      <c r="AN23" s="100">
        <v>0.49835</v>
      </c>
      <c r="AO23" s="98">
        <v>1518.6173592578473</v>
      </c>
      <c r="AP23" s="158">
        <v>0.915954895</v>
      </c>
      <c r="AQ23" s="100">
        <v>0.15481171548117154</v>
      </c>
      <c r="AR23" s="100">
        <v>0.5873015873015873</v>
      </c>
      <c r="AS23" s="98">
        <v>222.3916634896429</v>
      </c>
      <c r="AT23" s="98">
        <v>203.32952090481638</v>
      </c>
      <c r="AU23" s="98">
        <v>69.89452281103063</v>
      </c>
      <c r="AV23" s="98">
        <v>285.932138772398</v>
      </c>
      <c r="AW23" s="98">
        <v>349.47261405515314</v>
      </c>
      <c r="AX23" s="98">
        <v>336.7645189986021</v>
      </c>
      <c r="AY23" s="98">
        <v>946.7530817130512</v>
      </c>
      <c r="AZ23" s="98">
        <v>552.8021349599695</v>
      </c>
      <c r="BA23" s="100" t="s">
        <v>537</v>
      </c>
      <c r="BB23" s="100" t="s">
        <v>537</v>
      </c>
      <c r="BC23" s="100" t="s">
        <v>537</v>
      </c>
      <c r="BD23" s="158">
        <v>0.8035019684</v>
      </c>
      <c r="BE23" s="158">
        <v>1.0397406770000002</v>
      </c>
      <c r="BF23" s="162">
        <v>1467</v>
      </c>
      <c r="BG23" s="162">
        <v>479</v>
      </c>
      <c r="BH23" s="162">
        <v>3565</v>
      </c>
      <c r="BI23" s="162">
        <v>1385</v>
      </c>
      <c r="BJ23" s="162">
        <v>606</v>
      </c>
      <c r="BK23" s="97"/>
      <c r="BL23" s="97"/>
      <c r="BM23" s="97"/>
      <c r="BN23" s="97"/>
    </row>
    <row r="24" spans="1:66" ht="12.75">
      <c r="A24" s="79" t="s">
        <v>512</v>
      </c>
      <c r="B24" s="79" t="s">
        <v>295</v>
      </c>
      <c r="C24" s="79" t="s">
        <v>175</v>
      </c>
      <c r="D24" s="99">
        <v>10556</v>
      </c>
      <c r="E24" s="99">
        <v>2070</v>
      </c>
      <c r="F24" s="99" t="s">
        <v>335</v>
      </c>
      <c r="G24" s="99">
        <v>55</v>
      </c>
      <c r="H24" s="99">
        <v>18</v>
      </c>
      <c r="I24" s="99">
        <v>136</v>
      </c>
      <c r="J24" s="99">
        <v>1208</v>
      </c>
      <c r="K24" s="99">
        <v>400</v>
      </c>
      <c r="L24" s="99">
        <v>2091</v>
      </c>
      <c r="M24" s="99">
        <v>794</v>
      </c>
      <c r="N24" s="99">
        <v>367</v>
      </c>
      <c r="O24" s="99">
        <v>191</v>
      </c>
      <c r="P24" s="159">
        <v>191</v>
      </c>
      <c r="Q24" s="99">
        <v>14</v>
      </c>
      <c r="R24" s="99">
        <v>45</v>
      </c>
      <c r="S24" s="99">
        <v>38</v>
      </c>
      <c r="T24" s="99">
        <v>19</v>
      </c>
      <c r="U24" s="99">
        <v>6</v>
      </c>
      <c r="V24" s="99">
        <v>42</v>
      </c>
      <c r="W24" s="99">
        <v>52</v>
      </c>
      <c r="X24" s="99">
        <v>52</v>
      </c>
      <c r="Y24" s="99">
        <v>122</v>
      </c>
      <c r="Z24" s="99">
        <v>63</v>
      </c>
      <c r="AA24" s="99" t="s">
        <v>537</v>
      </c>
      <c r="AB24" s="99" t="s">
        <v>537</v>
      </c>
      <c r="AC24" s="99" t="s">
        <v>537</v>
      </c>
      <c r="AD24" s="98" t="s">
        <v>313</v>
      </c>
      <c r="AE24" s="100">
        <v>0.19609700644183403</v>
      </c>
      <c r="AF24" s="100">
        <v>0.1</v>
      </c>
      <c r="AG24" s="98">
        <v>521.0306934444866</v>
      </c>
      <c r="AH24" s="98">
        <v>170.5191360363774</v>
      </c>
      <c r="AI24" s="100">
        <v>0.013000000000000001</v>
      </c>
      <c r="AJ24" s="100">
        <v>0.841226</v>
      </c>
      <c r="AK24" s="100">
        <v>0.813008</v>
      </c>
      <c r="AL24" s="100">
        <v>0.811724</v>
      </c>
      <c r="AM24" s="100">
        <v>0.588148</v>
      </c>
      <c r="AN24" s="100">
        <v>0.608624</v>
      </c>
      <c r="AO24" s="98">
        <v>1809.3974990526715</v>
      </c>
      <c r="AP24" s="158">
        <v>0.8842356873</v>
      </c>
      <c r="AQ24" s="100">
        <v>0.07329842931937172</v>
      </c>
      <c r="AR24" s="100">
        <v>0.3111111111111111</v>
      </c>
      <c r="AS24" s="98">
        <v>359.98484274346345</v>
      </c>
      <c r="AT24" s="98">
        <v>179.99242137173172</v>
      </c>
      <c r="AU24" s="98">
        <v>56.83971201212581</v>
      </c>
      <c r="AV24" s="98">
        <v>397.8779840848806</v>
      </c>
      <c r="AW24" s="98">
        <v>492.61083743842363</v>
      </c>
      <c r="AX24" s="98">
        <v>492.61083743842363</v>
      </c>
      <c r="AY24" s="98">
        <v>1155.7408109132248</v>
      </c>
      <c r="AZ24" s="98">
        <v>596.8169761273209</v>
      </c>
      <c r="BA24" s="100" t="s">
        <v>537</v>
      </c>
      <c r="BB24" s="100" t="s">
        <v>537</v>
      </c>
      <c r="BC24" s="100" t="s">
        <v>537</v>
      </c>
      <c r="BD24" s="158">
        <v>0.7632759093999999</v>
      </c>
      <c r="BE24" s="158">
        <v>1.018919449</v>
      </c>
      <c r="BF24" s="162">
        <v>1436</v>
      </c>
      <c r="BG24" s="162">
        <v>492</v>
      </c>
      <c r="BH24" s="162">
        <v>2576</v>
      </c>
      <c r="BI24" s="162">
        <v>1350</v>
      </c>
      <c r="BJ24" s="162">
        <v>603</v>
      </c>
      <c r="BK24" s="97"/>
      <c r="BL24" s="97"/>
      <c r="BM24" s="97"/>
      <c r="BN24" s="97"/>
    </row>
    <row r="25" spans="1:66" ht="12.75">
      <c r="A25" s="79" t="s">
        <v>511</v>
      </c>
      <c r="B25" s="79" t="s">
        <v>294</v>
      </c>
      <c r="C25" s="79" t="s">
        <v>175</v>
      </c>
      <c r="D25" s="99">
        <v>10792</v>
      </c>
      <c r="E25" s="99">
        <v>2341</v>
      </c>
      <c r="F25" s="99" t="s">
        <v>335</v>
      </c>
      <c r="G25" s="99">
        <v>65</v>
      </c>
      <c r="H25" s="99">
        <v>38</v>
      </c>
      <c r="I25" s="99">
        <v>219</v>
      </c>
      <c r="J25" s="99">
        <v>1010</v>
      </c>
      <c r="K25" s="99">
        <v>284</v>
      </c>
      <c r="L25" s="99">
        <v>2207</v>
      </c>
      <c r="M25" s="99">
        <v>724</v>
      </c>
      <c r="N25" s="99">
        <v>317</v>
      </c>
      <c r="O25" s="99">
        <v>215</v>
      </c>
      <c r="P25" s="159">
        <v>215</v>
      </c>
      <c r="Q25" s="99">
        <v>22</v>
      </c>
      <c r="R25" s="99">
        <v>52</v>
      </c>
      <c r="S25" s="99">
        <v>39</v>
      </c>
      <c r="T25" s="99">
        <v>27</v>
      </c>
      <c r="U25" s="99" t="s">
        <v>537</v>
      </c>
      <c r="V25" s="99">
        <v>45</v>
      </c>
      <c r="W25" s="99">
        <v>68</v>
      </c>
      <c r="X25" s="99">
        <v>54</v>
      </c>
      <c r="Y25" s="99">
        <v>102</v>
      </c>
      <c r="Z25" s="99">
        <v>92</v>
      </c>
      <c r="AA25" s="99" t="s">
        <v>537</v>
      </c>
      <c r="AB25" s="99" t="s">
        <v>537</v>
      </c>
      <c r="AC25" s="99" t="s">
        <v>537</v>
      </c>
      <c r="AD25" s="98" t="s">
        <v>313</v>
      </c>
      <c r="AE25" s="100">
        <v>0.21691994069681245</v>
      </c>
      <c r="AF25" s="100">
        <v>0.09</v>
      </c>
      <c r="AG25" s="98">
        <v>602.2979985174203</v>
      </c>
      <c r="AH25" s="98">
        <v>352.11267605633805</v>
      </c>
      <c r="AI25" s="100">
        <v>0.02</v>
      </c>
      <c r="AJ25" s="100">
        <v>0.817152</v>
      </c>
      <c r="AK25" s="100">
        <v>0.893082</v>
      </c>
      <c r="AL25" s="100">
        <v>0.867191</v>
      </c>
      <c r="AM25" s="100">
        <v>0.644128</v>
      </c>
      <c r="AN25" s="100">
        <v>0.67735</v>
      </c>
      <c r="AO25" s="98">
        <v>1992.216456634544</v>
      </c>
      <c r="AP25" s="158">
        <v>0.9672531128</v>
      </c>
      <c r="AQ25" s="100">
        <v>0.10232558139534884</v>
      </c>
      <c r="AR25" s="100">
        <v>0.4230769230769231</v>
      </c>
      <c r="AS25" s="98">
        <v>361.3787991104522</v>
      </c>
      <c r="AT25" s="98">
        <v>250.18532246108228</v>
      </c>
      <c r="AU25" s="98" t="s">
        <v>537</v>
      </c>
      <c r="AV25" s="98">
        <v>416.97553743513714</v>
      </c>
      <c r="AW25" s="98">
        <v>630.0963676797628</v>
      </c>
      <c r="AX25" s="98">
        <v>500.37064492216456</v>
      </c>
      <c r="AY25" s="98">
        <v>945.1445515196442</v>
      </c>
      <c r="AZ25" s="98">
        <v>852.4833209785025</v>
      </c>
      <c r="BA25" s="100" t="s">
        <v>537</v>
      </c>
      <c r="BB25" s="100" t="s">
        <v>537</v>
      </c>
      <c r="BC25" s="100" t="s">
        <v>537</v>
      </c>
      <c r="BD25" s="158">
        <v>0.8422742461999999</v>
      </c>
      <c r="BE25" s="158">
        <v>1.1055506130000001</v>
      </c>
      <c r="BF25" s="162">
        <v>1236</v>
      </c>
      <c r="BG25" s="162">
        <v>318</v>
      </c>
      <c r="BH25" s="162">
        <v>2545</v>
      </c>
      <c r="BI25" s="162">
        <v>1124</v>
      </c>
      <c r="BJ25" s="162">
        <v>468</v>
      </c>
      <c r="BK25" s="97"/>
      <c r="BL25" s="97"/>
      <c r="BM25" s="97"/>
      <c r="BN25" s="97"/>
    </row>
    <row r="26" spans="1:66" ht="12.75">
      <c r="A26" s="79" t="s">
        <v>506</v>
      </c>
      <c r="B26" s="79" t="s">
        <v>289</v>
      </c>
      <c r="C26" s="79" t="s">
        <v>175</v>
      </c>
      <c r="D26" s="99">
        <v>5900</v>
      </c>
      <c r="E26" s="99">
        <v>1363</v>
      </c>
      <c r="F26" s="99" t="s">
        <v>337</v>
      </c>
      <c r="G26" s="99">
        <v>33</v>
      </c>
      <c r="H26" s="99">
        <v>9</v>
      </c>
      <c r="I26" s="99">
        <v>150</v>
      </c>
      <c r="J26" s="99">
        <v>666</v>
      </c>
      <c r="K26" s="99">
        <v>214</v>
      </c>
      <c r="L26" s="99">
        <v>1117</v>
      </c>
      <c r="M26" s="99">
        <v>539</v>
      </c>
      <c r="N26" s="99">
        <v>227</v>
      </c>
      <c r="O26" s="99">
        <v>80</v>
      </c>
      <c r="P26" s="159">
        <v>80</v>
      </c>
      <c r="Q26" s="99">
        <v>14</v>
      </c>
      <c r="R26" s="99">
        <v>30</v>
      </c>
      <c r="S26" s="99">
        <v>10</v>
      </c>
      <c r="T26" s="99">
        <v>14</v>
      </c>
      <c r="U26" s="99" t="s">
        <v>537</v>
      </c>
      <c r="V26" s="99">
        <v>7</v>
      </c>
      <c r="W26" s="99">
        <v>32</v>
      </c>
      <c r="X26" s="99">
        <v>12</v>
      </c>
      <c r="Y26" s="99">
        <v>32</v>
      </c>
      <c r="Z26" s="99">
        <v>26</v>
      </c>
      <c r="AA26" s="99" t="s">
        <v>537</v>
      </c>
      <c r="AB26" s="99" t="s">
        <v>537</v>
      </c>
      <c r="AC26" s="99" t="s">
        <v>537</v>
      </c>
      <c r="AD26" s="98" t="s">
        <v>313</v>
      </c>
      <c r="AE26" s="100">
        <v>0.23101694915254237</v>
      </c>
      <c r="AF26" s="100">
        <v>0.05</v>
      </c>
      <c r="AG26" s="98">
        <v>559.3220338983051</v>
      </c>
      <c r="AH26" s="98">
        <v>152.54237288135593</v>
      </c>
      <c r="AI26" s="100">
        <v>0.025</v>
      </c>
      <c r="AJ26" s="100">
        <v>0.819188</v>
      </c>
      <c r="AK26" s="100">
        <v>0.835938</v>
      </c>
      <c r="AL26" s="100">
        <v>0.812364</v>
      </c>
      <c r="AM26" s="100">
        <v>0.691913</v>
      </c>
      <c r="AN26" s="100">
        <v>0.707165</v>
      </c>
      <c r="AO26" s="98">
        <v>1355.9322033898304</v>
      </c>
      <c r="AP26" s="158">
        <v>0.6159476852</v>
      </c>
      <c r="AQ26" s="100">
        <v>0.175</v>
      </c>
      <c r="AR26" s="100">
        <v>0.4666666666666667</v>
      </c>
      <c r="AS26" s="98">
        <v>169.4915254237288</v>
      </c>
      <c r="AT26" s="98">
        <v>237.28813559322035</v>
      </c>
      <c r="AU26" s="98" t="s">
        <v>537</v>
      </c>
      <c r="AV26" s="98">
        <v>118.64406779661017</v>
      </c>
      <c r="AW26" s="98">
        <v>542.3728813559322</v>
      </c>
      <c r="AX26" s="98">
        <v>203.38983050847457</v>
      </c>
      <c r="AY26" s="98">
        <v>542.3728813559322</v>
      </c>
      <c r="AZ26" s="98">
        <v>440.6779661016949</v>
      </c>
      <c r="BA26" s="100" t="s">
        <v>537</v>
      </c>
      <c r="BB26" s="100" t="s">
        <v>537</v>
      </c>
      <c r="BC26" s="100" t="s">
        <v>537</v>
      </c>
      <c r="BD26" s="158">
        <v>0.4884082031</v>
      </c>
      <c r="BE26" s="158">
        <v>0.7666002654999999</v>
      </c>
      <c r="BF26" s="162">
        <v>813</v>
      </c>
      <c r="BG26" s="162">
        <v>256</v>
      </c>
      <c r="BH26" s="162">
        <v>1375</v>
      </c>
      <c r="BI26" s="162">
        <v>779</v>
      </c>
      <c r="BJ26" s="162">
        <v>321</v>
      </c>
      <c r="BK26" s="97"/>
      <c r="BL26" s="97"/>
      <c r="BM26" s="97"/>
      <c r="BN26" s="97"/>
    </row>
    <row r="27" spans="1:66" ht="12.75">
      <c r="A27" s="79" t="s">
        <v>522</v>
      </c>
      <c r="B27" s="79" t="s">
        <v>304</v>
      </c>
      <c r="C27" s="79" t="s">
        <v>175</v>
      </c>
      <c r="D27" s="99">
        <v>3882</v>
      </c>
      <c r="E27" s="99">
        <v>337</v>
      </c>
      <c r="F27" s="99" t="s">
        <v>334</v>
      </c>
      <c r="G27" s="99" t="s">
        <v>537</v>
      </c>
      <c r="H27" s="99">
        <v>6</v>
      </c>
      <c r="I27" s="99">
        <v>16</v>
      </c>
      <c r="J27" s="99">
        <v>163</v>
      </c>
      <c r="K27" s="99">
        <v>52</v>
      </c>
      <c r="L27" s="99">
        <v>727</v>
      </c>
      <c r="M27" s="99">
        <v>53</v>
      </c>
      <c r="N27" s="99">
        <v>30</v>
      </c>
      <c r="O27" s="99">
        <v>24</v>
      </c>
      <c r="P27" s="159">
        <v>24</v>
      </c>
      <c r="Q27" s="99" t="s">
        <v>537</v>
      </c>
      <c r="R27" s="99">
        <v>8</v>
      </c>
      <c r="S27" s="99" t="s">
        <v>537</v>
      </c>
      <c r="T27" s="99" t="s">
        <v>537</v>
      </c>
      <c r="U27" s="99" t="s">
        <v>537</v>
      </c>
      <c r="V27" s="99" t="s">
        <v>537</v>
      </c>
      <c r="W27" s="99">
        <v>11</v>
      </c>
      <c r="X27" s="99">
        <v>13</v>
      </c>
      <c r="Y27" s="99">
        <v>41</v>
      </c>
      <c r="Z27" s="99">
        <v>14</v>
      </c>
      <c r="AA27" s="99" t="s">
        <v>537</v>
      </c>
      <c r="AB27" s="99" t="s">
        <v>537</v>
      </c>
      <c r="AC27" s="99" t="s">
        <v>537</v>
      </c>
      <c r="AD27" s="98" t="s">
        <v>313</v>
      </c>
      <c r="AE27" s="100">
        <v>0.08681092220504895</v>
      </c>
      <c r="AF27" s="100">
        <v>0.29</v>
      </c>
      <c r="AG27" s="98" t="s">
        <v>537</v>
      </c>
      <c r="AH27" s="98">
        <v>154.5595054095827</v>
      </c>
      <c r="AI27" s="100">
        <v>0.004</v>
      </c>
      <c r="AJ27" s="100">
        <v>0.646825</v>
      </c>
      <c r="AK27" s="100">
        <v>0.764706</v>
      </c>
      <c r="AL27" s="100">
        <v>0.879081</v>
      </c>
      <c r="AM27" s="100">
        <v>0.283422</v>
      </c>
      <c r="AN27" s="100">
        <v>0.337079</v>
      </c>
      <c r="AO27" s="98">
        <v>618.2380216383308</v>
      </c>
      <c r="AP27" s="158">
        <v>0.5054441833</v>
      </c>
      <c r="AQ27" s="100" t="s">
        <v>537</v>
      </c>
      <c r="AR27" s="100" t="s">
        <v>537</v>
      </c>
      <c r="AS27" s="98" t="s">
        <v>537</v>
      </c>
      <c r="AT27" s="98" t="s">
        <v>537</v>
      </c>
      <c r="AU27" s="98" t="s">
        <v>537</v>
      </c>
      <c r="AV27" s="98" t="s">
        <v>537</v>
      </c>
      <c r="AW27" s="98">
        <v>283.3590932509016</v>
      </c>
      <c r="AX27" s="98">
        <v>334.87892838742914</v>
      </c>
      <c r="AY27" s="98">
        <v>1056.1566202988151</v>
      </c>
      <c r="AZ27" s="98">
        <v>360.63884595569294</v>
      </c>
      <c r="BA27" s="100" t="s">
        <v>537</v>
      </c>
      <c r="BB27" s="100" t="s">
        <v>537</v>
      </c>
      <c r="BC27" s="100" t="s">
        <v>537</v>
      </c>
      <c r="BD27" s="158">
        <v>0.3238476181</v>
      </c>
      <c r="BE27" s="158">
        <v>0.7520608521</v>
      </c>
      <c r="BF27" s="162">
        <v>252</v>
      </c>
      <c r="BG27" s="162">
        <v>68</v>
      </c>
      <c r="BH27" s="162">
        <v>827</v>
      </c>
      <c r="BI27" s="162">
        <v>187</v>
      </c>
      <c r="BJ27" s="162">
        <v>89</v>
      </c>
      <c r="BK27" s="97"/>
      <c r="BL27" s="97"/>
      <c r="BM27" s="97"/>
      <c r="BN27" s="97"/>
    </row>
    <row r="28" spans="1:66" ht="12.75">
      <c r="A28" s="79" t="s">
        <v>518</v>
      </c>
      <c r="B28" s="79" t="s">
        <v>300</v>
      </c>
      <c r="C28" s="79" t="s">
        <v>175</v>
      </c>
      <c r="D28" s="99">
        <v>6584</v>
      </c>
      <c r="E28" s="99">
        <v>1137</v>
      </c>
      <c r="F28" s="99" t="s">
        <v>333</v>
      </c>
      <c r="G28" s="99">
        <v>33</v>
      </c>
      <c r="H28" s="99">
        <v>14</v>
      </c>
      <c r="I28" s="99">
        <v>50</v>
      </c>
      <c r="J28" s="99">
        <v>530</v>
      </c>
      <c r="K28" s="99">
        <v>197</v>
      </c>
      <c r="L28" s="99">
        <v>1208</v>
      </c>
      <c r="M28" s="99">
        <v>305</v>
      </c>
      <c r="N28" s="99">
        <v>150</v>
      </c>
      <c r="O28" s="99">
        <v>90</v>
      </c>
      <c r="P28" s="159">
        <v>90</v>
      </c>
      <c r="Q28" s="99">
        <v>11</v>
      </c>
      <c r="R28" s="99">
        <v>31</v>
      </c>
      <c r="S28" s="99">
        <v>23</v>
      </c>
      <c r="T28" s="99">
        <v>17</v>
      </c>
      <c r="U28" s="99" t="s">
        <v>537</v>
      </c>
      <c r="V28" s="99">
        <v>7</v>
      </c>
      <c r="W28" s="99">
        <v>33</v>
      </c>
      <c r="X28" s="99">
        <v>30</v>
      </c>
      <c r="Y28" s="99">
        <v>69</v>
      </c>
      <c r="Z28" s="99">
        <v>49</v>
      </c>
      <c r="AA28" s="99" t="s">
        <v>537</v>
      </c>
      <c r="AB28" s="99" t="s">
        <v>537</v>
      </c>
      <c r="AC28" s="99" t="s">
        <v>537</v>
      </c>
      <c r="AD28" s="98" t="s">
        <v>313</v>
      </c>
      <c r="AE28" s="100">
        <v>0.1726913730255164</v>
      </c>
      <c r="AF28" s="100">
        <v>0.22</v>
      </c>
      <c r="AG28" s="98">
        <v>501.21506682867556</v>
      </c>
      <c r="AH28" s="98">
        <v>212.636695018226</v>
      </c>
      <c r="AI28" s="100">
        <v>0.008</v>
      </c>
      <c r="AJ28" s="100">
        <v>0.744382</v>
      </c>
      <c r="AK28" s="100">
        <v>0.743396</v>
      </c>
      <c r="AL28" s="100">
        <v>0.773367</v>
      </c>
      <c r="AM28" s="100">
        <v>0.455904</v>
      </c>
      <c r="AN28" s="100">
        <v>0.5</v>
      </c>
      <c r="AO28" s="98">
        <v>1366.9501822600243</v>
      </c>
      <c r="AP28" s="158">
        <v>0.7557711792</v>
      </c>
      <c r="AQ28" s="100">
        <v>0.12222222222222222</v>
      </c>
      <c r="AR28" s="100">
        <v>0.3548387096774194</v>
      </c>
      <c r="AS28" s="98">
        <v>349.3317132442284</v>
      </c>
      <c r="AT28" s="98">
        <v>258.20170109356013</v>
      </c>
      <c r="AU28" s="98" t="s">
        <v>537</v>
      </c>
      <c r="AV28" s="98">
        <v>106.318347509113</v>
      </c>
      <c r="AW28" s="98">
        <v>501.21506682867556</v>
      </c>
      <c r="AX28" s="98">
        <v>455.65006075334145</v>
      </c>
      <c r="AY28" s="98">
        <v>1047.9951397326854</v>
      </c>
      <c r="AZ28" s="98">
        <v>744.228432563791</v>
      </c>
      <c r="BA28" s="100" t="s">
        <v>537</v>
      </c>
      <c r="BB28" s="100" t="s">
        <v>537</v>
      </c>
      <c r="BC28" s="100" t="s">
        <v>537</v>
      </c>
      <c r="BD28" s="158">
        <v>0.6077292633</v>
      </c>
      <c r="BE28" s="158">
        <v>0.9289710999</v>
      </c>
      <c r="BF28" s="162">
        <v>712</v>
      </c>
      <c r="BG28" s="162">
        <v>265</v>
      </c>
      <c r="BH28" s="162">
        <v>1562</v>
      </c>
      <c r="BI28" s="162">
        <v>669</v>
      </c>
      <c r="BJ28" s="162">
        <v>300</v>
      </c>
      <c r="BK28" s="97"/>
      <c r="BL28" s="97"/>
      <c r="BM28" s="97"/>
      <c r="BN28" s="97"/>
    </row>
    <row r="29" spans="1:66" ht="12.75">
      <c r="A29" s="79" t="s">
        <v>509</v>
      </c>
      <c r="B29" s="79" t="s">
        <v>292</v>
      </c>
      <c r="C29" s="79" t="s">
        <v>175</v>
      </c>
      <c r="D29" s="99">
        <v>24412</v>
      </c>
      <c r="E29" s="99">
        <v>3137</v>
      </c>
      <c r="F29" s="99" t="s">
        <v>336</v>
      </c>
      <c r="G29" s="99">
        <v>79</v>
      </c>
      <c r="H29" s="99">
        <v>47</v>
      </c>
      <c r="I29" s="99">
        <v>296</v>
      </c>
      <c r="J29" s="99">
        <v>1755</v>
      </c>
      <c r="K29" s="99">
        <v>455</v>
      </c>
      <c r="L29" s="99">
        <v>3653</v>
      </c>
      <c r="M29" s="99">
        <v>1197</v>
      </c>
      <c r="N29" s="99">
        <v>527</v>
      </c>
      <c r="O29" s="99">
        <v>334</v>
      </c>
      <c r="P29" s="159">
        <v>334</v>
      </c>
      <c r="Q29" s="99">
        <v>49</v>
      </c>
      <c r="R29" s="99">
        <v>91</v>
      </c>
      <c r="S29" s="99">
        <v>66</v>
      </c>
      <c r="T29" s="99">
        <v>68</v>
      </c>
      <c r="U29" s="99">
        <v>10</v>
      </c>
      <c r="V29" s="99">
        <v>56</v>
      </c>
      <c r="W29" s="99">
        <v>127</v>
      </c>
      <c r="X29" s="99">
        <v>67</v>
      </c>
      <c r="Y29" s="99">
        <v>208</v>
      </c>
      <c r="Z29" s="99">
        <v>124</v>
      </c>
      <c r="AA29" s="99" t="s">
        <v>537</v>
      </c>
      <c r="AB29" s="99" t="s">
        <v>537</v>
      </c>
      <c r="AC29" s="99" t="s">
        <v>537</v>
      </c>
      <c r="AD29" s="98" t="s">
        <v>313</v>
      </c>
      <c r="AE29" s="100">
        <v>0.1285023758807144</v>
      </c>
      <c r="AF29" s="100">
        <v>0.13</v>
      </c>
      <c r="AG29" s="98">
        <v>323.6113386858922</v>
      </c>
      <c r="AH29" s="98">
        <v>192.52826478780926</v>
      </c>
      <c r="AI29" s="100">
        <v>0.012</v>
      </c>
      <c r="AJ29" s="100">
        <v>0.794837</v>
      </c>
      <c r="AK29" s="100">
        <v>0.897436</v>
      </c>
      <c r="AL29" s="100">
        <v>0.761359</v>
      </c>
      <c r="AM29" s="100">
        <v>0.591111</v>
      </c>
      <c r="AN29" s="100">
        <v>0.598864</v>
      </c>
      <c r="AO29" s="98">
        <v>1368.1795838112403</v>
      </c>
      <c r="AP29" s="158">
        <v>0.8950985718</v>
      </c>
      <c r="AQ29" s="100">
        <v>0.1467065868263473</v>
      </c>
      <c r="AR29" s="100">
        <v>0.5384615384615384</v>
      </c>
      <c r="AS29" s="98">
        <v>270.358839914796</v>
      </c>
      <c r="AT29" s="98">
        <v>278.55153203342616</v>
      </c>
      <c r="AU29" s="98">
        <v>40.96346059315091</v>
      </c>
      <c r="AV29" s="98">
        <v>229.3953793216451</v>
      </c>
      <c r="AW29" s="98">
        <v>520.2359495330165</v>
      </c>
      <c r="AX29" s="98">
        <v>274.4551859741111</v>
      </c>
      <c r="AY29" s="98">
        <v>852.039980337539</v>
      </c>
      <c r="AZ29" s="98">
        <v>507.9469113550713</v>
      </c>
      <c r="BA29" s="100" t="s">
        <v>537</v>
      </c>
      <c r="BB29" s="100" t="s">
        <v>537</v>
      </c>
      <c r="BC29" s="100" t="s">
        <v>537</v>
      </c>
      <c r="BD29" s="158">
        <v>0.8016671753</v>
      </c>
      <c r="BE29" s="158">
        <v>0.9964290619</v>
      </c>
      <c r="BF29" s="162">
        <v>2208</v>
      </c>
      <c r="BG29" s="162">
        <v>507</v>
      </c>
      <c r="BH29" s="162">
        <v>4798</v>
      </c>
      <c r="BI29" s="162">
        <v>2025</v>
      </c>
      <c r="BJ29" s="162">
        <v>880</v>
      </c>
      <c r="BK29" s="97"/>
      <c r="BL29" s="97"/>
      <c r="BM29" s="97"/>
      <c r="BN29" s="97"/>
    </row>
    <row r="30" spans="1:66" ht="12.75">
      <c r="A30" s="79" t="s">
        <v>500</v>
      </c>
      <c r="B30" s="79" t="s">
        <v>283</v>
      </c>
      <c r="C30" s="79" t="s">
        <v>175</v>
      </c>
      <c r="D30" s="99">
        <v>9918</v>
      </c>
      <c r="E30" s="99">
        <v>1692</v>
      </c>
      <c r="F30" s="99" t="s">
        <v>336</v>
      </c>
      <c r="G30" s="99">
        <v>53</v>
      </c>
      <c r="H30" s="99">
        <v>25</v>
      </c>
      <c r="I30" s="99">
        <v>139</v>
      </c>
      <c r="J30" s="99">
        <v>768</v>
      </c>
      <c r="K30" s="99">
        <v>280</v>
      </c>
      <c r="L30" s="99">
        <v>1718</v>
      </c>
      <c r="M30" s="99">
        <v>469</v>
      </c>
      <c r="N30" s="99">
        <v>219</v>
      </c>
      <c r="O30" s="99">
        <v>198</v>
      </c>
      <c r="P30" s="159">
        <v>198</v>
      </c>
      <c r="Q30" s="99">
        <v>23</v>
      </c>
      <c r="R30" s="99">
        <v>58</v>
      </c>
      <c r="S30" s="99">
        <v>33</v>
      </c>
      <c r="T30" s="99">
        <v>28</v>
      </c>
      <c r="U30" s="99">
        <v>9</v>
      </c>
      <c r="V30" s="99">
        <v>32</v>
      </c>
      <c r="W30" s="99">
        <v>50</v>
      </c>
      <c r="X30" s="99">
        <v>47</v>
      </c>
      <c r="Y30" s="99">
        <v>118</v>
      </c>
      <c r="Z30" s="99">
        <v>72</v>
      </c>
      <c r="AA30" s="99" t="s">
        <v>537</v>
      </c>
      <c r="AB30" s="99" t="s">
        <v>537</v>
      </c>
      <c r="AC30" s="99" t="s">
        <v>537</v>
      </c>
      <c r="AD30" s="98" t="s">
        <v>313</v>
      </c>
      <c r="AE30" s="100">
        <v>0.1705989110707804</v>
      </c>
      <c r="AF30" s="100">
        <v>0.15</v>
      </c>
      <c r="AG30" s="98">
        <v>534.381931841097</v>
      </c>
      <c r="AH30" s="98">
        <v>252.06694898164952</v>
      </c>
      <c r="AI30" s="100">
        <v>0.013999999999999999</v>
      </c>
      <c r="AJ30" s="100">
        <v>0.772636</v>
      </c>
      <c r="AK30" s="100">
        <v>0.775623</v>
      </c>
      <c r="AL30" s="100">
        <v>0.728584</v>
      </c>
      <c r="AM30" s="100">
        <v>0.491099</v>
      </c>
      <c r="AN30" s="100">
        <v>0.532847</v>
      </c>
      <c r="AO30" s="98">
        <v>1996.3702359346642</v>
      </c>
      <c r="AP30" s="158">
        <v>1.098067551</v>
      </c>
      <c r="AQ30" s="100">
        <v>0.11616161616161616</v>
      </c>
      <c r="AR30" s="100">
        <v>0.39655172413793105</v>
      </c>
      <c r="AS30" s="98">
        <v>332.7283726557774</v>
      </c>
      <c r="AT30" s="98">
        <v>282.31498285944747</v>
      </c>
      <c r="AU30" s="98">
        <v>90.74410163339383</v>
      </c>
      <c r="AV30" s="98">
        <v>322.6456946965114</v>
      </c>
      <c r="AW30" s="98">
        <v>504.13389796329903</v>
      </c>
      <c r="AX30" s="98">
        <v>473.8858640855011</v>
      </c>
      <c r="AY30" s="98">
        <v>1189.7559991933858</v>
      </c>
      <c r="AZ30" s="98">
        <v>725.9528130671506</v>
      </c>
      <c r="BA30" s="100" t="s">
        <v>537</v>
      </c>
      <c r="BB30" s="100" t="s">
        <v>537</v>
      </c>
      <c r="BC30" s="100" t="s">
        <v>537</v>
      </c>
      <c r="BD30" s="158">
        <v>0.9504377746999999</v>
      </c>
      <c r="BE30" s="158">
        <v>1.262130585</v>
      </c>
      <c r="BF30" s="162">
        <v>994</v>
      </c>
      <c r="BG30" s="162">
        <v>361</v>
      </c>
      <c r="BH30" s="162">
        <v>2358</v>
      </c>
      <c r="BI30" s="162">
        <v>955</v>
      </c>
      <c r="BJ30" s="162">
        <v>411</v>
      </c>
      <c r="BK30" s="97"/>
      <c r="BL30" s="97"/>
      <c r="BM30" s="97"/>
      <c r="BN30" s="97"/>
    </row>
    <row r="31" spans="1:66" ht="12.75">
      <c r="A31" s="79" t="s">
        <v>507</v>
      </c>
      <c r="B31" s="79" t="s">
        <v>290</v>
      </c>
      <c r="C31" s="79" t="s">
        <v>175</v>
      </c>
      <c r="D31" s="99">
        <v>11954</v>
      </c>
      <c r="E31" s="99">
        <v>2417</v>
      </c>
      <c r="F31" s="99" t="s">
        <v>337</v>
      </c>
      <c r="G31" s="99">
        <v>46</v>
      </c>
      <c r="H31" s="99">
        <v>26</v>
      </c>
      <c r="I31" s="99">
        <v>226</v>
      </c>
      <c r="J31" s="99">
        <v>1288</v>
      </c>
      <c r="K31" s="99">
        <v>422</v>
      </c>
      <c r="L31" s="99">
        <v>2472</v>
      </c>
      <c r="M31" s="99">
        <v>913</v>
      </c>
      <c r="N31" s="99">
        <v>453</v>
      </c>
      <c r="O31" s="99">
        <v>166</v>
      </c>
      <c r="P31" s="159">
        <v>166</v>
      </c>
      <c r="Q31" s="99">
        <v>26</v>
      </c>
      <c r="R31" s="99">
        <v>64</v>
      </c>
      <c r="S31" s="99">
        <v>25</v>
      </c>
      <c r="T31" s="99">
        <v>33</v>
      </c>
      <c r="U31" s="99" t="s">
        <v>537</v>
      </c>
      <c r="V31" s="99">
        <v>19</v>
      </c>
      <c r="W31" s="99">
        <v>62</v>
      </c>
      <c r="X31" s="99">
        <v>49</v>
      </c>
      <c r="Y31" s="99">
        <v>118</v>
      </c>
      <c r="Z31" s="99">
        <v>75</v>
      </c>
      <c r="AA31" s="99" t="s">
        <v>537</v>
      </c>
      <c r="AB31" s="99" t="s">
        <v>537</v>
      </c>
      <c r="AC31" s="99" t="s">
        <v>537</v>
      </c>
      <c r="AD31" s="98" t="s">
        <v>313</v>
      </c>
      <c r="AE31" s="100">
        <v>0.20219173498410573</v>
      </c>
      <c r="AF31" s="100">
        <v>0.06</v>
      </c>
      <c r="AG31" s="98">
        <v>384.80843232390833</v>
      </c>
      <c r="AH31" s="98">
        <v>217.50041827003514</v>
      </c>
      <c r="AI31" s="100">
        <v>0.019</v>
      </c>
      <c r="AJ31" s="100">
        <v>0.81519</v>
      </c>
      <c r="AK31" s="100">
        <v>0.888421</v>
      </c>
      <c r="AL31" s="100">
        <v>0.830645</v>
      </c>
      <c r="AM31" s="100">
        <v>0.660637</v>
      </c>
      <c r="AN31" s="100">
        <v>0.719048</v>
      </c>
      <c r="AO31" s="98">
        <v>1388.6565166471473</v>
      </c>
      <c r="AP31" s="158">
        <v>0.6627500916</v>
      </c>
      <c r="AQ31" s="100">
        <v>0.1566265060240964</v>
      </c>
      <c r="AR31" s="100">
        <v>0.40625</v>
      </c>
      <c r="AS31" s="98">
        <v>209.13501756734146</v>
      </c>
      <c r="AT31" s="98">
        <v>276.05822318889074</v>
      </c>
      <c r="AU31" s="98" t="s">
        <v>537</v>
      </c>
      <c r="AV31" s="98">
        <v>158.94261335117952</v>
      </c>
      <c r="AW31" s="98">
        <v>518.6548435670069</v>
      </c>
      <c r="AX31" s="98">
        <v>409.9046344319893</v>
      </c>
      <c r="AY31" s="98">
        <v>987.1172829178518</v>
      </c>
      <c r="AZ31" s="98">
        <v>627.4050527020245</v>
      </c>
      <c r="BA31" s="100" t="s">
        <v>537</v>
      </c>
      <c r="BB31" s="100" t="s">
        <v>537</v>
      </c>
      <c r="BC31" s="100" t="s">
        <v>537</v>
      </c>
      <c r="BD31" s="158">
        <v>0.5657638168</v>
      </c>
      <c r="BE31" s="158">
        <v>0.7715919495</v>
      </c>
      <c r="BF31" s="162">
        <v>1580</v>
      </c>
      <c r="BG31" s="162">
        <v>475</v>
      </c>
      <c r="BH31" s="162">
        <v>2976</v>
      </c>
      <c r="BI31" s="162">
        <v>1382</v>
      </c>
      <c r="BJ31" s="162">
        <v>630</v>
      </c>
      <c r="BK31" s="97"/>
      <c r="BL31" s="97"/>
      <c r="BM31" s="97"/>
      <c r="BN31" s="97"/>
    </row>
    <row r="32" spans="1:66" ht="12.75">
      <c r="A32" s="79" t="s">
        <v>504</v>
      </c>
      <c r="B32" s="79" t="s">
        <v>287</v>
      </c>
      <c r="C32" s="79" t="s">
        <v>175</v>
      </c>
      <c r="D32" s="99">
        <v>11105</v>
      </c>
      <c r="E32" s="99">
        <v>1667</v>
      </c>
      <c r="F32" s="99" t="s">
        <v>333</v>
      </c>
      <c r="G32" s="99">
        <v>51</v>
      </c>
      <c r="H32" s="99">
        <v>35</v>
      </c>
      <c r="I32" s="99">
        <v>143</v>
      </c>
      <c r="J32" s="99">
        <v>986</v>
      </c>
      <c r="K32" s="99">
        <v>299</v>
      </c>
      <c r="L32" s="99">
        <v>2052</v>
      </c>
      <c r="M32" s="99">
        <v>617</v>
      </c>
      <c r="N32" s="99">
        <v>273</v>
      </c>
      <c r="O32" s="99">
        <v>132</v>
      </c>
      <c r="P32" s="159">
        <v>132</v>
      </c>
      <c r="Q32" s="99">
        <v>26</v>
      </c>
      <c r="R32" s="99">
        <v>57</v>
      </c>
      <c r="S32" s="99">
        <v>21</v>
      </c>
      <c r="T32" s="99">
        <v>23</v>
      </c>
      <c r="U32" s="99">
        <v>7</v>
      </c>
      <c r="V32" s="99">
        <v>12</v>
      </c>
      <c r="W32" s="99">
        <v>58</v>
      </c>
      <c r="X32" s="99">
        <v>50</v>
      </c>
      <c r="Y32" s="99">
        <v>136</v>
      </c>
      <c r="Z32" s="99">
        <v>75</v>
      </c>
      <c r="AA32" s="99" t="s">
        <v>537</v>
      </c>
      <c r="AB32" s="99" t="s">
        <v>537</v>
      </c>
      <c r="AC32" s="99" t="s">
        <v>537</v>
      </c>
      <c r="AD32" s="98" t="s">
        <v>313</v>
      </c>
      <c r="AE32" s="100">
        <v>0.15011256190904998</v>
      </c>
      <c r="AF32" s="100">
        <v>0.2</v>
      </c>
      <c r="AG32" s="98">
        <v>459.25258892390815</v>
      </c>
      <c r="AH32" s="98">
        <v>315.173345339937</v>
      </c>
      <c r="AI32" s="100">
        <v>0.013000000000000001</v>
      </c>
      <c r="AJ32" s="100">
        <v>0.768511</v>
      </c>
      <c r="AK32" s="100">
        <v>0.808108</v>
      </c>
      <c r="AL32" s="100">
        <v>0.755801</v>
      </c>
      <c r="AM32" s="100">
        <v>0.569714</v>
      </c>
      <c r="AN32" s="100">
        <v>0.59607</v>
      </c>
      <c r="AO32" s="98">
        <v>1188.6537595677623</v>
      </c>
      <c r="AP32" s="158">
        <v>0.6810203552</v>
      </c>
      <c r="AQ32" s="100">
        <v>0.19696969696969696</v>
      </c>
      <c r="AR32" s="100">
        <v>0.45614035087719296</v>
      </c>
      <c r="AS32" s="98">
        <v>189.10400720396217</v>
      </c>
      <c r="AT32" s="98">
        <v>207.11391265195857</v>
      </c>
      <c r="AU32" s="98">
        <v>63.034669067987394</v>
      </c>
      <c r="AV32" s="98">
        <v>108.05943268797839</v>
      </c>
      <c r="AW32" s="98">
        <v>522.2872579918956</v>
      </c>
      <c r="AX32" s="98">
        <v>450.24763619990995</v>
      </c>
      <c r="AY32" s="98">
        <v>1224.6735704637551</v>
      </c>
      <c r="AZ32" s="98">
        <v>675.3714542998649</v>
      </c>
      <c r="BA32" s="100" t="s">
        <v>537</v>
      </c>
      <c r="BB32" s="100" t="s">
        <v>537</v>
      </c>
      <c r="BC32" s="100" t="s">
        <v>537</v>
      </c>
      <c r="BD32" s="158">
        <v>0.5698040771</v>
      </c>
      <c r="BE32" s="158">
        <v>0.8076032257</v>
      </c>
      <c r="BF32" s="162">
        <v>1283</v>
      </c>
      <c r="BG32" s="162">
        <v>370</v>
      </c>
      <c r="BH32" s="162">
        <v>2715</v>
      </c>
      <c r="BI32" s="162">
        <v>1083</v>
      </c>
      <c r="BJ32" s="162">
        <v>458</v>
      </c>
      <c r="BK32" s="97"/>
      <c r="BL32" s="97"/>
      <c r="BM32" s="97"/>
      <c r="BN32" s="97"/>
    </row>
    <row r="33" spans="1:66" ht="12.75">
      <c r="A33" s="79" t="s">
        <v>503</v>
      </c>
      <c r="B33" s="79" t="s">
        <v>286</v>
      </c>
      <c r="C33" s="79" t="s">
        <v>175</v>
      </c>
      <c r="D33" s="99">
        <v>7749</v>
      </c>
      <c r="E33" s="99">
        <v>1127</v>
      </c>
      <c r="F33" s="99" t="s">
        <v>333</v>
      </c>
      <c r="G33" s="99">
        <v>38</v>
      </c>
      <c r="H33" s="99">
        <v>23</v>
      </c>
      <c r="I33" s="99">
        <v>60</v>
      </c>
      <c r="J33" s="99">
        <v>585</v>
      </c>
      <c r="K33" s="99">
        <v>189</v>
      </c>
      <c r="L33" s="99">
        <v>1440</v>
      </c>
      <c r="M33" s="99">
        <v>333</v>
      </c>
      <c r="N33" s="99">
        <v>154</v>
      </c>
      <c r="O33" s="99">
        <v>113</v>
      </c>
      <c r="P33" s="159">
        <v>113</v>
      </c>
      <c r="Q33" s="99">
        <v>15</v>
      </c>
      <c r="R33" s="99">
        <v>34</v>
      </c>
      <c r="S33" s="99">
        <v>22</v>
      </c>
      <c r="T33" s="99">
        <v>11</v>
      </c>
      <c r="U33" s="99" t="s">
        <v>537</v>
      </c>
      <c r="V33" s="99">
        <v>17</v>
      </c>
      <c r="W33" s="99">
        <v>32</v>
      </c>
      <c r="X33" s="99">
        <v>38</v>
      </c>
      <c r="Y33" s="99">
        <v>67</v>
      </c>
      <c r="Z33" s="99">
        <v>71</v>
      </c>
      <c r="AA33" s="99" t="s">
        <v>537</v>
      </c>
      <c r="AB33" s="99" t="s">
        <v>537</v>
      </c>
      <c r="AC33" s="99" t="s">
        <v>537</v>
      </c>
      <c r="AD33" s="98" t="s">
        <v>313</v>
      </c>
      <c r="AE33" s="100">
        <v>0.14543812104787715</v>
      </c>
      <c r="AF33" s="100">
        <v>0.21</v>
      </c>
      <c r="AG33" s="98">
        <v>490.3858562395148</v>
      </c>
      <c r="AH33" s="98">
        <v>296.81249193444313</v>
      </c>
      <c r="AI33" s="100">
        <v>0.008</v>
      </c>
      <c r="AJ33" s="100">
        <v>0.719557</v>
      </c>
      <c r="AK33" s="100">
        <v>0.784232</v>
      </c>
      <c r="AL33" s="100">
        <v>0.773778</v>
      </c>
      <c r="AM33" s="100">
        <v>0.477762</v>
      </c>
      <c r="AN33" s="100">
        <v>0.513333</v>
      </c>
      <c r="AO33" s="98">
        <v>1458.252677764873</v>
      </c>
      <c r="AP33" s="158">
        <v>0.8393417358</v>
      </c>
      <c r="AQ33" s="100">
        <v>0.13274336283185842</v>
      </c>
      <c r="AR33" s="100">
        <v>0.4411764705882353</v>
      </c>
      <c r="AS33" s="98">
        <v>283.9076009807717</v>
      </c>
      <c r="AT33" s="98">
        <v>141.95380049038585</v>
      </c>
      <c r="AU33" s="98" t="s">
        <v>537</v>
      </c>
      <c r="AV33" s="98">
        <v>219.38314621241452</v>
      </c>
      <c r="AW33" s="98">
        <v>412.95651051748615</v>
      </c>
      <c r="AX33" s="98">
        <v>490.3858562395148</v>
      </c>
      <c r="AY33" s="98">
        <v>864.6276938959866</v>
      </c>
      <c r="AZ33" s="98">
        <v>916.2472577106723</v>
      </c>
      <c r="BA33" s="100" t="s">
        <v>537</v>
      </c>
      <c r="BB33" s="100" t="s">
        <v>537</v>
      </c>
      <c r="BC33" s="100" t="s">
        <v>537</v>
      </c>
      <c r="BD33" s="158">
        <v>0.6917363739</v>
      </c>
      <c r="BE33" s="158">
        <v>1.009120255</v>
      </c>
      <c r="BF33" s="162">
        <v>813</v>
      </c>
      <c r="BG33" s="162">
        <v>241</v>
      </c>
      <c r="BH33" s="162">
        <v>1861</v>
      </c>
      <c r="BI33" s="162">
        <v>697</v>
      </c>
      <c r="BJ33" s="162">
        <v>300</v>
      </c>
      <c r="BK33" s="97"/>
      <c r="BL33" s="97"/>
      <c r="BM33" s="97"/>
      <c r="BN33" s="97"/>
    </row>
    <row r="34" spans="1:66" ht="12.75">
      <c r="A34" s="79" t="s">
        <v>501</v>
      </c>
      <c r="B34" s="79" t="s">
        <v>284</v>
      </c>
      <c r="C34" s="79" t="s">
        <v>175</v>
      </c>
      <c r="D34" s="99">
        <v>14662</v>
      </c>
      <c r="E34" s="99">
        <v>1930</v>
      </c>
      <c r="F34" s="99" t="s">
        <v>333</v>
      </c>
      <c r="G34" s="99">
        <v>55</v>
      </c>
      <c r="H34" s="99">
        <v>38</v>
      </c>
      <c r="I34" s="99">
        <v>175</v>
      </c>
      <c r="J34" s="99">
        <v>916</v>
      </c>
      <c r="K34" s="99">
        <v>287</v>
      </c>
      <c r="L34" s="99">
        <v>2482</v>
      </c>
      <c r="M34" s="99">
        <v>482</v>
      </c>
      <c r="N34" s="99">
        <v>216</v>
      </c>
      <c r="O34" s="99">
        <v>271</v>
      </c>
      <c r="P34" s="159">
        <v>271</v>
      </c>
      <c r="Q34" s="99">
        <v>43</v>
      </c>
      <c r="R34" s="99">
        <v>68</v>
      </c>
      <c r="S34" s="99">
        <v>34</v>
      </c>
      <c r="T34" s="99">
        <v>33</v>
      </c>
      <c r="U34" s="99">
        <v>14</v>
      </c>
      <c r="V34" s="99">
        <v>24</v>
      </c>
      <c r="W34" s="99">
        <v>76</v>
      </c>
      <c r="X34" s="99">
        <v>51</v>
      </c>
      <c r="Y34" s="99">
        <v>164</v>
      </c>
      <c r="Z34" s="99">
        <v>97</v>
      </c>
      <c r="AA34" s="99" t="s">
        <v>537</v>
      </c>
      <c r="AB34" s="99" t="s">
        <v>537</v>
      </c>
      <c r="AC34" s="99" t="s">
        <v>537</v>
      </c>
      <c r="AD34" s="98" t="s">
        <v>313</v>
      </c>
      <c r="AE34" s="100">
        <v>0.13163279225208022</v>
      </c>
      <c r="AF34" s="100">
        <v>0.23</v>
      </c>
      <c r="AG34" s="98">
        <v>375.1193561587778</v>
      </c>
      <c r="AH34" s="98">
        <v>259.17337334606464</v>
      </c>
      <c r="AI34" s="100">
        <v>0.012</v>
      </c>
      <c r="AJ34" s="100">
        <v>0.692366</v>
      </c>
      <c r="AK34" s="100">
        <v>0.753281</v>
      </c>
      <c r="AL34" s="100">
        <v>0.706318</v>
      </c>
      <c r="AM34" s="100">
        <v>0.4319</v>
      </c>
      <c r="AN34" s="100">
        <v>0.449064</v>
      </c>
      <c r="AO34" s="98">
        <v>1848.3153730732506</v>
      </c>
      <c r="AP34" s="158">
        <v>1.146384735</v>
      </c>
      <c r="AQ34" s="100">
        <v>0.15867158671586715</v>
      </c>
      <c r="AR34" s="100">
        <v>0.6323529411764706</v>
      </c>
      <c r="AS34" s="98">
        <v>231.89196562542628</v>
      </c>
      <c r="AT34" s="98">
        <v>225.07161369526668</v>
      </c>
      <c r="AU34" s="98">
        <v>95.48492702223434</v>
      </c>
      <c r="AV34" s="98">
        <v>163.6884463238303</v>
      </c>
      <c r="AW34" s="98">
        <v>518.3467466921293</v>
      </c>
      <c r="AX34" s="98">
        <v>347.8379484381394</v>
      </c>
      <c r="AY34" s="98">
        <v>1118.5377165461737</v>
      </c>
      <c r="AZ34" s="98">
        <v>661.5741372254809</v>
      </c>
      <c r="BA34" s="100" t="s">
        <v>537</v>
      </c>
      <c r="BB34" s="100" t="s">
        <v>537</v>
      </c>
      <c r="BC34" s="100" t="s">
        <v>537</v>
      </c>
      <c r="BD34" s="158">
        <v>1.013946686</v>
      </c>
      <c r="BE34" s="158">
        <v>1.291315765</v>
      </c>
      <c r="BF34" s="162">
        <v>1323</v>
      </c>
      <c r="BG34" s="162">
        <v>381</v>
      </c>
      <c r="BH34" s="162">
        <v>3514</v>
      </c>
      <c r="BI34" s="162">
        <v>1116</v>
      </c>
      <c r="BJ34" s="162">
        <v>481</v>
      </c>
      <c r="BK34" s="97"/>
      <c r="BL34" s="97"/>
      <c r="BM34" s="97"/>
      <c r="BN34" s="97"/>
    </row>
    <row r="35" spans="1:66" ht="12.75">
      <c r="A35" s="79" t="s">
        <v>176</v>
      </c>
      <c r="B35" s="94" t="s">
        <v>175</v>
      </c>
      <c r="C35" s="94" t="s">
        <v>7</v>
      </c>
      <c r="D35" s="99">
        <v>295312</v>
      </c>
      <c r="E35" s="99">
        <v>44388</v>
      </c>
      <c r="F35" s="99">
        <v>48964.780000000006</v>
      </c>
      <c r="G35" s="99">
        <v>1309</v>
      </c>
      <c r="H35" s="99">
        <v>615</v>
      </c>
      <c r="I35" s="99">
        <v>3915</v>
      </c>
      <c r="J35" s="99">
        <v>23769</v>
      </c>
      <c r="K35" s="99">
        <v>7440</v>
      </c>
      <c r="L35" s="99">
        <v>54290</v>
      </c>
      <c r="M35" s="99">
        <v>15014</v>
      </c>
      <c r="N35" s="99">
        <v>6958</v>
      </c>
      <c r="O35" s="99">
        <v>4941</v>
      </c>
      <c r="P35" s="99">
        <v>4941</v>
      </c>
      <c r="Q35" s="99">
        <v>593</v>
      </c>
      <c r="R35" s="99">
        <v>1296</v>
      </c>
      <c r="S35" s="99">
        <v>838</v>
      </c>
      <c r="T35" s="99">
        <v>762</v>
      </c>
      <c r="U35" s="99">
        <v>180</v>
      </c>
      <c r="V35" s="99">
        <v>708</v>
      </c>
      <c r="W35" s="99">
        <v>1476</v>
      </c>
      <c r="X35" s="99">
        <v>1196</v>
      </c>
      <c r="Y35" s="99">
        <v>2981</v>
      </c>
      <c r="Z35" s="99">
        <v>1848</v>
      </c>
      <c r="AA35" s="99">
        <v>0</v>
      </c>
      <c r="AB35" s="99">
        <v>0</v>
      </c>
      <c r="AC35" s="99">
        <v>0</v>
      </c>
      <c r="AD35" s="98">
        <v>0</v>
      </c>
      <c r="AE35" s="101">
        <v>0.15030882591970526</v>
      </c>
      <c r="AF35" s="101">
        <v>0.1658069431651948</v>
      </c>
      <c r="AG35" s="98">
        <v>443.2600097523975</v>
      </c>
      <c r="AH35" s="98">
        <v>208.25432085387658</v>
      </c>
      <c r="AI35" s="101">
        <v>0.013257165303137022</v>
      </c>
      <c r="AJ35" s="101">
        <v>0.7669398554465668</v>
      </c>
      <c r="AK35" s="101">
        <v>0.7975986277873071</v>
      </c>
      <c r="AL35" s="101">
        <v>0.7753056095053125</v>
      </c>
      <c r="AM35" s="101">
        <v>0.5449332171893148</v>
      </c>
      <c r="AN35" s="101">
        <v>0.5807043899182106</v>
      </c>
      <c r="AO35" s="98">
        <v>1673.1456899821205</v>
      </c>
      <c r="AP35" s="98">
        <v>0</v>
      </c>
      <c r="AQ35" s="101">
        <v>0.12001619105444242</v>
      </c>
      <c r="AR35" s="101">
        <v>0.4575617283950617</v>
      </c>
      <c r="AS35" s="98">
        <v>283.76767622040416</v>
      </c>
      <c r="AT35" s="98">
        <v>258.03218291163245</v>
      </c>
      <c r="AU35" s="98">
        <v>60.95248415235412</v>
      </c>
      <c r="AV35" s="98">
        <v>239.7464376659262</v>
      </c>
      <c r="AW35" s="98">
        <v>499.8103700493038</v>
      </c>
      <c r="AX35" s="98">
        <v>404.99539470119737</v>
      </c>
      <c r="AY35" s="98">
        <v>1009.4408625453757</v>
      </c>
      <c r="AZ35" s="98">
        <v>625.7788372975023</v>
      </c>
      <c r="BA35" s="101">
        <v>0</v>
      </c>
      <c r="BB35" s="101">
        <v>0</v>
      </c>
      <c r="BC35" s="101">
        <v>0</v>
      </c>
      <c r="BD35" s="98">
        <v>0</v>
      </c>
      <c r="BE35" s="98">
        <v>0</v>
      </c>
      <c r="BF35" s="99">
        <v>30992</v>
      </c>
      <c r="BG35" s="99">
        <v>9328</v>
      </c>
      <c r="BH35" s="99">
        <v>70024</v>
      </c>
      <c r="BI35" s="99">
        <v>27552</v>
      </c>
      <c r="BJ35" s="99">
        <v>11982</v>
      </c>
      <c r="BK35" s="97"/>
      <c r="BL35" s="97"/>
      <c r="BM35" s="97"/>
      <c r="BN35" s="97"/>
    </row>
    <row r="36" spans="1:66" ht="12.75">
      <c r="A36" s="79" t="s">
        <v>24</v>
      </c>
      <c r="B36" s="94" t="s">
        <v>7</v>
      </c>
      <c r="C36" s="94" t="s">
        <v>7</v>
      </c>
      <c r="D36" s="99">
        <v>54615830</v>
      </c>
      <c r="E36" s="99">
        <v>8737890</v>
      </c>
      <c r="F36" s="99">
        <v>8198344.169999988</v>
      </c>
      <c r="G36" s="99">
        <v>243379</v>
      </c>
      <c r="H36" s="99">
        <v>127868</v>
      </c>
      <c r="I36" s="99">
        <v>870616</v>
      </c>
      <c r="J36" s="99">
        <v>4592627</v>
      </c>
      <c r="K36" s="99">
        <v>1679592</v>
      </c>
      <c r="L36" s="99">
        <v>10150944</v>
      </c>
      <c r="M36" s="99">
        <v>2959539</v>
      </c>
      <c r="N36" s="99">
        <v>1629320</v>
      </c>
      <c r="O36" s="99">
        <v>989730</v>
      </c>
      <c r="P36" s="99">
        <v>989730</v>
      </c>
      <c r="Q36" s="99">
        <v>108072</v>
      </c>
      <c r="R36" s="99">
        <v>238330</v>
      </c>
      <c r="S36" s="99">
        <v>206300</v>
      </c>
      <c r="T36" s="99">
        <v>154264</v>
      </c>
      <c r="U36" s="99">
        <v>38486</v>
      </c>
      <c r="V36" s="99">
        <v>176535</v>
      </c>
      <c r="W36" s="99">
        <v>307276</v>
      </c>
      <c r="X36" s="99">
        <v>221506</v>
      </c>
      <c r="Y36" s="99">
        <v>578574</v>
      </c>
      <c r="Z36" s="99">
        <v>318377</v>
      </c>
      <c r="AA36" s="99">
        <v>0</v>
      </c>
      <c r="AB36" s="99">
        <v>0</v>
      </c>
      <c r="AC36" s="99">
        <v>0</v>
      </c>
      <c r="AD36" s="98">
        <v>0</v>
      </c>
      <c r="AE36" s="101">
        <v>0.1599882305185145</v>
      </c>
      <c r="AF36" s="101">
        <v>0.15010930292554353</v>
      </c>
      <c r="AG36" s="98">
        <v>445.6198871279627</v>
      </c>
      <c r="AH36" s="98">
        <v>234.12259778895606</v>
      </c>
      <c r="AI36" s="101">
        <v>0.015940726342527432</v>
      </c>
      <c r="AJ36" s="101">
        <v>0.7248631360507991</v>
      </c>
      <c r="AK36" s="101">
        <v>0.7467412166569077</v>
      </c>
      <c r="AL36" s="101">
        <v>0.7559681673907895</v>
      </c>
      <c r="AM36" s="101">
        <v>0.5147293797466616</v>
      </c>
      <c r="AN36" s="101">
        <v>0.5752927626212945</v>
      </c>
      <c r="AO36" s="98">
        <v>1812.1669120472948</v>
      </c>
      <c r="AP36" s="98">
        <v>1</v>
      </c>
      <c r="AQ36" s="101">
        <v>0.10919341638628717</v>
      </c>
      <c r="AR36" s="101">
        <v>0.4534552930810221</v>
      </c>
      <c r="AS36" s="98">
        <v>377.7293140102421</v>
      </c>
      <c r="AT36" s="98">
        <v>282.45290788403287</v>
      </c>
      <c r="AU36" s="98">
        <v>70.46674929228394</v>
      </c>
      <c r="AV36" s="98">
        <v>323.23046266988894</v>
      </c>
      <c r="AW36" s="98">
        <v>562.6134400960308</v>
      </c>
      <c r="AX36" s="98">
        <v>405.57105879375996</v>
      </c>
      <c r="AY36" s="98">
        <v>1059.3522061277838</v>
      </c>
      <c r="AZ36" s="98">
        <v>582.9390489900089</v>
      </c>
      <c r="BA36" s="101">
        <v>0</v>
      </c>
      <c r="BB36" s="101">
        <v>0</v>
      </c>
      <c r="BC36" s="101">
        <v>0</v>
      </c>
      <c r="BD36" s="98">
        <v>0</v>
      </c>
      <c r="BE36" s="98">
        <v>0</v>
      </c>
      <c r="BF36" s="99">
        <v>6335854</v>
      </c>
      <c r="BG36" s="99">
        <v>2249229</v>
      </c>
      <c r="BH36" s="99">
        <v>13427740</v>
      </c>
      <c r="BI36" s="99">
        <v>5749699</v>
      </c>
      <c r="BJ36" s="99">
        <v>2832158</v>
      </c>
      <c r="BK36" s="97"/>
      <c r="BL36" s="97"/>
      <c r="BM36" s="97"/>
      <c r="BN36" s="97"/>
    </row>
    <row r="37" spans="1:66" ht="12.75">
      <c r="A37" s="8"/>
      <c r="B37" s="8"/>
      <c r="C37" s="8"/>
      <c r="D37" s="299"/>
      <c r="E37" s="299"/>
      <c r="F37" s="299"/>
      <c r="G37" s="299"/>
      <c r="H37" s="299"/>
      <c r="I37" s="299"/>
      <c r="J37" s="299"/>
      <c r="K37" s="299"/>
      <c r="L37" s="299"/>
      <c r="M37" s="299"/>
      <c r="N37" s="299"/>
      <c r="O37" s="299"/>
      <c r="P37" s="300"/>
      <c r="Q37" s="299"/>
      <c r="R37" s="299"/>
      <c r="S37" s="299"/>
      <c r="T37" s="299"/>
      <c r="U37" s="299"/>
      <c r="V37" s="299"/>
      <c r="W37" s="299"/>
      <c r="X37" s="299"/>
      <c r="Y37" s="299"/>
      <c r="Z37" s="299"/>
      <c r="AA37" s="299"/>
      <c r="AB37" s="299"/>
      <c r="AC37" s="299"/>
      <c r="AD37" s="295"/>
      <c r="AE37" s="301"/>
      <c r="AF37" s="301"/>
      <c r="AG37" s="295"/>
      <c r="AH37" s="295"/>
      <c r="AI37" s="301"/>
      <c r="AJ37" s="301"/>
      <c r="AK37" s="301"/>
      <c r="AL37" s="301"/>
      <c r="AM37" s="301"/>
      <c r="AN37" s="301"/>
      <c r="AO37" s="295"/>
      <c r="AP37" s="296"/>
      <c r="AQ37" s="301"/>
      <c r="AR37" s="301"/>
      <c r="AS37" s="295"/>
      <c r="AT37" s="295"/>
      <c r="AU37" s="295"/>
      <c r="AV37" s="295"/>
      <c r="AW37" s="295"/>
      <c r="AX37" s="295"/>
      <c r="AY37" s="295"/>
      <c r="AZ37" s="295"/>
      <c r="BA37" s="301"/>
      <c r="BB37" s="301"/>
      <c r="BC37" s="301"/>
      <c r="BD37" s="296"/>
      <c r="BE37" s="296"/>
      <c r="BF37" s="297"/>
      <c r="BG37" s="297"/>
      <c r="BH37" s="297"/>
      <c r="BI37" s="297"/>
      <c r="BJ37" s="297"/>
      <c r="BK37" s="97"/>
      <c r="BL37" s="97"/>
      <c r="BM37" s="97"/>
      <c r="BN37" s="97"/>
    </row>
    <row r="38" spans="1:66" ht="12.75">
      <c r="A38" s="8"/>
      <c r="B38" s="8"/>
      <c r="C38" s="8"/>
      <c r="D38" s="299"/>
      <c r="E38" s="299"/>
      <c r="F38" s="299"/>
      <c r="G38" s="299"/>
      <c r="H38" s="299"/>
      <c r="I38" s="299"/>
      <c r="J38" s="299"/>
      <c r="K38" s="299"/>
      <c r="L38" s="299"/>
      <c r="M38" s="299"/>
      <c r="N38" s="299"/>
      <c r="O38" s="299"/>
      <c r="P38" s="300"/>
      <c r="Q38" s="299"/>
      <c r="R38" s="299"/>
      <c r="S38" s="299"/>
      <c r="T38" s="299"/>
      <c r="U38" s="299"/>
      <c r="V38" s="299"/>
      <c r="W38" s="299"/>
      <c r="X38" s="299"/>
      <c r="Y38" s="299"/>
      <c r="Z38" s="299"/>
      <c r="AA38" s="299"/>
      <c r="AB38" s="299"/>
      <c r="AC38" s="299"/>
      <c r="AD38" s="295"/>
      <c r="AE38" s="301"/>
      <c r="AF38" s="301"/>
      <c r="AG38" s="295"/>
      <c r="AH38" s="295"/>
      <c r="AI38" s="301"/>
      <c r="AJ38" s="301"/>
      <c r="AK38" s="301"/>
      <c r="AL38" s="301"/>
      <c r="AM38" s="301"/>
      <c r="AN38" s="301"/>
      <c r="AO38" s="295"/>
      <c r="AP38" s="296"/>
      <c r="AQ38" s="301"/>
      <c r="AR38" s="301"/>
      <c r="AS38" s="295"/>
      <c r="AT38" s="295"/>
      <c r="AU38" s="295"/>
      <c r="AV38" s="295"/>
      <c r="AW38" s="295"/>
      <c r="AX38" s="295"/>
      <c r="AY38" s="295"/>
      <c r="AZ38" s="295"/>
      <c r="BA38" s="301"/>
      <c r="BB38" s="301"/>
      <c r="BC38" s="301"/>
      <c r="BD38" s="296"/>
      <c r="BE38" s="296"/>
      <c r="BF38" s="297"/>
      <c r="BG38" s="297"/>
      <c r="BH38" s="297"/>
      <c r="BI38" s="297"/>
      <c r="BJ38" s="297"/>
      <c r="BK38" s="97"/>
      <c r="BL38" s="97"/>
      <c r="BM38" s="97"/>
      <c r="BN38" s="97"/>
    </row>
    <row r="39" spans="1:66" ht="12.75">
      <c r="A39" s="8"/>
      <c r="B39" s="8"/>
      <c r="C39" s="8"/>
      <c r="D39" s="299"/>
      <c r="E39" s="299"/>
      <c r="F39" s="299"/>
      <c r="G39" s="299"/>
      <c r="H39" s="299"/>
      <c r="I39" s="299"/>
      <c r="J39" s="299"/>
      <c r="K39" s="299"/>
      <c r="L39" s="299"/>
      <c r="M39" s="299"/>
      <c r="N39" s="299"/>
      <c r="O39" s="299"/>
      <c r="P39" s="300"/>
      <c r="Q39" s="299"/>
      <c r="R39" s="299"/>
      <c r="S39" s="299"/>
      <c r="T39" s="299"/>
      <c r="U39" s="299"/>
      <c r="V39" s="299"/>
      <c r="W39" s="299"/>
      <c r="X39" s="299"/>
      <c r="Y39" s="299"/>
      <c r="Z39" s="299"/>
      <c r="AA39" s="299"/>
      <c r="AB39" s="299"/>
      <c r="AC39" s="299"/>
      <c r="AD39" s="295"/>
      <c r="AE39" s="301"/>
      <c r="AF39" s="301"/>
      <c r="AG39" s="295"/>
      <c r="AH39" s="295"/>
      <c r="AI39" s="301"/>
      <c r="AJ39" s="301"/>
      <c r="AK39" s="301"/>
      <c r="AL39" s="301"/>
      <c r="AM39" s="301"/>
      <c r="AN39" s="301"/>
      <c r="AO39" s="295"/>
      <c r="AP39" s="296"/>
      <c r="AQ39" s="301"/>
      <c r="AR39" s="301"/>
      <c r="AS39" s="295"/>
      <c r="AT39" s="295"/>
      <c r="AU39" s="295"/>
      <c r="AV39" s="295"/>
      <c r="AW39" s="295"/>
      <c r="AX39" s="295"/>
      <c r="AY39" s="295"/>
      <c r="AZ39" s="295"/>
      <c r="BA39" s="301"/>
      <c r="BB39" s="301"/>
      <c r="BC39" s="301"/>
      <c r="BD39" s="296"/>
      <c r="BE39" s="296"/>
      <c r="BF39" s="297"/>
      <c r="BG39" s="297"/>
      <c r="BH39" s="297"/>
      <c r="BI39" s="297"/>
      <c r="BJ39" s="297"/>
      <c r="BK39" s="97"/>
      <c r="BL39" s="97"/>
      <c r="BM39" s="97"/>
      <c r="BN39" s="97"/>
    </row>
    <row r="40" spans="1:66" ht="12.75">
      <c r="A40" s="8"/>
      <c r="B40" s="8"/>
      <c r="C40" s="8"/>
      <c r="D40" s="299"/>
      <c r="E40" s="299"/>
      <c r="F40" s="299"/>
      <c r="G40" s="299"/>
      <c r="H40" s="299"/>
      <c r="I40" s="299"/>
      <c r="J40" s="299"/>
      <c r="K40" s="299"/>
      <c r="L40" s="299"/>
      <c r="M40" s="299"/>
      <c r="N40" s="299"/>
      <c r="O40" s="299"/>
      <c r="P40" s="300"/>
      <c r="Q40" s="299"/>
      <c r="R40" s="299"/>
      <c r="S40" s="299"/>
      <c r="T40" s="299"/>
      <c r="U40" s="299"/>
      <c r="V40" s="299"/>
      <c r="W40" s="299"/>
      <c r="X40" s="299"/>
      <c r="Y40" s="299"/>
      <c r="Z40" s="299"/>
      <c r="AA40" s="299"/>
      <c r="AB40" s="299"/>
      <c r="AC40" s="299"/>
      <c r="AD40" s="295"/>
      <c r="AE40" s="301"/>
      <c r="AF40" s="301"/>
      <c r="AG40" s="295"/>
      <c r="AH40" s="295"/>
      <c r="AI40" s="301"/>
      <c r="AJ40" s="301"/>
      <c r="AK40" s="301"/>
      <c r="AL40" s="301"/>
      <c r="AM40" s="301"/>
      <c r="AN40" s="301"/>
      <c r="AO40" s="295"/>
      <c r="AP40" s="296"/>
      <c r="AQ40" s="301"/>
      <c r="AR40" s="301"/>
      <c r="AS40" s="295"/>
      <c r="AT40" s="295"/>
      <c r="AU40" s="295"/>
      <c r="AV40" s="295"/>
      <c r="AW40" s="295"/>
      <c r="AX40" s="295"/>
      <c r="AY40" s="295"/>
      <c r="AZ40" s="295"/>
      <c r="BA40" s="301"/>
      <c r="BB40" s="301"/>
      <c r="BC40" s="301"/>
      <c r="BD40" s="296"/>
      <c r="BE40" s="296"/>
      <c r="BF40" s="297"/>
      <c r="BG40" s="297"/>
      <c r="BH40" s="297"/>
      <c r="BI40" s="297"/>
      <c r="BJ40" s="297"/>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1"/>
      <c r="BB42" s="301"/>
      <c r="BC42" s="301"/>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2"/>
      <c r="BB47" s="302"/>
      <c r="BC47" s="302"/>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2"/>
      <c r="BB51" s="302"/>
      <c r="BC51" s="302"/>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2"/>
      <c r="BB59" s="302"/>
      <c r="BC59" s="302"/>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298"/>
      <c r="C98" s="298"/>
      <c r="D98" s="299"/>
      <c r="E98" s="299"/>
      <c r="F98" s="299"/>
      <c r="G98" s="299"/>
      <c r="H98" s="299"/>
      <c r="I98" s="299"/>
      <c r="J98" s="299"/>
      <c r="K98" s="299"/>
      <c r="L98" s="299"/>
      <c r="M98" s="299"/>
      <c r="N98" s="299"/>
      <c r="O98" s="299"/>
      <c r="P98" s="299"/>
      <c r="Q98" s="299"/>
      <c r="R98" s="299"/>
      <c r="S98" s="299"/>
      <c r="T98" s="299"/>
      <c r="U98" s="299"/>
      <c r="V98" s="299"/>
      <c r="W98" s="299"/>
      <c r="X98" s="299"/>
      <c r="Y98" s="299"/>
      <c r="Z98" s="299"/>
      <c r="AA98" s="299"/>
      <c r="AB98" s="299"/>
      <c r="AC98" s="299"/>
      <c r="AD98" s="295"/>
      <c r="AE98" s="302"/>
      <c r="AF98" s="302"/>
      <c r="AG98" s="295"/>
      <c r="AH98" s="295"/>
      <c r="AI98" s="302"/>
      <c r="AJ98" s="302"/>
      <c r="AK98" s="302"/>
      <c r="AL98" s="302"/>
      <c r="AM98" s="302"/>
      <c r="AN98" s="302"/>
      <c r="AO98" s="295"/>
      <c r="AP98" s="295"/>
      <c r="AQ98" s="302"/>
      <c r="AR98" s="302"/>
      <c r="AS98" s="295"/>
      <c r="AT98" s="295"/>
      <c r="AU98" s="295"/>
      <c r="AV98" s="295"/>
      <c r="AW98" s="295"/>
      <c r="AX98" s="295"/>
      <c r="AY98" s="295"/>
      <c r="AZ98" s="295"/>
      <c r="BA98" s="302"/>
      <c r="BB98" s="302"/>
      <c r="BC98" s="302"/>
      <c r="BD98" s="295"/>
      <c r="BE98" s="295"/>
      <c r="BF98" s="299"/>
      <c r="BG98" s="299"/>
      <c r="BH98" s="299"/>
      <c r="BI98" s="299"/>
      <c r="BJ98" s="299"/>
      <c r="BK98" s="97"/>
      <c r="BL98" s="97"/>
      <c r="BM98" s="97"/>
      <c r="BN98" s="97"/>
    </row>
    <row r="99" spans="1:66" ht="12.75">
      <c r="A99" s="8"/>
      <c r="B99" s="298"/>
      <c r="C99" s="298"/>
      <c r="D99" s="299"/>
      <c r="E99" s="299"/>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299"/>
      <c r="AD99" s="295"/>
      <c r="AE99" s="302"/>
      <c r="AF99" s="302"/>
      <c r="AG99" s="295"/>
      <c r="AH99" s="295"/>
      <c r="AI99" s="302"/>
      <c r="AJ99" s="302"/>
      <c r="AK99" s="302"/>
      <c r="AL99" s="302"/>
      <c r="AM99" s="302"/>
      <c r="AN99" s="302"/>
      <c r="AO99" s="295"/>
      <c r="AP99" s="295"/>
      <c r="AQ99" s="302"/>
      <c r="AR99" s="302"/>
      <c r="AS99" s="295"/>
      <c r="AT99" s="295"/>
      <c r="AU99" s="295"/>
      <c r="AV99" s="295"/>
      <c r="AW99" s="295"/>
      <c r="AX99" s="295"/>
      <c r="AY99" s="295"/>
      <c r="AZ99" s="295"/>
      <c r="BA99" s="302"/>
      <c r="BB99" s="302"/>
      <c r="BC99" s="302"/>
      <c r="BD99" s="295"/>
      <c r="BE99" s="295"/>
      <c r="BF99" s="299"/>
      <c r="BG99" s="299"/>
      <c r="BH99" s="299"/>
      <c r="BI99" s="299"/>
      <c r="BJ99" s="299"/>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298"/>
      <c r="C114" s="298"/>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5"/>
      <c r="AE114" s="302"/>
      <c r="AF114" s="302"/>
      <c r="AG114" s="295"/>
      <c r="AH114" s="295"/>
      <c r="AI114" s="302"/>
      <c r="AJ114" s="302"/>
      <c r="AK114" s="302"/>
      <c r="AL114" s="302"/>
      <c r="AM114" s="302"/>
      <c r="AN114" s="302"/>
      <c r="AO114" s="295"/>
      <c r="AP114" s="295"/>
      <c r="AQ114" s="302"/>
      <c r="AR114" s="302"/>
      <c r="AS114" s="295"/>
      <c r="AT114" s="295"/>
      <c r="AU114" s="295"/>
      <c r="AV114" s="295"/>
      <c r="AW114" s="295"/>
      <c r="AX114" s="295"/>
      <c r="AY114" s="295"/>
      <c r="AZ114" s="295"/>
      <c r="BA114" s="302"/>
      <c r="BB114" s="302"/>
      <c r="BC114" s="302"/>
      <c r="BD114" s="295"/>
      <c r="BE114" s="295"/>
      <c r="BF114" s="299"/>
      <c r="BG114" s="299"/>
      <c r="BH114" s="299"/>
      <c r="BI114" s="299"/>
      <c r="BJ114" s="299"/>
      <c r="BK114" s="97"/>
      <c r="BL114" s="97"/>
      <c r="BM114" s="97"/>
      <c r="BN114" s="97"/>
    </row>
    <row r="115" spans="1:66" ht="12.75">
      <c r="A115" s="8"/>
      <c r="B115" s="298"/>
      <c r="C115" s="298"/>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5"/>
      <c r="AE115" s="302"/>
      <c r="AF115" s="302"/>
      <c r="AG115" s="295"/>
      <c r="AH115" s="295"/>
      <c r="AI115" s="302"/>
      <c r="AJ115" s="302"/>
      <c r="AK115" s="302"/>
      <c r="AL115" s="302"/>
      <c r="AM115" s="302"/>
      <c r="AN115" s="302"/>
      <c r="AO115" s="295"/>
      <c r="AP115" s="295"/>
      <c r="AQ115" s="302"/>
      <c r="AR115" s="302"/>
      <c r="AS115" s="295"/>
      <c r="AT115" s="295"/>
      <c r="AU115" s="295"/>
      <c r="AV115" s="295"/>
      <c r="AW115" s="295"/>
      <c r="AX115" s="295"/>
      <c r="AY115" s="295"/>
      <c r="AZ115" s="295"/>
      <c r="BA115" s="302"/>
      <c r="BB115" s="302"/>
      <c r="BC115" s="302"/>
      <c r="BD115" s="295"/>
      <c r="BE115" s="295"/>
      <c r="BF115" s="299"/>
      <c r="BG115" s="299"/>
      <c r="BH115" s="299"/>
      <c r="BI115" s="299"/>
      <c r="BJ115" s="299"/>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363</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318</v>
      </c>
      <c r="O4" s="75" t="s">
        <v>317</v>
      </c>
      <c r="P4" s="75" t="s">
        <v>445</v>
      </c>
      <c r="Q4" s="75" t="s">
        <v>446</v>
      </c>
      <c r="R4" s="75" t="s">
        <v>447</v>
      </c>
      <c r="S4" s="75" t="s">
        <v>448</v>
      </c>
      <c r="T4" s="39" t="s">
        <v>278</v>
      </c>
      <c r="U4" s="40" t="s">
        <v>279</v>
      </c>
      <c r="V4" s="41" t="s">
        <v>7</v>
      </c>
      <c r="W4" s="24" t="s">
        <v>2</v>
      </c>
      <c r="X4" s="24" t="s">
        <v>3</v>
      </c>
      <c r="Y4" s="75" t="s">
        <v>541</v>
      </c>
      <c r="Z4" s="75" t="s">
        <v>540</v>
      </c>
      <c r="AA4" s="26" t="s">
        <v>280</v>
      </c>
      <c r="AB4" s="24" t="s">
        <v>5</v>
      </c>
      <c r="AC4" s="75" t="s">
        <v>35</v>
      </c>
      <c r="AD4" s="24" t="s">
        <v>6</v>
      </c>
      <c r="AE4" s="24" t="s">
        <v>281</v>
      </c>
      <c r="AF4" s="24" t="s">
        <v>16</v>
      </c>
      <c r="AG4" s="24" t="s">
        <v>15</v>
      </c>
      <c r="AH4" s="24" t="s">
        <v>14</v>
      </c>
      <c r="AI4" s="25" t="s">
        <v>30</v>
      </c>
      <c r="AJ4" s="47" t="s">
        <v>10</v>
      </c>
      <c r="AK4" s="26" t="s">
        <v>21</v>
      </c>
      <c r="AL4" s="25" t="s">
        <v>22</v>
      </c>
      <c r="AQ4" s="102" t="s">
        <v>360</v>
      </c>
      <c r="AR4" s="102" t="s">
        <v>362</v>
      </c>
      <c r="AS4" s="102" t="s">
        <v>361</v>
      </c>
      <c r="AY4" s="102" t="s">
        <v>442</v>
      </c>
      <c r="AZ4" s="102" t="s">
        <v>443</v>
      </c>
      <c r="BA4" s="102" t="s">
        <v>444</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383</v>
      </c>
      <c r="BA5" s="103" t="s">
        <v>313</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368</v>
      </c>
      <c r="BA6" s="103" t="s">
        <v>313</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2122</v>
      </c>
      <c r="E7" s="38">
        <f>IF(LEFT(VLOOKUP($B7,'Indicator chart'!$D$1:$J$36,5,FALSE),1)=" "," ",VLOOKUP($B7,'Indicator chart'!$D$1:$J$36,5,FALSE))</f>
        <v>0.19757914338919927</v>
      </c>
      <c r="F7" s="38">
        <f>IF(LEFT(VLOOKUP($B7,'Indicator chart'!$D$1:$J$36,6,FALSE),1)=" "," ",VLOOKUP($B7,'Indicator chart'!$D$1:$J$36,6,FALSE))</f>
        <v>0.19015731714437759</v>
      </c>
      <c r="G7" s="38">
        <f>IF(LEFT(VLOOKUP($B7,'Indicator chart'!$D$1:$J$36,7,FALSE),1)=" "," ",VLOOKUP($B7,'Indicator chart'!$D$1:$J$36,7,FALSE))</f>
        <v>0.205217238638351</v>
      </c>
      <c r="H7" s="50">
        <f aca="true" t="shared" si="0" ref="H7:H31">IF(LEFT(F7,1)=" ",4,IF(AND(ABS(N7-E7)&gt;SQRT((E7-G7)^2+(N7-R7)^2),E7&lt;N7),1,IF(AND(ABS(N7-E7)&gt;SQRT((E7-F7)^2+(N7-S7)^2),E7&gt;N7),3,2)))</f>
        <v>3</v>
      </c>
      <c r="I7" s="38">
        <v>0.05714285746216774</v>
      </c>
      <c r="J7" s="38">
        <v>0.11683464795351028</v>
      </c>
      <c r="K7" s="38">
        <v>0.1501125693321228</v>
      </c>
      <c r="L7" s="38">
        <v>0.1741788387298584</v>
      </c>
      <c r="M7" s="38">
        <v>0.23101694881916046</v>
      </c>
      <c r="N7" s="80">
        <f>VLOOKUP('Hide - Control'!B$3,'All practice data'!A:CA,A7+29,FALSE)</f>
        <v>0.15030882591970526</v>
      </c>
      <c r="O7" s="80">
        <f>VLOOKUP('Hide - Control'!C$3,'All practice data'!A:CA,A7+29,FALSE)</f>
        <v>0.1599882305185145</v>
      </c>
      <c r="P7" s="38">
        <f>VLOOKUP('Hide - Control'!$B$4,'All practice data'!B:BC,A7+2,FALSE)</f>
        <v>44388</v>
      </c>
      <c r="Q7" s="38">
        <f>VLOOKUP('Hide - Control'!$B$4,'All practice data'!B:BC,3,FALSE)</f>
        <v>295312</v>
      </c>
      <c r="R7" s="38">
        <f>+((2*P7+1.96^2-1.96*SQRT(1.96^2+4*P7*(1-P7/Q7)))/(2*(Q7+1.96^2)))</f>
        <v>0.14902441854334156</v>
      </c>
      <c r="S7" s="38">
        <f>+((2*P7+1.96^2+1.96*SQRT(1.96^2+4*P7*(1-P7/Q7)))/(2*(Q7+1.96^2)))</f>
        <v>0.15160233117315589</v>
      </c>
      <c r="T7" s="53">
        <f>IF($C7=1,M7,I7)</f>
        <v>0.23101694881916046</v>
      </c>
      <c r="U7" s="51">
        <f aca="true" t="shared" si="1" ref="U7:U15">IF($C7=1,I7,M7)</f>
        <v>0.05714285746216774</v>
      </c>
      <c r="V7" s="7">
        <v>1</v>
      </c>
      <c r="W7" s="27">
        <f aca="true" t="shared" si="2" ref="W7:W31">IF((K7-I7)&gt;(M7-K7),I7,(K7-(M7-K7)))</f>
        <v>0.05714285746216774</v>
      </c>
      <c r="X7" s="27">
        <f aca="true" t="shared" si="3" ref="X7:X31">IF(W7=I7,K7+(K7-I7),M7)</f>
        <v>0.24308228120207787</v>
      </c>
      <c r="Y7" s="27">
        <f aca="true" t="shared" si="4" ref="Y7:Y31">IF(C7=1,W7,X7)</f>
        <v>0.05714285746216774</v>
      </c>
      <c r="Z7" s="27">
        <f aca="true" t="shared" si="5" ref="Z7:Z31">IF(C7=1,X7,W7)</f>
        <v>0.24308228120207787</v>
      </c>
      <c r="AA7" s="32">
        <f aca="true" t="shared" si="6" ref="AA7:AA31">IF(ISERROR(IF(C7=1,(I7-$Y7)/($Z7-$Y7),(U7-$Y7)/($Z7-$Y7))),"",IF(C7=1,(I7-$Y7)/($Z7-$Y7),(U7-$Y7)/($Z7-$Y7)))</f>
        <v>0</v>
      </c>
      <c r="AB7" s="33">
        <f aca="true" t="shared" si="7" ref="AB7:AB31">IF(ISERROR(IF(C7=1,(J7-$Y7)/($Z7-$Y7),(L7-$Y7)/($Z7-$Y7))),"",IF(C7=1,(J7-$Y7)/($Z7-$Y7),(L7-$Y7)/($Z7-$Y7)))</f>
        <v>0.32102815686273567</v>
      </c>
      <c r="AC7" s="33">
        <v>0.5</v>
      </c>
      <c r="AD7" s="33">
        <f aca="true" t="shared" si="8" ref="AD7:AD31">IF(ISERROR(IF(C7=1,(L7-$Y7)/($Z7-$Y7),(J7-$Y7)/($Z7-$Y7))),"",IF(C7=1,(L7-$Y7)/($Z7-$Y7),(J7-$Y7)/($Z7-$Y7)))</f>
        <v>0.6294306979858086</v>
      </c>
      <c r="AE7" s="33">
        <f aca="true" t="shared" si="9" ref="AE7:AE31">IF(ISERROR(IF(C7=1,(M7-$Y7)/($Z7-$Y7),(I7-$Y7)/($Z7-$Y7))),"",IF(C7=1,(M7-$Y7)/($Z7-$Y7),(I7-$Y7)/($Z7-$Y7)))</f>
        <v>0.9351114887836038</v>
      </c>
      <c r="AF7" s="33">
        <f aca="true" t="shared" si="10" ref="AF7:AF30">IF(E7=" ",-999,IF(H7=4,(E7-$Y7)/($Z7-$Y7),-999))</f>
        <v>-999</v>
      </c>
      <c r="AG7" s="33">
        <f aca="true" t="shared" si="11" ref="AG7:AG31">IF(E7=" ",-999,IF(H7=2,(E7-$Y7)/($Z7-$Y7),-999))</f>
        <v>-999</v>
      </c>
      <c r="AH7" s="33">
        <f aca="true" t="shared" si="12" ref="AH7:AH31">IF(E7=" ",-999,IF(MAX(AK7:AL7)&gt;-999,MAX(AK7:AL7),-999))</f>
        <v>0.755279773930418</v>
      </c>
      <c r="AI7" s="34">
        <f aca="true" t="shared" si="13" ref="AI7:AI31">IF(ISERROR((O7-$Y7)/($Z7-$Y7)),-999,(O7-$Y7)/($Z7-$Y7))</f>
        <v>0.5531122501498426</v>
      </c>
      <c r="AJ7" s="4">
        <v>2.7020512924389086</v>
      </c>
      <c r="AK7" s="32">
        <f aca="true" t="shared" si="14" ref="AK7:AK31">IF(H7=1,(E7-$Y7)/($Z7-$Y7),-999)</f>
        <v>-999</v>
      </c>
      <c r="AL7" s="34">
        <f aca="true" t="shared" si="15" ref="AL7:AL31">IF(H7=3,(E7-$Y7)/($Z7-$Y7),-999)</f>
        <v>0.755279773930418</v>
      </c>
      <c r="AQ7" s="103">
        <v>2</v>
      </c>
      <c r="AR7" s="103">
        <v>0.2422</v>
      </c>
      <c r="AS7" s="103">
        <v>7.2247</v>
      </c>
      <c r="AY7" s="103" t="s">
        <v>68</v>
      </c>
      <c r="AZ7" s="103" t="s">
        <v>367</v>
      </c>
      <c r="BA7" s="103" t="s">
        <v>313</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0.14</v>
      </c>
      <c r="F8" s="38">
        <f>IF(LEFT(VLOOKUP($B8,'Indicator chart'!$D$1:$J$36,6,FALSE),1)=" "," ",VLOOKUP($B8,'Indicator chart'!$D$1:$J$36,6,FALSE))</f>
        <v>0.13356616584544898</v>
      </c>
      <c r="G8" s="38">
        <f>IF(LEFT(VLOOKUP($B8,'Indicator chart'!$D$1:$J$36,7,FALSE),1)=" "," ",VLOOKUP($B8,'Indicator chart'!$D$1:$J$36,7,FALSE))</f>
        <v>0.14669127949886812</v>
      </c>
      <c r="H8" s="50">
        <f t="shared" si="0"/>
        <v>1</v>
      </c>
      <c r="I8" s="38">
        <v>0.05000000074505806</v>
      </c>
      <c r="J8" s="38">
        <v>0.11999999731779099</v>
      </c>
      <c r="K8" s="38">
        <v>0.17000000178813934</v>
      </c>
      <c r="L8" s="38">
        <v>0.2199999988079071</v>
      </c>
      <c r="M8" s="38">
        <v>0.28999999165534973</v>
      </c>
      <c r="N8" s="80">
        <f>VLOOKUP('Hide - Control'!B$3,'All practice data'!A:CA,A8+29,FALSE)</f>
        <v>0.1658069431651948</v>
      </c>
      <c r="O8" s="80">
        <f>VLOOKUP('Hide - Control'!C$3,'All practice data'!A:CA,A8+29,FALSE)</f>
        <v>0.15010930292554353</v>
      </c>
      <c r="P8" s="38">
        <f>VLOOKUP('Hide - Control'!$B$4,'All practice data'!B:BC,A8+2,FALSE)</f>
        <v>48964.780000000006</v>
      </c>
      <c r="Q8" s="38">
        <f>VLOOKUP('Hide - Control'!$B$4,'All practice data'!B:BC,3,FALSE)</f>
        <v>295312</v>
      </c>
      <c r="R8" s="38">
        <f>+((2*P8+1.96^2-1.96*SQRT(1.96^2+4*P8*(1-P8/Q8)))/(2*(Q8+1.96^2)))</f>
        <v>0.16446991730758295</v>
      </c>
      <c r="S8" s="38">
        <f>+((2*P8+1.96^2+1.96*SQRT(1.96^2+4*P8*(1-P8/Q8)))/(2*(Q8+1.96^2)))</f>
        <v>0.1671526636870697</v>
      </c>
      <c r="T8" s="53">
        <f aca="true" t="shared" si="16" ref="T8:T15">IF($C8=1,M8,I8)</f>
        <v>0.28999999165534973</v>
      </c>
      <c r="U8" s="51">
        <f t="shared" si="1"/>
        <v>0.05000000074505806</v>
      </c>
      <c r="V8" s="7"/>
      <c r="W8" s="27">
        <f t="shared" si="2"/>
        <v>0.05000000074505806</v>
      </c>
      <c r="X8" s="27">
        <f t="shared" si="3"/>
        <v>0.2900000028312206</v>
      </c>
      <c r="Y8" s="27">
        <f t="shared" si="4"/>
        <v>0.05000000074505806</v>
      </c>
      <c r="Z8" s="27">
        <f t="shared" si="5"/>
        <v>0.2900000028312206</v>
      </c>
      <c r="AA8" s="32">
        <f t="shared" si="6"/>
        <v>0</v>
      </c>
      <c r="AB8" s="33">
        <f t="shared" si="7"/>
        <v>0.29166664985112034</v>
      </c>
      <c r="AC8" s="33">
        <v>0.5</v>
      </c>
      <c r="AD8" s="33">
        <f t="shared" si="8"/>
        <v>0.7083333191047941</v>
      </c>
      <c r="AE8" s="33">
        <f t="shared" si="9"/>
        <v>0.9999999534338717</v>
      </c>
      <c r="AF8" s="33">
        <f t="shared" si="10"/>
        <v>-999</v>
      </c>
      <c r="AG8" s="33">
        <f t="shared" si="11"/>
        <v>-999</v>
      </c>
      <c r="AH8" s="33">
        <f t="shared" si="12"/>
        <v>0.37499999363596254</v>
      </c>
      <c r="AI8" s="34">
        <f t="shared" si="13"/>
        <v>0.4171220887929208</v>
      </c>
      <c r="AJ8" s="4">
        <v>3.778046717820832</v>
      </c>
      <c r="AK8" s="32">
        <f t="shared" si="14"/>
        <v>0.37499999363596254</v>
      </c>
      <c r="AL8" s="34">
        <f t="shared" si="15"/>
        <v>-999</v>
      </c>
      <c r="AQ8" s="103">
        <v>3</v>
      </c>
      <c r="AR8" s="103">
        <v>0.6187</v>
      </c>
      <c r="AS8" s="103">
        <v>8.7673</v>
      </c>
      <c r="AY8" s="103" t="s">
        <v>118</v>
      </c>
      <c r="AZ8" s="103" t="s">
        <v>119</v>
      </c>
      <c r="BA8" s="103" t="s">
        <v>313</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62</v>
      </c>
      <c r="E9" s="38">
        <f>IF(LEFT(VLOOKUP($B9,'Indicator chart'!$D$1:$J$36,5,FALSE),1)=" "," ",VLOOKUP($B9,'Indicator chart'!$D$1:$J$36,5,FALSE))</f>
        <v>577.2811918063314</v>
      </c>
      <c r="F9" s="38">
        <f>IF(LEFT(VLOOKUP($B9,'Indicator chart'!$D$1:$J$36,6,FALSE),1)=" "," ",VLOOKUP($B9,'Indicator chart'!$D$1:$J$36,6,FALSE))</f>
        <v>442.57258866079275</v>
      </c>
      <c r="G9" s="38">
        <f>IF(LEFT(VLOOKUP($B9,'Indicator chart'!$D$1:$J$36,7,FALSE),1)=" "," ",VLOOKUP($B9,'Indicator chart'!$D$1:$J$36,7,FALSE))</f>
        <v>740.0638258602454</v>
      </c>
      <c r="H9" s="50">
        <f t="shared" si="0"/>
        <v>2</v>
      </c>
      <c r="I9" s="38">
        <v>92.60600280761719</v>
      </c>
      <c r="J9" s="38">
        <v>329.1259460449219</v>
      </c>
      <c r="K9" s="38">
        <v>449.9437561035156</v>
      </c>
      <c r="L9" s="38">
        <v>533.3281860351562</v>
      </c>
      <c r="M9" s="38">
        <v>712.29736328125</v>
      </c>
      <c r="N9" s="80">
        <f>VLOOKUP('Hide - Control'!B$3,'All practice data'!A:CA,A9+29,FALSE)</f>
        <v>443.2600097523975</v>
      </c>
      <c r="O9" s="80">
        <f>VLOOKUP('Hide - Control'!C$3,'All practice data'!A:CA,A9+29,FALSE)</f>
        <v>445.6198871279627</v>
      </c>
      <c r="P9" s="38">
        <f>VLOOKUP('Hide - Control'!$B$4,'All practice data'!B:BC,A9+2,FALSE)</f>
        <v>1309</v>
      </c>
      <c r="Q9" s="38">
        <f>VLOOKUP('Hide - Control'!$B$4,'All practice data'!B:BC,3,FALSE)</f>
        <v>295312</v>
      </c>
      <c r="R9" s="38">
        <f>100000*(P9*(1-1/(9*P9)-1.96/(3*SQRT(P9)))^3)/Q9</f>
        <v>419.56928397477895</v>
      </c>
      <c r="S9" s="38">
        <f>100000*((P9+1)*(1-1/(9*(P9+1))+1.96/(3*SQRT(P9+1)))^3)/Q9</f>
        <v>467.93996808730964</v>
      </c>
      <c r="T9" s="53">
        <f t="shared" si="16"/>
        <v>712.29736328125</v>
      </c>
      <c r="U9" s="51">
        <f t="shared" si="1"/>
        <v>92.60600280761719</v>
      </c>
      <c r="V9" s="7"/>
      <c r="W9" s="27">
        <f t="shared" si="2"/>
        <v>92.60600280761719</v>
      </c>
      <c r="X9" s="27">
        <f t="shared" si="3"/>
        <v>807.2815093994141</v>
      </c>
      <c r="Y9" s="27">
        <f t="shared" si="4"/>
        <v>92.60600280761719</v>
      </c>
      <c r="Z9" s="27">
        <f t="shared" si="5"/>
        <v>807.2815093994141</v>
      </c>
      <c r="AA9" s="32">
        <f t="shared" si="6"/>
        <v>0</v>
      </c>
      <c r="AB9" s="33">
        <f t="shared" si="7"/>
        <v>0.3309473195258088</v>
      </c>
      <c r="AC9" s="33">
        <v>0.5</v>
      </c>
      <c r="AD9" s="33">
        <f t="shared" si="8"/>
        <v>0.6166745315357051</v>
      </c>
      <c r="AE9" s="33">
        <f t="shared" si="9"/>
        <v>0.867094723070709</v>
      </c>
      <c r="AF9" s="33">
        <f t="shared" si="10"/>
        <v>-999</v>
      </c>
      <c r="AG9" s="33">
        <f t="shared" si="11"/>
        <v>0.678175178144936</v>
      </c>
      <c r="AH9" s="33">
        <f t="shared" si="12"/>
        <v>-999</v>
      </c>
      <c r="AI9" s="34">
        <f t="shared" si="13"/>
        <v>0.4939498850377944</v>
      </c>
      <c r="AJ9" s="4">
        <v>4.854042143202755</v>
      </c>
      <c r="AK9" s="32">
        <f t="shared" si="14"/>
        <v>-999</v>
      </c>
      <c r="AL9" s="34">
        <f t="shared" si="15"/>
        <v>-999</v>
      </c>
      <c r="AQ9" s="103">
        <v>4</v>
      </c>
      <c r="AR9" s="103">
        <v>1.0899</v>
      </c>
      <c r="AS9" s="103">
        <v>10.2416</v>
      </c>
      <c r="AY9" s="103" t="s">
        <v>90</v>
      </c>
      <c r="AZ9" s="103" t="s">
        <v>377</v>
      </c>
      <c r="BA9" s="103" t="s">
        <v>313</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29</v>
      </c>
      <c r="E10" s="38">
        <f>IF(LEFT(VLOOKUP($B10,'Indicator chart'!$D$1:$J$36,5,FALSE),1)=" "," ",VLOOKUP($B10,'Indicator chart'!$D$1:$J$36,5,FALSE))</f>
        <v>270.0186219739292</v>
      </c>
      <c r="F10" s="38">
        <f>IF(LEFT(VLOOKUP($B10,'Indicator chart'!$D$1:$J$36,6,FALSE),1)=" "," ",VLOOKUP($B10,'Indicator chart'!$D$1:$J$36,6,FALSE))</f>
        <v>180.7968970695242</v>
      </c>
      <c r="G10" s="38">
        <f>IF(LEFT(VLOOKUP($B10,'Indicator chart'!$D$1:$J$36,7,FALSE),1)=" "," ",VLOOKUP($B10,'Indicator chart'!$D$1:$J$36,7,FALSE))</f>
        <v>387.8081311880175</v>
      </c>
      <c r="H10" s="50">
        <f t="shared" si="0"/>
        <v>2</v>
      </c>
      <c r="I10" s="38">
        <v>44.173431396484375</v>
      </c>
      <c r="J10" s="38">
        <v>153.55093383789062</v>
      </c>
      <c r="K10" s="38">
        <v>201.72381591796875</v>
      </c>
      <c r="L10" s="38">
        <v>230.82843017578125</v>
      </c>
      <c r="M10" s="38">
        <v>352.1126708984375</v>
      </c>
      <c r="N10" s="80">
        <f>VLOOKUP('Hide - Control'!B$3,'All practice data'!A:CA,A10+29,FALSE)</f>
        <v>208.25432085387658</v>
      </c>
      <c r="O10" s="80">
        <f>VLOOKUP('Hide - Control'!C$3,'All practice data'!A:CA,A10+29,FALSE)</f>
        <v>234.12259778895606</v>
      </c>
      <c r="P10" s="38">
        <f>VLOOKUP('Hide - Control'!$B$4,'All practice data'!B:BC,A10+2,FALSE)</f>
        <v>615</v>
      </c>
      <c r="Q10" s="38">
        <f>VLOOKUP('Hide - Control'!$B$4,'All practice data'!B:BC,3,FALSE)</f>
        <v>295312</v>
      </c>
      <c r="R10" s="38">
        <f>100000*(P10*(1-1/(9*P10)-1.96/(3*SQRT(P10)))^3)/Q10</f>
        <v>192.11780288447451</v>
      </c>
      <c r="S10" s="38">
        <f>100000*((P10+1)*(1-1/(9*(P10+1))+1.96/(3*SQRT(P10+1)))^3)/Q10</f>
        <v>225.38421684445854</v>
      </c>
      <c r="T10" s="53">
        <f t="shared" si="16"/>
        <v>352.1126708984375</v>
      </c>
      <c r="U10" s="51">
        <f t="shared" si="1"/>
        <v>44.173431396484375</v>
      </c>
      <c r="V10" s="7"/>
      <c r="W10" s="27">
        <f t="shared" si="2"/>
        <v>44.173431396484375</v>
      </c>
      <c r="X10" s="27">
        <f t="shared" si="3"/>
        <v>359.2742004394531</v>
      </c>
      <c r="Y10" s="27">
        <f t="shared" si="4"/>
        <v>44.173431396484375</v>
      </c>
      <c r="Z10" s="27">
        <f t="shared" si="5"/>
        <v>359.2742004394531</v>
      </c>
      <c r="AA10" s="32">
        <f t="shared" si="6"/>
        <v>0</v>
      </c>
      <c r="AB10" s="33">
        <f t="shared" si="7"/>
        <v>0.3471191224750422</v>
      </c>
      <c r="AC10" s="33">
        <v>0.5</v>
      </c>
      <c r="AD10" s="33">
        <f t="shared" si="8"/>
        <v>0.5923660527589625</v>
      </c>
      <c r="AE10" s="33">
        <f t="shared" si="9"/>
        <v>0.9772722562284859</v>
      </c>
      <c r="AF10" s="33">
        <f t="shared" si="10"/>
        <v>-999</v>
      </c>
      <c r="AG10" s="33">
        <f t="shared" si="11"/>
        <v>0.7167395727512409</v>
      </c>
      <c r="AH10" s="33">
        <f t="shared" si="12"/>
        <v>-999</v>
      </c>
      <c r="AI10" s="34">
        <f t="shared" si="13"/>
        <v>0.6028203833630417</v>
      </c>
      <c r="AJ10" s="4">
        <v>5.930037568584676</v>
      </c>
      <c r="AK10" s="32">
        <f t="shared" si="14"/>
        <v>-999</v>
      </c>
      <c r="AL10" s="34">
        <f t="shared" si="15"/>
        <v>-999</v>
      </c>
      <c r="AY10" s="103" t="s">
        <v>96</v>
      </c>
      <c r="AZ10" s="103" t="s">
        <v>97</v>
      </c>
      <c r="BA10" s="103" t="s">
        <v>494</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224</v>
      </c>
      <c r="E11" s="38">
        <f>IF(LEFT(VLOOKUP($B11,'Indicator chart'!$D$1:$J$36,5,FALSE),1)=" "," ",VLOOKUP($B11,'Indicator chart'!$D$1:$J$36,5,FALSE))</f>
        <v>0.021</v>
      </c>
      <c r="F11" s="38">
        <f>IF(LEFT(VLOOKUP($B11,'Indicator chart'!$D$1:$J$36,6,FALSE),1)=" "," ",VLOOKUP($B11,'Indicator chart'!$D$1:$J$36,6,FALSE))</f>
        <v>0.018320285479311634</v>
      </c>
      <c r="G11" s="38">
        <f>IF(LEFT(VLOOKUP($B11,'Indicator chart'!$D$1:$J$36,7,FALSE),1)=" "," ",VLOOKUP($B11,'Indicator chart'!$D$1:$J$36,7,FALSE))</f>
        <v>0.023735583996649365</v>
      </c>
      <c r="H11" s="50">
        <f t="shared" si="0"/>
        <v>3</v>
      </c>
      <c r="I11" s="38">
        <v>0.004000000189989805</v>
      </c>
      <c r="J11" s="38">
        <v>0.008500000461935997</v>
      </c>
      <c r="K11" s="38">
        <v>0.012000000104308128</v>
      </c>
      <c r="L11" s="38">
        <v>0.017000000923871994</v>
      </c>
      <c r="M11" s="38">
        <v>0.027000000700354576</v>
      </c>
      <c r="N11" s="80">
        <f>VLOOKUP('Hide - Control'!B$3,'All practice data'!A:CA,A11+29,FALSE)</f>
        <v>0.013257165303137022</v>
      </c>
      <c r="O11" s="80">
        <f>VLOOKUP('Hide - Control'!C$3,'All practice data'!A:CA,A11+29,FALSE)</f>
        <v>0.015940726342527432</v>
      </c>
      <c r="P11" s="38">
        <f>VLOOKUP('Hide - Control'!$B$4,'All practice data'!B:BC,A11+2,FALSE)</f>
        <v>3915</v>
      </c>
      <c r="Q11" s="38">
        <f>VLOOKUP('Hide - Control'!$B$4,'All practice data'!B:BC,3,FALSE)</f>
        <v>295312</v>
      </c>
      <c r="R11" s="80">
        <f aca="true" t="shared" si="17" ref="R11:R16">+((2*P11+1.96^2-1.96*SQRT(1.96^2+4*P11*(1-P11/Q11)))/(2*(Q11+1.96^2)))</f>
        <v>0.012850933213463225</v>
      </c>
      <c r="S11" s="80">
        <f aca="true" t="shared" si="18" ref="S11:S16">+((2*P11+1.96^2+1.96*SQRT(1.96^2+4*P11*(1-P11/Q11)))/(2*(Q11+1.96^2)))</f>
        <v>0.013676060927984825</v>
      </c>
      <c r="T11" s="53">
        <f t="shared" si="16"/>
        <v>0.027000000700354576</v>
      </c>
      <c r="U11" s="51">
        <f t="shared" si="1"/>
        <v>0.004000000189989805</v>
      </c>
      <c r="V11" s="7"/>
      <c r="W11" s="27">
        <f t="shared" si="2"/>
        <v>-0.0030000004917383194</v>
      </c>
      <c r="X11" s="27">
        <f t="shared" si="3"/>
        <v>0.027000000700354576</v>
      </c>
      <c r="Y11" s="27">
        <f t="shared" si="4"/>
        <v>-0.0030000004917383194</v>
      </c>
      <c r="Z11" s="27">
        <f t="shared" si="5"/>
        <v>0.027000000700354576</v>
      </c>
      <c r="AA11" s="32">
        <f t="shared" si="6"/>
        <v>0.23333334678576997</v>
      </c>
      <c r="AB11" s="33">
        <f t="shared" si="7"/>
        <v>0.3833333498901784</v>
      </c>
      <c r="AC11" s="33">
        <v>0.5</v>
      </c>
      <c r="AD11" s="33">
        <f t="shared" si="8"/>
        <v>0.666666687362723</v>
      </c>
      <c r="AE11" s="33">
        <f t="shared" si="9"/>
        <v>1</v>
      </c>
      <c r="AF11" s="33">
        <f t="shared" si="10"/>
        <v>-999</v>
      </c>
      <c r="AG11" s="33">
        <f t="shared" si="11"/>
        <v>-999</v>
      </c>
      <c r="AH11" s="33">
        <f t="shared" si="12"/>
        <v>0.7999999846021341</v>
      </c>
      <c r="AI11" s="34">
        <f t="shared" si="13"/>
        <v>0.6313575360542972</v>
      </c>
      <c r="AJ11" s="4">
        <v>7.0060329939666</v>
      </c>
      <c r="AK11" s="32">
        <f t="shared" si="14"/>
        <v>-999</v>
      </c>
      <c r="AL11" s="34">
        <f t="shared" si="15"/>
        <v>0.7999999846021341</v>
      </c>
      <c r="AY11" s="103" t="s">
        <v>214</v>
      </c>
      <c r="AZ11" s="103" t="s">
        <v>215</v>
      </c>
      <c r="BA11" s="103" t="s">
        <v>494</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1191</v>
      </c>
      <c r="E12" s="38">
        <f>IF(LEFT(VLOOKUP($B12,'Indicator chart'!$D$1:$J$36,5,FALSE),1)=" "," ",VLOOKUP($B12,'Indicator chart'!$D$1:$J$36,5,FALSE))</f>
        <v>0.838142</v>
      </c>
      <c r="F12" s="38">
        <f>IF(LEFT(VLOOKUP($B12,'Indicator chart'!$D$1:$J$36,6,FALSE),1)=" "," ",VLOOKUP($B12,'Indicator chart'!$D$1:$J$36,6,FALSE))</f>
        <v>0.8180838802216752</v>
      </c>
      <c r="G12" s="38">
        <f>IF(LEFT(VLOOKUP($B12,'Indicator chart'!$D$1:$J$36,7,FALSE),1)=" "," ",VLOOKUP($B12,'Indicator chart'!$D$1:$J$36,7,FALSE))</f>
        <v>0.856377056348397</v>
      </c>
      <c r="H12" s="50">
        <f t="shared" si="0"/>
        <v>3</v>
      </c>
      <c r="I12" s="38">
        <v>0.6267610192298889</v>
      </c>
      <c r="J12" s="38">
        <v>0.7174984812736511</v>
      </c>
      <c r="K12" s="38">
        <v>0.7675179839134216</v>
      </c>
      <c r="L12" s="38">
        <v>0.7900360226631165</v>
      </c>
      <c r="M12" s="38">
        <v>0.8412259817123413</v>
      </c>
      <c r="N12" s="80">
        <f>VLOOKUP('Hide - Control'!B$3,'All practice data'!A:CA,A12+29,FALSE)</f>
        <v>0.7669398554465668</v>
      </c>
      <c r="O12" s="80">
        <f>VLOOKUP('Hide - Control'!C$3,'All practice data'!A:CA,A12+29,FALSE)</f>
        <v>0.7248631360507991</v>
      </c>
      <c r="P12" s="38">
        <f>VLOOKUP('Hide - Control'!$B$4,'All practice data'!B:BC,A12+2,FALSE)</f>
        <v>23769</v>
      </c>
      <c r="Q12" s="38">
        <f>VLOOKUP('Hide - Control'!$B$4,'All practice data'!B:BJ,57,FALSE)</f>
        <v>30992</v>
      </c>
      <c r="R12" s="38">
        <f t="shared" si="17"/>
        <v>0.7621999277997161</v>
      </c>
      <c r="S12" s="38">
        <f t="shared" si="18"/>
        <v>0.7716136144659018</v>
      </c>
      <c r="T12" s="53">
        <f t="shared" si="16"/>
        <v>0.8412259817123413</v>
      </c>
      <c r="U12" s="51">
        <f t="shared" si="1"/>
        <v>0.6267610192298889</v>
      </c>
      <c r="V12" s="7"/>
      <c r="W12" s="27">
        <f t="shared" si="2"/>
        <v>0.6267610192298889</v>
      </c>
      <c r="X12" s="27">
        <f t="shared" si="3"/>
        <v>0.9082749485969543</v>
      </c>
      <c r="Y12" s="27">
        <f t="shared" si="4"/>
        <v>0.6267610192298889</v>
      </c>
      <c r="Z12" s="27">
        <f t="shared" si="5"/>
        <v>0.9082749485969543</v>
      </c>
      <c r="AA12" s="32">
        <f t="shared" si="6"/>
        <v>0</v>
      </c>
      <c r="AB12" s="33">
        <f t="shared" si="7"/>
        <v>0.32231961753284977</v>
      </c>
      <c r="AC12" s="33">
        <v>0.5</v>
      </c>
      <c r="AD12" s="33">
        <f t="shared" si="8"/>
        <v>0.5799890747868949</v>
      </c>
      <c r="AE12" s="33">
        <f t="shared" si="9"/>
        <v>0.7618271783731595</v>
      </c>
      <c r="AF12" s="33">
        <f t="shared" si="10"/>
        <v>-999</v>
      </c>
      <c r="AG12" s="33">
        <f t="shared" si="11"/>
        <v>-999</v>
      </c>
      <c r="AH12" s="33">
        <f t="shared" si="12"/>
        <v>0.7508721903934349</v>
      </c>
      <c r="AI12" s="34">
        <f t="shared" si="13"/>
        <v>0.34848050695564353</v>
      </c>
      <c r="AJ12" s="4">
        <v>8.082028419348523</v>
      </c>
      <c r="AK12" s="32">
        <f t="shared" si="14"/>
        <v>-999</v>
      </c>
      <c r="AL12" s="34">
        <f t="shared" si="15"/>
        <v>0.7508721903934349</v>
      </c>
      <c r="AY12" s="103" t="s">
        <v>261</v>
      </c>
      <c r="AZ12" s="103" t="s">
        <v>430</v>
      </c>
      <c r="BA12" s="103" t="s">
        <v>313</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418</v>
      </c>
      <c r="E13" s="38">
        <f>IF(LEFT(VLOOKUP($B13,'Indicator chart'!$D$1:$J$36,5,FALSE),1)=" "," ",VLOOKUP($B13,'Indicator chart'!$D$1:$J$36,5,FALSE))</f>
        <v>0.84787</v>
      </c>
      <c r="F13" s="38">
        <f>IF(LEFT(VLOOKUP($B13,'Indicator chart'!$D$1:$J$36,6,FALSE),1)=" "," ",VLOOKUP($B13,'Indicator chart'!$D$1:$J$36,6,FALSE))</f>
        <v>0.8134856022068345</v>
      </c>
      <c r="G13" s="38">
        <f>IF(LEFT(VLOOKUP($B13,'Indicator chart'!$D$1:$J$36,7,FALSE),1)=" "," ",VLOOKUP($B13,'Indicator chart'!$D$1:$J$36,7,FALSE))</f>
        <v>0.8768752693465942</v>
      </c>
      <c r="H13" s="50">
        <f t="shared" si="0"/>
        <v>3</v>
      </c>
      <c r="I13" s="38">
        <v>0.6653850078582764</v>
      </c>
      <c r="J13" s="38">
        <v>0.7527160048484802</v>
      </c>
      <c r="K13" s="38">
        <v>0.7735850214958191</v>
      </c>
      <c r="L13" s="38">
        <v>0.8287575244903564</v>
      </c>
      <c r="M13" s="38">
        <v>0.8974360227584839</v>
      </c>
      <c r="N13" s="80">
        <f>VLOOKUP('Hide - Control'!B$3,'All practice data'!A:CA,A13+29,FALSE)</f>
        <v>0.7975986277873071</v>
      </c>
      <c r="O13" s="80">
        <f>VLOOKUP('Hide - Control'!C$3,'All practice data'!A:CA,A13+29,FALSE)</f>
        <v>0.7467412166569077</v>
      </c>
      <c r="P13" s="38">
        <f>VLOOKUP('Hide - Control'!$B$4,'All practice data'!B:BC,A13+2,FALSE)</f>
        <v>7440</v>
      </c>
      <c r="Q13" s="38">
        <f>VLOOKUP('Hide - Control'!$B$4,'All practice data'!B:BJ,58,FALSE)</f>
        <v>9328</v>
      </c>
      <c r="R13" s="38">
        <f t="shared" si="17"/>
        <v>0.7893230619619322</v>
      </c>
      <c r="S13" s="38">
        <f t="shared" si="18"/>
        <v>0.8056291712607149</v>
      </c>
      <c r="T13" s="53">
        <f t="shared" si="16"/>
        <v>0.8974360227584839</v>
      </c>
      <c r="U13" s="51">
        <f t="shared" si="1"/>
        <v>0.6653850078582764</v>
      </c>
      <c r="V13" s="7"/>
      <c r="W13" s="27">
        <f t="shared" si="2"/>
        <v>0.6497340202331543</v>
      </c>
      <c r="X13" s="27">
        <f t="shared" si="3"/>
        <v>0.8974360227584839</v>
      </c>
      <c r="Y13" s="27">
        <f t="shared" si="4"/>
        <v>0.6497340202331543</v>
      </c>
      <c r="Z13" s="27">
        <f t="shared" si="5"/>
        <v>0.8974360227584839</v>
      </c>
      <c r="AA13" s="32">
        <f t="shared" si="6"/>
        <v>0.06318474402935692</v>
      </c>
      <c r="AB13" s="33">
        <f t="shared" si="7"/>
        <v>0.4157495036996932</v>
      </c>
      <c r="AC13" s="33">
        <v>0.5</v>
      </c>
      <c r="AD13" s="33">
        <f t="shared" si="8"/>
        <v>0.722737412019491</v>
      </c>
      <c r="AE13" s="33">
        <f t="shared" si="9"/>
        <v>1</v>
      </c>
      <c r="AF13" s="33">
        <f t="shared" si="10"/>
        <v>-999</v>
      </c>
      <c r="AG13" s="33">
        <f t="shared" si="11"/>
        <v>-999</v>
      </c>
      <c r="AH13" s="33">
        <f t="shared" si="12"/>
        <v>0.7998965601684414</v>
      </c>
      <c r="AI13" s="34">
        <f t="shared" si="13"/>
        <v>0.39162863212554627</v>
      </c>
      <c r="AJ13" s="4">
        <v>9.158023844730446</v>
      </c>
      <c r="AK13" s="32">
        <f t="shared" si="14"/>
        <v>-999</v>
      </c>
      <c r="AL13" s="34">
        <f t="shared" si="15"/>
        <v>0.7998965601684414</v>
      </c>
      <c r="AY13" s="103" t="s">
        <v>260</v>
      </c>
      <c r="AZ13" s="103" t="s">
        <v>429</v>
      </c>
      <c r="BA13" s="103" t="s">
        <v>313</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2081</v>
      </c>
      <c r="E14" s="38">
        <f>IF(LEFT(VLOOKUP($B14,'Indicator chart'!$D$1:$J$36,5,FALSE),1)=" "," ",VLOOKUP($B14,'Indicator chart'!$D$1:$J$36,5,FALSE))</f>
        <v>0.813208</v>
      </c>
      <c r="F14" s="38">
        <f>IF(LEFT(VLOOKUP($B14,'Indicator chart'!$D$1:$J$36,6,FALSE),1)=" "," ",VLOOKUP($B14,'Indicator chart'!$D$1:$J$36,6,FALSE))</f>
        <v>0.7976419940496452</v>
      </c>
      <c r="G14" s="38">
        <f>IF(LEFT(VLOOKUP($B14,'Indicator chart'!$D$1:$J$36,7,FALSE),1)=" "," ",VLOOKUP($B14,'Indicator chart'!$D$1:$J$36,7,FALSE))</f>
        <v>0.8278356008200493</v>
      </c>
      <c r="H14" s="50">
        <f t="shared" si="0"/>
        <v>3</v>
      </c>
      <c r="I14" s="38">
        <v>0.687237024307251</v>
      </c>
      <c r="J14" s="38">
        <v>0.7524365186691284</v>
      </c>
      <c r="K14" s="38">
        <v>0.7737780213356018</v>
      </c>
      <c r="L14" s="38">
        <v>0.8185359835624695</v>
      </c>
      <c r="M14" s="38">
        <v>0.8790810108184814</v>
      </c>
      <c r="N14" s="80">
        <f>VLOOKUP('Hide - Control'!B$3,'All practice data'!A:CA,A14+29,FALSE)</f>
        <v>0.7753056095053125</v>
      </c>
      <c r="O14" s="80">
        <f>VLOOKUP('Hide - Control'!C$3,'All practice data'!A:CA,A14+29,FALSE)</f>
        <v>0.7559681673907895</v>
      </c>
      <c r="P14" s="38">
        <f>VLOOKUP('Hide - Control'!$B$4,'All practice data'!B:BC,A14+2,FALSE)</f>
        <v>54290</v>
      </c>
      <c r="Q14" s="38">
        <f>VLOOKUP('Hide - Control'!$B$4,'All practice data'!B:BJ,59,FALSE)</f>
        <v>70024</v>
      </c>
      <c r="R14" s="38">
        <f t="shared" si="17"/>
        <v>0.7721990835393071</v>
      </c>
      <c r="S14" s="38">
        <f t="shared" si="18"/>
        <v>0.7783819299414797</v>
      </c>
      <c r="T14" s="53">
        <f t="shared" si="16"/>
        <v>0.8790810108184814</v>
      </c>
      <c r="U14" s="51">
        <f t="shared" si="1"/>
        <v>0.687237024307251</v>
      </c>
      <c r="V14" s="7"/>
      <c r="W14" s="27">
        <f t="shared" si="2"/>
        <v>0.6684750318527222</v>
      </c>
      <c r="X14" s="27">
        <f t="shared" si="3"/>
        <v>0.8790810108184814</v>
      </c>
      <c r="Y14" s="27">
        <f t="shared" si="4"/>
        <v>0.6684750318527222</v>
      </c>
      <c r="Z14" s="27">
        <f t="shared" si="5"/>
        <v>0.8790810108184814</v>
      </c>
      <c r="AA14" s="32">
        <f t="shared" si="6"/>
        <v>0.08908575410187747</v>
      </c>
      <c r="AB14" s="33">
        <f t="shared" si="7"/>
        <v>0.3986662070503557</v>
      </c>
      <c r="AC14" s="33">
        <v>0.5</v>
      </c>
      <c r="AD14" s="33">
        <f t="shared" si="8"/>
        <v>0.7125199030277507</v>
      </c>
      <c r="AE14" s="33">
        <f t="shared" si="9"/>
        <v>1</v>
      </c>
      <c r="AF14" s="33">
        <f t="shared" si="10"/>
        <v>-999</v>
      </c>
      <c r="AG14" s="33">
        <f t="shared" si="11"/>
        <v>-999</v>
      </c>
      <c r="AH14" s="33">
        <f t="shared" si="12"/>
        <v>0.6872215540035017</v>
      </c>
      <c r="AI14" s="34">
        <f t="shared" si="13"/>
        <v>0.4154351930924628</v>
      </c>
      <c r="AJ14" s="4">
        <v>10.234019270112368</v>
      </c>
      <c r="AK14" s="32">
        <f t="shared" si="14"/>
        <v>-999</v>
      </c>
      <c r="AL14" s="34">
        <f t="shared" si="15"/>
        <v>0.6872215540035017</v>
      </c>
      <c r="AY14" s="103" t="s">
        <v>53</v>
      </c>
      <c r="AZ14" s="103" t="s">
        <v>437</v>
      </c>
      <c r="BA14" s="103" t="s">
        <v>494</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834</v>
      </c>
      <c r="E15" s="38">
        <f>IF(LEFT(VLOOKUP($B15,'Indicator chart'!$D$1:$J$36,5,FALSE),1)=" "," ",VLOOKUP($B15,'Indicator chart'!$D$1:$J$36,5,FALSE))</f>
        <v>0.608759</v>
      </c>
      <c r="F15" s="38">
        <f>IF(LEFT(VLOOKUP($B15,'Indicator chart'!$D$1:$J$36,6,FALSE),1)=" "," ",VLOOKUP($B15,'Indicator chart'!$D$1:$J$36,6,FALSE))</f>
        <v>0.5826465077680311</v>
      </c>
      <c r="G15" s="38">
        <f>IF(LEFT(VLOOKUP($B15,'Indicator chart'!$D$1:$J$36,7,FALSE),1)=" "," ",VLOOKUP($B15,'Indicator chart'!$D$1:$J$36,7,FALSE))</f>
        <v>0.634263505729886</v>
      </c>
      <c r="H15" s="50">
        <f t="shared" si="0"/>
        <v>3</v>
      </c>
      <c r="I15" s="38">
        <v>0.2670449912548065</v>
      </c>
      <c r="J15" s="38">
        <v>0.4604929983615875</v>
      </c>
      <c r="K15" s="38">
        <v>0.5253620147705078</v>
      </c>
      <c r="L15" s="38">
        <v>0.5904080271720886</v>
      </c>
      <c r="M15" s="38">
        <v>0.6919130086898804</v>
      </c>
      <c r="N15" s="80">
        <f>VLOOKUP('Hide - Control'!B$3,'All practice data'!A:CA,A15+29,FALSE)</f>
        <v>0.5449332171893148</v>
      </c>
      <c r="O15" s="80">
        <f>VLOOKUP('Hide - Control'!C$3,'All practice data'!A:CA,A15+29,FALSE)</f>
        <v>0.5147293797466616</v>
      </c>
      <c r="P15" s="38">
        <f>VLOOKUP('Hide - Control'!$B$4,'All practice data'!B:BC,A15+2,FALSE)</f>
        <v>15014</v>
      </c>
      <c r="Q15" s="38">
        <f>VLOOKUP('Hide - Control'!$B$4,'All practice data'!B:BJ,60,FALSE)</f>
        <v>27552</v>
      </c>
      <c r="R15" s="38">
        <f t="shared" si="17"/>
        <v>0.5390472053400712</v>
      </c>
      <c r="S15" s="38">
        <f t="shared" si="18"/>
        <v>0.5508067006280919</v>
      </c>
      <c r="T15" s="53">
        <f t="shared" si="16"/>
        <v>0.6919130086898804</v>
      </c>
      <c r="U15" s="51">
        <f t="shared" si="1"/>
        <v>0.2670449912548065</v>
      </c>
      <c r="V15" s="7"/>
      <c r="W15" s="27">
        <f t="shared" si="2"/>
        <v>0.2670449912548065</v>
      </c>
      <c r="X15" s="27">
        <f t="shared" si="3"/>
        <v>0.7836790382862091</v>
      </c>
      <c r="Y15" s="27">
        <f t="shared" si="4"/>
        <v>0.2670449912548065</v>
      </c>
      <c r="Z15" s="27">
        <f t="shared" si="5"/>
        <v>0.7836790382862091</v>
      </c>
      <c r="AA15" s="32">
        <f t="shared" si="6"/>
        <v>0</v>
      </c>
      <c r="AB15" s="33">
        <f t="shared" si="7"/>
        <v>0.37443913775783855</v>
      </c>
      <c r="AC15" s="33">
        <v>0.5</v>
      </c>
      <c r="AD15" s="33">
        <f t="shared" si="8"/>
        <v>0.6259034567608106</v>
      </c>
      <c r="AE15" s="33">
        <f t="shared" si="9"/>
        <v>0.8223771156321974</v>
      </c>
      <c r="AF15" s="33">
        <f t="shared" si="10"/>
        <v>-999</v>
      </c>
      <c r="AG15" s="33">
        <f t="shared" si="11"/>
        <v>-999</v>
      </c>
      <c r="AH15" s="33">
        <f t="shared" si="12"/>
        <v>0.6614237112491796</v>
      </c>
      <c r="AI15" s="34">
        <f t="shared" si="13"/>
        <v>0.47941940705429353</v>
      </c>
      <c r="AJ15" s="4">
        <v>11.310014695494289</v>
      </c>
      <c r="AK15" s="32">
        <f t="shared" si="14"/>
        <v>-999</v>
      </c>
      <c r="AL15" s="34">
        <f t="shared" si="15"/>
        <v>0.6614237112491796</v>
      </c>
      <c r="AY15" s="103" t="s">
        <v>229</v>
      </c>
      <c r="AZ15" s="103" t="s">
        <v>230</v>
      </c>
      <c r="BA15" s="103" t="s">
        <v>313</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402</v>
      </c>
      <c r="E16" s="38">
        <f>IF(LEFT(VLOOKUP($B16,'Indicator chart'!$D$1:$J$36,5,FALSE),1)=" "," ",VLOOKUP($B16,'Indicator chart'!$D$1:$J$36,5,FALSE))</f>
        <v>0.657938</v>
      </c>
      <c r="F16" s="38">
        <f>IF(LEFT(VLOOKUP($B16,'Indicator chart'!$D$1:$J$36,6,FALSE),1)=" "," ",VLOOKUP($B16,'Indicator chart'!$D$1:$J$36,6,FALSE))</f>
        <v>0.6194390354206429</v>
      </c>
      <c r="G16" s="38">
        <f>IF(LEFT(VLOOKUP($B16,'Indicator chart'!$D$1:$J$36,7,FALSE),1)=" "," ",VLOOKUP($B16,'Indicator chart'!$D$1:$J$36,7,FALSE))</f>
        <v>0.6944629516927859</v>
      </c>
      <c r="H16" s="50">
        <f t="shared" si="0"/>
        <v>3</v>
      </c>
      <c r="I16" s="38">
        <v>0.3092780113220215</v>
      </c>
      <c r="J16" s="38">
        <v>0.4991750121116638</v>
      </c>
      <c r="K16" s="38">
        <v>0.5816140174865723</v>
      </c>
      <c r="L16" s="38">
        <v>0.6137930154800415</v>
      </c>
      <c r="M16" s="38">
        <v>0.719048023223877</v>
      </c>
      <c r="N16" s="80">
        <f>VLOOKUP('Hide - Control'!B$3,'All practice data'!A:CA,A16+29,FALSE)</f>
        <v>0.5807043899182106</v>
      </c>
      <c r="O16" s="80">
        <f>VLOOKUP('Hide - Control'!C$3,'All practice data'!A:CA,A16+29,FALSE)</f>
        <v>0.5752927626212945</v>
      </c>
      <c r="P16" s="38">
        <f>VLOOKUP('Hide - Control'!$B$4,'All practice data'!B:BC,A16+2,FALSE)</f>
        <v>6958</v>
      </c>
      <c r="Q16" s="38">
        <f>VLOOKUP('Hide - Control'!$B$4,'All practice data'!B:BJ,61,FALSE)</f>
        <v>11982</v>
      </c>
      <c r="R16" s="38">
        <f t="shared" si="17"/>
        <v>0.5718444422046616</v>
      </c>
      <c r="S16" s="38">
        <f t="shared" si="18"/>
        <v>0.5895126042625636</v>
      </c>
      <c r="T16" s="53">
        <f aca="true" t="shared" si="19" ref="T16:T31">IF($C16=1,M16,I16)</f>
        <v>0.719048023223877</v>
      </c>
      <c r="U16" s="51">
        <f aca="true" t="shared" si="20" ref="U16:U31">IF($C16=1,I16,M16)</f>
        <v>0.3092780113220215</v>
      </c>
      <c r="V16" s="7"/>
      <c r="W16" s="27">
        <f t="shared" si="2"/>
        <v>0.3092780113220215</v>
      </c>
      <c r="X16" s="27">
        <f t="shared" si="3"/>
        <v>0.853950023651123</v>
      </c>
      <c r="Y16" s="27">
        <f t="shared" si="4"/>
        <v>0.3092780113220215</v>
      </c>
      <c r="Z16" s="27">
        <f t="shared" si="5"/>
        <v>0.853950023651123</v>
      </c>
      <c r="AA16" s="32">
        <f t="shared" si="6"/>
        <v>0</v>
      </c>
      <c r="AB16" s="33">
        <f t="shared" si="7"/>
        <v>0.3486446824715914</v>
      </c>
      <c r="AC16" s="33">
        <v>0.5</v>
      </c>
      <c r="AD16" s="33">
        <f t="shared" si="8"/>
        <v>0.5590795878346436</v>
      </c>
      <c r="AE16" s="33">
        <f t="shared" si="9"/>
        <v>0.7523243394673716</v>
      </c>
      <c r="AF16" s="33">
        <f t="shared" si="10"/>
        <v>-999</v>
      </c>
      <c r="AG16" s="33">
        <f t="shared" si="11"/>
        <v>-999</v>
      </c>
      <c r="AH16" s="33">
        <f t="shared" si="12"/>
        <v>0.6401283355593298</v>
      </c>
      <c r="AI16" s="34">
        <f t="shared" si="13"/>
        <v>0.4883943828171983</v>
      </c>
      <c r="AJ16" s="4">
        <v>12.386010120876215</v>
      </c>
      <c r="AK16" s="32">
        <f t="shared" si="14"/>
        <v>-999</v>
      </c>
      <c r="AL16" s="34">
        <f t="shared" si="15"/>
        <v>0.6401283355593298</v>
      </c>
      <c r="AY16" s="103" t="s">
        <v>312</v>
      </c>
      <c r="AZ16" s="103" t="s">
        <v>332</v>
      </c>
      <c r="BA16" s="103" t="s">
        <v>494</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255</v>
      </c>
      <c r="E17" s="38">
        <f>IF(LEFT(VLOOKUP($B17,'Indicator chart'!$D$1:$J$36,5,FALSE),1)=" "," ",VLOOKUP($B17,'Indicator chart'!$D$1:$J$36,5,FALSE))</f>
        <v>2374.3016759776538</v>
      </c>
      <c r="F17" s="38">
        <f>IF(LEFT(VLOOKUP($B17,'Indicator chart'!$D$1:$J$36,6,FALSE),1)=" "," ",VLOOKUP($B17,'Indicator chart'!$D$1:$J$36,6,FALSE))</f>
        <v>2091.7868078973665</v>
      </c>
      <c r="G17" s="38">
        <f>IF(LEFT(VLOOKUP($B17,'Indicator chart'!$D$1:$J$36,7,FALSE),1)=" "," ",VLOOKUP($B17,'Indicator chart'!$D$1:$J$36,7,FALSE))</f>
        <v>2684.329627884705</v>
      </c>
      <c r="H17" s="50">
        <f t="shared" si="0"/>
        <v>3</v>
      </c>
      <c r="I17" s="38">
        <v>607.2315673828125</v>
      </c>
      <c r="J17" s="38">
        <v>1135.5032958984375</v>
      </c>
      <c r="K17" s="38">
        <v>1579.9256591796875</v>
      </c>
      <c r="L17" s="38">
        <v>1994.2933349609375</v>
      </c>
      <c r="M17" s="38">
        <v>2677.255615234375</v>
      </c>
      <c r="N17" s="80">
        <f>VLOOKUP('Hide - Control'!B$3,'All practice data'!A:CA,A17+29,FALSE)</f>
        <v>1673.1456899821205</v>
      </c>
      <c r="O17" s="80">
        <f>VLOOKUP('Hide - Control'!C$3,'All practice data'!A:CA,A17+29,FALSE)</f>
        <v>1812.1669120472948</v>
      </c>
      <c r="P17" s="38">
        <f>VLOOKUP('Hide - Control'!$B$4,'All practice data'!B:BC,A17+2,FALSE)</f>
        <v>4941</v>
      </c>
      <c r="Q17" s="38">
        <f>VLOOKUP('Hide - Control'!$B$4,'All practice data'!B:BC,3,FALSE)</f>
        <v>295312</v>
      </c>
      <c r="R17" s="38">
        <f>100000*(P17*(1-1/(9*P17)-1.96/(3*SQRT(P17)))^3)/Q17</f>
        <v>1626.8138793485066</v>
      </c>
      <c r="S17" s="38">
        <f>100000*((P17+1)*(1-1/(9*(P17+1))+1.96/(3*SQRT(P17+1)))^3)/Q17</f>
        <v>1720.4623230128916</v>
      </c>
      <c r="T17" s="53">
        <f t="shared" si="19"/>
        <v>2677.255615234375</v>
      </c>
      <c r="U17" s="51">
        <f t="shared" si="20"/>
        <v>607.2315673828125</v>
      </c>
      <c r="V17" s="7"/>
      <c r="W17" s="27">
        <f t="shared" si="2"/>
        <v>482.595703125</v>
      </c>
      <c r="X17" s="27">
        <f t="shared" si="3"/>
        <v>2677.255615234375</v>
      </c>
      <c r="Y17" s="27">
        <f t="shared" si="4"/>
        <v>482.595703125</v>
      </c>
      <c r="Z17" s="27">
        <f t="shared" si="5"/>
        <v>2677.255615234375</v>
      </c>
      <c r="AA17" s="32">
        <f t="shared" si="6"/>
        <v>0.0567905139061022</v>
      </c>
      <c r="AB17" s="33">
        <f t="shared" si="7"/>
        <v>0.29749829992834836</v>
      </c>
      <c r="AC17" s="33">
        <v>0.5</v>
      </c>
      <c r="AD17" s="33">
        <f t="shared" si="8"/>
        <v>0.6888072377387094</v>
      </c>
      <c r="AE17" s="33">
        <f t="shared" si="9"/>
        <v>1</v>
      </c>
      <c r="AF17" s="33">
        <f t="shared" si="10"/>
        <v>-999</v>
      </c>
      <c r="AG17" s="33">
        <f t="shared" si="11"/>
        <v>-999</v>
      </c>
      <c r="AH17" s="33">
        <f t="shared" si="12"/>
        <v>0.8619585943201832</v>
      </c>
      <c r="AI17" s="34">
        <f t="shared" si="13"/>
        <v>0.6058210666655823</v>
      </c>
      <c r="AJ17" s="4">
        <v>13.462005546258133</v>
      </c>
      <c r="AK17" s="32">
        <f t="shared" si="14"/>
        <v>-999</v>
      </c>
      <c r="AL17" s="34">
        <f t="shared" si="15"/>
        <v>0.8619585943201832</v>
      </c>
      <c r="AY17" s="103" t="s">
        <v>103</v>
      </c>
      <c r="AZ17" s="103" t="s">
        <v>104</v>
      </c>
      <c r="BA17" s="103" t="s">
        <v>313</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255</v>
      </c>
      <c r="E18" s="80">
        <f>IF(LEFT(VLOOKUP($B18,'Indicator chart'!$D$1:$J$36,5,FALSE),1)=" "," ",VLOOKUP($B18,'Indicator chart'!$D$1:$J$36,5,FALSE))</f>
        <v>1.162396088</v>
      </c>
      <c r="F18" s="81">
        <f>IF(LEFT(VLOOKUP($B18,'Indicator chart'!$D$1:$J$36,6,FALSE),1)=" "," ",VLOOKUP($B18,'Indicator chart'!$D$1:$J$36,6,FALSE))</f>
        <v>1.024091568</v>
      </c>
      <c r="G18" s="38">
        <f>IF(LEFT(VLOOKUP($B18,'Indicator chart'!$D$1:$J$36,7,FALSE),1)=" "," ",VLOOKUP($B18,'Indicator chart'!$D$1:$J$36,7,FALSE))</f>
        <v>1.314171143</v>
      </c>
      <c r="H18" s="50">
        <f>IF(LEFT(F18,1)=" ",4,IF(AND(ABS(N18-E18)&gt;SQRT((E18-G18)^2+(N18-R18)^2),E18&lt;N18),1,IF(AND(ABS(N18-E18)&gt;SQRT((E18-F18)^2+(N18-S18)^2),E18&gt;N18),3,2)))</f>
        <v>3</v>
      </c>
      <c r="I18" s="38">
        <v>0.4707377552986145</v>
      </c>
      <c r="J18" s="38"/>
      <c r="K18" s="38">
        <v>1</v>
      </c>
      <c r="L18" s="38"/>
      <c r="M18" s="38">
        <v>1.4580060243606567</v>
      </c>
      <c r="N18" s="80">
        <v>1</v>
      </c>
      <c r="O18" s="80">
        <f>VLOOKUP('Hide - Control'!C$3,'All practice data'!A:CA,A18+29,FALSE)</f>
        <v>1</v>
      </c>
      <c r="P18" s="38">
        <f>VLOOKUP('Hide - Control'!$B$4,'All practice data'!B:BC,A18+2,FALSE)</f>
        <v>4941</v>
      </c>
      <c r="Q18" s="38">
        <f>VLOOKUP('Hide - Control'!$B$4,'All practice data'!B:BC,14,FALSE)</f>
        <v>4941</v>
      </c>
      <c r="R18" s="81">
        <v>1</v>
      </c>
      <c r="S18" s="38">
        <v>1</v>
      </c>
      <c r="T18" s="53">
        <f t="shared" si="19"/>
        <v>1.4580060243606567</v>
      </c>
      <c r="U18" s="51">
        <f t="shared" si="20"/>
        <v>0.4707377552986145</v>
      </c>
      <c r="V18" s="7"/>
      <c r="W18" s="27">
        <f>IF((K18-I18)&gt;(M18-K18),I18,(K18-(M18-K18)))</f>
        <v>0.4707377552986145</v>
      </c>
      <c r="X18" s="27">
        <f t="shared" si="3"/>
        <v>1.5292622447013855</v>
      </c>
      <c r="Y18" s="27">
        <f t="shared" si="4"/>
        <v>0.4707377552986145</v>
      </c>
      <c r="Z18" s="27">
        <f t="shared" si="5"/>
        <v>1.5292622447013855</v>
      </c>
      <c r="AA18" s="32" t="s">
        <v>313</v>
      </c>
      <c r="AB18" s="33" t="s">
        <v>313</v>
      </c>
      <c r="AC18" s="33">
        <v>0.5</v>
      </c>
      <c r="AD18" s="33" t="s">
        <v>313</v>
      </c>
      <c r="AE18" s="33" t="s">
        <v>313</v>
      </c>
      <c r="AF18" s="33">
        <f t="shared" si="10"/>
        <v>-999</v>
      </c>
      <c r="AG18" s="33">
        <f t="shared" si="11"/>
        <v>-999</v>
      </c>
      <c r="AH18" s="33">
        <f t="shared" si="12"/>
        <v>0.6534174122807733</v>
      </c>
      <c r="AI18" s="34">
        <v>0.5</v>
      </c>
      <c r="AJ18" s="4">
        <v>14.538000971640056</v>
      </c>
      <c r="AK18" s="32">
        <f t="shared" si="14"/>
        <v>-999</v>
      </c>
      <c r="AL18" s="34">
        <f t="shared" si="15"/>
        <v>0.6534174122807733</v>
      </c>
      <c r="AY18" s="103" t="s">
        <v>105</v>
      </c>
      <c r="AZ18" s="103" t="s">
        <v>106</v>
      </c>
      <c r="BA18" s="103" t="s">
        <v>313</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29</v>
      </c>
      <c r="E19" s="38">
        <f>IF(LEFT(VLOOKUP($B19,'Indicator chart'!$D$1:$J$36,5,FALSE),1)=" "," ",VLOOKUP($B19,'Indicator chart'!$D$1:$J$36,5,FALSE))</f>
        <v>0.11372549019607843</v>
      </c>
      <c r="F19" s="38">
        <f>IF(LEFT(VLOOKUP($B19,'Indicator chart'!$D$1:$J$36,6,FALSE),1)=" "," ",VLOOKUP($B19,'Indicator chart'!$D$1:$J$36,6,FALSE))</f>
        <v>0.08035887859147088</v>
      </c>
      <c r="G19" s="38">
        <f>IF(LEFT(VLOOKUP($B19,'Indicator chart'!$D$1:$J$36,7,FALSE),1)=" "," ",VLOOKUP($B19,'Indicator chart'!$D$1:$J$36,7,FALSE))</f>
        <v>0.15855789521923036</v>
      </c>
      <c r="H19" s="50">
        <f t="shared" si="0"/>
        <v>2</v>
      </c>
      <c r="I19" s="38">
        <v>0.02070442959666252</v>
      </c>
      <c r="J19" s="38">
        <v>0.08718233555555344</v>
      </c>
      <c r="K19" s="38">
        <v>0.12222222238779068</v>
      </c>
      <c r="L19" s="38">
        <v>0.15764904022216797</v>
      </c>
      <c r="M19" s="38">
        <v>0.3333333432674408</v>
      </c>
      <c r="N19" s="80">
        <f>VLOOKUP('Hide - Control'!B$3,'All practice data'!A:CA,A19+29,FALSE)</f>
        <v>0.12001619105444242</v>
      </c>
      <c r="O19" s="80">
        <f>VLOOKUP('Hide - Control'!C$3,'All practice data'!A:CA,A19+29,FALSE)</f>
        <v>0.10919341638628717</v>
      </c>
      <c r="P19" s="38">
        <f>VLOOKUP('Hide - Control'!$B$4,'All practice data'!B:BC,A19+2,FALSE)</f>
        <v>593</v>
      </c>
      <c r="Q19" s="38">
        <f>VLOOKUP('Hide - Control'!$B$4,'All practice data'!B:BC,15,FALSE)</f>
        <v>4941</v>
      </c>
      <c r="R19" s="38">
        <f>+((2*P19+1.96^2-1.96*SQRT(1.96^2+4*P19*(1-P19/Q19)))/(2*(Q19+1.96^2)))</f>
        <v>0.11124848709044369</v>
      </c>
      <c r="S19" s="38">
        <f>+((2*P19+1.96^2+1.96*SQRT(1.96^2+4*P19*(1-P19/Q19)))/(2*(Q19+1.96^2)))</f>
        <v>0.12937430656992352</v>
      </c>
      <c r="T19" s="53">
        <f t="shared" si="19"/>
        <v>0.3333333432674408</v>
      </c>
      <c r="U19" s="51">
        <f t="shared" si="20"/>
        <v>0.02070442959666252</v>
      </c>
      <c r="V19" s="7"/>
      <c r="W19" s="27">
        <f t="shared" si="2"/>
        <v>-0.08888889849185944</v>
      </c>
      <c r="X19" s="27">
        <f t="shared" si="3"/>
        <v>0.3333333432674408</v>
      </c>
      <c r="Y19" s="27">
        <f t="shared" si="4"/>
        <v>-0.08888889849185944</v>
      </c>
      <c r="Z19" s="27">
        <f t="shared" si="5"/>
        <v>0.3333333432674408</v>
      </c>
      <c r="AA19" s="32">
        <f t="shared" si="6"/>
        <v>0.25956313346230286</v>
      </c>
      <c r="AB19" s="33">
        <f t="shared" si="7"/>
        <v>0.4170107981847798</v>
      </c>
      <c r="AC19" s="33">
        <v>0.5</v>
      </c>
      <c r="AD19" s="33">
        <f t="shared" si="8"/>
        <v>0.5839056173042001</v>
      </c>
      <c r="AE19" s="33">
        <f t="shared" si="9"/>
        <v>1</v>
      </c>
      <c r="AF19" s="33">
        <f t="shared" si="10"/>
        <v>-999</v>
      </c>
      <c r="AG19" s="33">
        <f t="shared" si="11"/>
        <v>0.479876161529747</v>
      </c>
      <c r="AH19" s="33">
        <f t="shared" si="12"/>
        <v>-999</v>
      </c>
      <c r="AI19" s="34">
        <f t="shared" si="13"/>
        <v>0.46914230300323456</v>
      </c>
      <c r="AJ19" s="4">
        <v>15.61399639702198</v>
      </c>
      <c r="AK19" s="32">
        <f t="shared" si="14"/>
        <v>-999</v>
      </c>
      <c r="AL19" s="34">
        <f t="shared" si="15"/>
        <v>-999</v>
      </c>
      <c r="AY19" s="103" t="s">
        <v>270</v>
      </c>
      <c r="AZ19" s="103" t="s">
        <v>433</v>
      </c>
      <c r="BA19" s="103" t="s">
        <v>313</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68</v>
      </c>
      <c r="E20" s="38">
        <f>IF(LEFT(VLOOKUP($B20,'Indicator chart'!$D$1:$J$36,5,FALSE),1)=" "," ",VLOOKUP($B20,'Indicator chart'!$D$1:$J$36,5,FALSE))</f>
        <v>0.4264705882352941</v>
      </c>
      <c r="F20" s="38">
        <f>IF(LEFT(VLOOKUP($B20,'Indicator chart'!$D$1:$J$36,6,FALSE),1)=" "," ",VLOOKUP($B20,'Indicator chart'!$D$1:$J$36,6,FALSE))</f>
        <v>0.31597057562082875</v>
      </c>
      <c r="G20" s="38">
        <f>IF(LEFT(VLOOKUP($B20,'Indicator chart'!$D$1:$J$36,7,FALSE),1)=" "," ",VLOOKUP($B20,'Indicator chart'!$D$1:$J$36,7,FALSE))</f>
        <v>0.5448343062303549</v>
      </c>
      <c r="H20" s="50">
        <f t="shared" si="0"/>
        <v>2</v>
      </c>
      <c r="I20" s="38">
        <v>0.09238772839307785</v>
      </c>
      <c r="J20" s="38">
        <v>0.3935883641242981</v>
      </c>
      <c r="K20" s="38">
        <v>0.4390243887901306</v>
      </c>
      <c r="L20" s="38">
        <v>0.5131579041481018</v>
      </c>
      <c r="M20" s="38">
        <v>0.6666666865348816</v>
      </c>
      <c r="N20" s="80">
        <f>VLOOKUP('Hide - Control'!B$3,'All practice data'!A:CA,A20+29,FALSE)</f>
        <v>0.4575617283950617</v>
      </c>
      <c r="O20" s="80">
        <f>VLOOKUP('Hide - Control'!C$3,'All practice data'!A:CA,A20+29,FALSE)</f>
        <v>0.4534552930810221</v>
      </c>
      <c r="P20" s="38">
        <f>VLOOKUP('Hide - Control'!$B$4,'All practice data'!B:BC,A20+1,FALSE)</f>
        <v>593</v>
      </c>
      <c r="Q20" s="38">
        <f>VLOOKUP('Hide - Control'!$B$4,'All practice data'!B:BC,A20+2,FALSE)</f>
        <v>1296</v>
      </c>
      <c r="R20" s="38">
        <f>+((2*P20+1.96^2-1.96*SQRT(1.96^2+4*P20*(1-P20/Q20)))/(2*(Q20+1.96^2)))</f>
        <v>0.43060298273694136</v>
      </c>
      <c r="S20" s="38">
        <f>+((2*P20+1.96^2+1.96*SQRT(1.96^2+4*P20*(1-P20/Q20)))/(2*(Q20+1.96^2)))</f>
        <v>0.48477132133210826</v>
      </c>
      <c r="T20" s="53">
        <f t="shared" si="19"/>
        <v>0.6666666865348816</v>
      </c>
      <c r="U20" s="51">
        <f t="shared" si="20"/>
        <v>0.09238772839307785</v>
      </c>
      <c r="V20" s="7"/>
      <c r="W20" s="27">
        <f t="shared" si="2"/>
        <v>0.09238772839307785</v>
      </c>
      <c r="X20" s="27">
        <f t="shared" si="3"/>
        <v>0.7856610491871834</v>
      </c>
      <c r="Y20" s="27">
        <f t="shared" si="4"/>
        <v>0.09238772839307785</v>
      </c>
      <c r="Z20" s="27">
        <f t="shared" si="5"/>
        <v>0.7856610491871834</v>
      </c>
      <c r="AA20" s="32">
        <f t="shared" si="6"/>
        <v>0</v>
      </c>
      <c r="AB20" s="33">
        <f t="shared" si="7"/>
        <v>0.434461599338933</v>
      </c>
      <c r="AC20" s="33">
        <v>0.5</v>
      </c>
      <c r="AD20" s="33">
        <f t="shared" si="8"/>
        <v>0.6069325951748085</v>
      </c>
      <c r="AE20" s="33">
        <f t="shared" si="9"/>
        <v>0.8283586587235169</v>
      </c>
      <c r="AF20" s="33">
        <f t="shared" si="10"/>
        <v>-999</v>
      </c>
      <c r="AG20" s="33">
        <f t="shared" si="11"/>
        <v>0.4818919895252036</v>
      </c>
      <c r="AH20" s="33">
        <f t="shared" si="12"/>
        <v>-999</v>
      </c>
      <c r="AI20" s="34">
        <f t="shared" si="13"/>
        <v>0.5208156059926866</v>
      </c>
      <c r="AJ20" s="4">
        <v>16.689991822403904</v>
      </c>
      <c r="AK20" s="32">
        <f t="shared" si="14"/>
        <v>-999</v>
      </c>
      <c r="AL20" s="34">
        <f t="shared" si="15"/>
        <v>-999</v>
      </c>
      <c r="AY20" s="103" t="s">
        <v>211</v>
      </c>
      <c r="AZ20" s="103" t="s">
        <v>414</v>
      </c>
      <c r="BA20" s="103" t="s">
        <v>313</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37</v>
      </c>
      <c r="E21" s="38">
        <f>IF(LEFT(VLOOKUP($B21,'Indicator chart'!$D$1:$J$36,5,FALSE),1)=" "," ",VLOOKUP($B21,'Indicator chart'!$D$1:$J$36,5,FALSE))</f>
        <v>344.5065176908752</v>
      </c>
      <c r="F21" s="38">
        <f>IF(LEFT(VLOOKUP($B21,'Indicator chart'!$D$1:$J$36,6,FALSE),1)=" "," ",VLOOKUP($B21,'Indicator chart'!$D$1:$J$36,6,FALSE))</f>
        <v>242.53064381644654</v>
      </c>
      <c r="G21" s="38">
        <f>IF(LEFT(VLOOKUP($B21,'Indicator chart'!$D$1:$J$36,7,FALSE),1)=" "," ",VLOOKUP($B21,'Indicator chart'!$D$1:$J$36,7,FALSE))</f>
        <v>474.87306077272825</v>
      </c>
      <c r="H21" s="50">
        <f t="shared" si="0"/>
        <v>2</v>
      </c>
      <c r="I21" s="38">
        <v>61.46357345581055</v>
      </c>
      <c r="J21" s="38">
        <v>199.1195068359375</v>
      </c>
      <c r="K21" s="38">
        <v>278.7403869628906</v>
      </c>
      <c r="L21" s="38">
        <v>346.91912841796875</v>
      </c>
      <c r="M21" s="38">
        <v>467.6643371582031</v>
      </c>
      <c r="N21" s="80">
        <f>VLOOKUP('Hide - Control'!B$3,'All practice data'!A:CA,A21+29,FALSE)</f>
        <v>283.76767622040416</v>
      </c>
      <c r="O21" s="80">
        <f>VLOOKUP('Hide - Control'!C$3,'All practice data'!A:CA,A21+29,FALSE)</f>
        <v>377.7293140102421</v>
      </c>
      <c r="P21" s="38">
        <f>VLOOKUP('Hide - Control'!$B$4,'All practice data'!B:BC,A21+2,FALSE)</f>
        <v>838</v>
      </c>
      <c r="Q21" s="38">
        <f>VLOOKUP('Hide - Control'!$B$4,'All practice data'!B:BC,3,FALSE)</f>
        <v>295312</v>
      </c>
      <c r="R21" s="38">
        <f aca="true" t="shared" si="21" ref="R21:R27">100000*(P21*(1-1/(9*P21)-1.96/(3*SQRT(P21)))^3)/Q21</f>
        <v>264.87713193028236</v>
      </c>
      <c r="S21" s="38">
        <f aca="true" t="shared" si="22" ref="S21:S27">100000*((P21+1)*(1-1/(9*(P21+1))+1.96/(3*SQRT(P21+1)))^3)/Q21</f>
        <v>303.64971277473506</v>
      </c>
      <c r="T21" s="53">
        <f t="shared" si="19"/>
        <v>467.6643371582031</v>
      </c>
      <c r="U21" s="51">
        <f t="shared" si="20"/>
        <v>61.46357345581055</v>
      </c>
      <c r="V21" s="7"/>
      <c r="W21" s="27">
        <f t="shared" si="2"/>
        <v>61.46357345581055</v>
      </c>
      <c r="X21" s="27">
        <f t="shared" si="3"/>
        <v>496.0172004699707</v>
      </c>
      <c r="Y21" s="27">
        <f t="shared" si="4"/>
        <v>61.46357345581055</v>
      </c>
      <c r="Z21" s="27">
        <f t="shared" si="5"/>
        <v>496.0172004699707</v>
      </c>
      <c r="AA21" s="32">
        <f t="shared" si="6"/>
        <v>0</v>
      </c>
      <c r="AB21" s="33">
        <f t="shared" si="7"/>
        <v>0.316775479072555</v>
      </c>
      <c r="AC21" s="33">
        <v>0.5</v>
      </c>
      <c r="AD21" s="33">
        <f t="shared" si="8"/>
        <v>0.6568937346663924</v>
      </c>
      <c r="AE21" s="33">
        <f t="shared" si="9"/>
        <v>0.9347540520911504</v>
      </c>
      <c r="AF21" s="33">
        <f t="shared" si="10"/>
        <v>-999</v>
      </c>
      <c r="AG21" s="33">
        <f t="shared" si="11"/>
        <v>0.6513418060271801</v>
      </c>
      <c r="AH21" s="33">
        <f t="shared" si="12"/>
        <v>-999</v>
      </c>
      <c r="AI21" s="34">
        <f t="shared" si="13"/>
        <v>0.7277945019755314</v>
      </c>
      <c r="AJ21" s="4">
        <v>17.765987247785823</v>
      </c>
      <c r="AK21" s="32">
        <f t="shared" si="14"/>
        <v>-999</v>
      </c>
      <c r="AL21" s="34">
        <f t="shared" si="15"/>
        <v>-999</v>
      </c>
      <c r="AY21" s="103" t="s">
        <v>123</v>
      </c>
      <c r="AZ21" s="103" t="s">
        <v>388</v>
      </c>
      <c r="BA21" s="103" t="s">
        <v>313</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43</v>
      </c>
      <c r="E22" s="38">
        <f>IF(LEFT(VLOOKUP($B22,'Indicator chart'!$D$1:$J$36,5,FALSE),1)=" "," ",VLOOKUP($B22,'Indicator chart'!$D$1:$J$36,5,FALSE))</f>
        <v>400.37243947858474</v>
      </c>
      <c r="F22" s="38">
        <f>IF(LEFT(VLOOKUP($B22,'Indicator chart'!$D$1:$J$36,6,FALSE),1)=" "," ",VLOOKUP($B22,'Indicator chart'!$D$1:$J$36,6,FALSE))</f>
        <v>289.72048838591024</v>
      </c>
      <c r="G22" s="38">
        <f>IF(LEFT(VLOOKUP($B22,'Indicator chart'!$D$1:$J$36,7,FALSE),1)=" "," ",VLOOKUP($B22,'Indicator chart'!$D$1:$J$36,7,FALSE))</f>
        <v>539.3150696293659</v>
      </c>
      <c r="H22" s="50">
        <f t="shared" si="0"/>
        <v>3</v>
      </c>
      <c r="I22" s="38">
        <v>18.07059669494629</v>
      </c>
      <c r="J22" s="38">
        <v>166.4644317626953</v>
      </c>
      <c r="K22" s="38">
        <v>237.2881317138672</v>
      </c>
      <c r="L22" s="38">
        <v>278.68096923828125</v>
      </c>
      <c r="M22" s="38">
        <v>630.4241333007812</v>
      </c>
      <c r="N22" s="80">
        <f>VLOOKUP('Hide - Control'!B$3,'All practice data'!A:CA,A22+29,FALSE)</f>
        <v>258.03218291163245</v>
      </c>
      <c r="O22" s="80">
        <f>VLOOKUP('Hide - Control'!C$3,'All practice data'!A:CA,A22+29,FALSE)</f>
        <v>282.45290788403287</v>
      </c>
      <c r="P22" s="38">
        <f>VLOOKUP('Hide - Control'!$B$4,'All practice data'!B:BC,A22+2,FALSE)</f>
        <v>762</v>
      </c>
      <c r="Q22" s="38">
        <f>VLOOKUP('Hide - Control'!$B$4,'All practice data'!B:BC,3,FALSE)</f>
        <v>295312</v>
      </c>
      <c r="R22" s="38">
        <f t="shared" si="21"/>
        <v>240.03366463951676</v>
      </c>
      <c r="S22" s="38">
        <f t="shared" si="22"/>
        <v>277.0227427117055</v>
      </c>
      <c r="T22" s="53">
        <f t="shared" si="19"/>
        <v>630.4241333007812</v>
      </c>
      <c r="U22" s="51">
        <f t="shared" si="20"/>
        <v>18.07059669494629</v>
      </c>
      <c r="V22" s="7"/>
      <c r="W22" s="27">
        <f t="shared" si="2"/>
        <v>-155.84786987304688</v>
      </c>
      <c r="X22" s="27">
        <f t="shared" si="3"/>
        <v>630.4241333007812</v>
      </c>
      <c r="Y22" s="27">
        <f t="shared" si="4"/>
        <v>-155.84786987304688</v>
      </c>
      <c r="Z22" s="27">
        <f t="shared" si="5"/>
        <v>630.4241333007812</v>
      </c>
      <c r="AA22" s="32">
        <f t="shared" si="6"/>
        <v>0.22119376738070562</v>
      </c>
      <c r="AB22" s="33">
        <f t="shared" si="7"/>
        <v>0.4099246829782972</v>
      </c>
      <c r="AC22" s="33">
        <v>0.5</v>
      </c>
      <c r="AD22" s="33">
        <f t="shared" si="8"/>
        <v>0.5526444250301801</v>
      </c>
      <c r="AE22" s="33">
        <f t="shared" si="9"/>
        <v>1</v>
      </c>
      <c r="AF22" s="33">
        <f t="shared" si="10"/>
        <v>-999</v>
      </c>
      <c r="AG22" s="33">
        <f t="shared" si="11"/>
        <v>-999</v>
      </c>
      <c r="AH22" s="33">
        <f t="shared" si="12"/>
        <v>0.707414618740613</v>
      </c>
      <c r="AI22" s="34">
        <f t="shared" si="13"/>
        <v>0.5574416690252937</v>
      </c>
      <c r="AJ22" s="4">
        <v>18.841982673167745</v>
      </c>
      <c r="AK22" s="32">
        <f t="shared" si="14"/>
        <v>-999</v>
      </c>
      <c r="AL22" s="34">
        <f t="shared" si="15"/>
        <v>0.707414618740613</v>
      </c>
      <c r="AY22" s="103" t="s">
        <v>149</v>
      </c>
      <c r="AZ22" s="103" t="s">
        <v>398</v>
      </c>
      <c r="BA22" s="103" t="s">
        <v>313</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18</v>
      </c>
      <c r="E23" s="38">
        <f>IF(LEFT(VLOOKUP($B23,'Indicator chart'!$D$1:$J$36,5,FALSE),1)=" "," ",VLOOKUP($B23,'Indicator chart'!$D$1:$J$36,5,FALSE))</f>
        <v>167.5977653631285</v>
      </c>
      <c r="F23" s="38">
        <f>IF(LEFT(VLOOKUP($B23,'Indicator chart'!$D$1:$J$36,6,FALSE),1)=" "," ",VLOOKUP($B23,'Indicator chart'!$D$1:$J$36,6,FALSE))</f>
        <v>99.2773462540102</v>
      </c>
      <c r="G23" s="38">
        <f>IF(LEFT(VLOOKUP($B23,'Indicator chart'!$D$1:$J$36,7,FALSE),1)=" "," ",VLOOKUP($B23,'Indicator chart'!$D$1:$J$36,7,FALSE))</f>
        <v>264.89241509068466</v>
      </c>
      <c r="H23" s="50">
        <f t="shared" si="0"/>
        <v>3</v>
      </c>
      <c r="I23" s="38">
        <v>3.248678207397461</v>
      </c>
      <c r="J23" s="38">
        <v>26.495540618896484</v>
      </c>
      <c r="K23" s="38">
        <v>56.8397102355957</v>
      </c>
      <c r="L23" s="38">
        <v>74.7671127319336</v>
      </c>
      <c r="M23" s="38">
        <v>170.35775756835938</v>
      </c>
      <c r="N23" s="80">
        <f>VLOOKUP('Hide - Control'!B$3,'All practice data'!A:CA,A23+29,FALSE)</f>
        <v>60.95248415235412</v>
      </c>
      <c r="O23" s="80">
        <f>VLOOKUP('Hide - Control'!C$3,'All practice data'!A:CA,A23+29,FALSE)</f>
        <v>70.46674929228394</v>
      </c>
      <c r="P23" s="38">
        <f>VLOOKUP('Hide - Control'!$B$4,'All practice data'!B:BC,A23+2,FALSE)</f>
        <v>180</v>
      </c>
      <c r="Q23" s="38">
        <f>VLOOKUP('Hide - Control'!$B$4,'All practice data'!B:BC,3,FALSE)</f>
        <v>295312</v>
      </c>
      <c r="R23" s="38">
        <f t="shared" si="21"/>
        <v>52.372448243153855</v>
      </c>
      <c r="S23" s="38">
        <f t="shared" si="22"/>
        <v>70.5369525611343</v>
      </c>
      <c r="T23" s="53">
        <f t="shared" si="19"/>
        <v>170.35775756835938</v>
      </c>
      <c r="U23" s="51">
        <f t="shared" si="20"/>
        <v>3.248678207397461</v>
      </c>
      <c r="V23" s="7"/>
      <c r="W23" s="27">
        <f t="shared" si="2"/>
        <v>-56.67833709716797</v>
      </c>
      <c r="X23" s="27">
        <f t="shared" si="3"/>
        <v>170.35775756835938</v>
      </c>
      <c r="Y23" s="27">
        <f t="shared" si="4"/>
        <v>-56.67833709716797</v>
      </c>
      <c r="Z23" s="27">
        <f t="shared" si="5"/>
        <v>170.35775756835938</v>
      </c>
      <c r="AA23" s="32">
        <f t="shared" si="6"/>
        <v>0.26395369156103005</v>
      </c>
      <c r="AB23" s="33">
        <f t="shared" si="7"/>
        <v>0.3663464958670882</v>
      </c>
      <c r="AC23" s="33">
        <v>0.5</v>
      </c>
      <c r="AD23" s="33">
        <f t="shared" si="8"/>
        <v>0.5789627857312679</v>
      </c>
      <c r="AE23" s="33">
        <f t="shared" si="9"/>
        <v>1</v>
      </c>
      <c r="AF23" s="33">
        <f t="shared" si="10"/>
        <v>-999</v>
      </c>
      <c r="AG23" s="33">
        <f t="shared" si="11"/>
        <v>-999</v>
      </c>
      <c r="AH23" s="33">
        <f t="shared" si="12"/>
        <v>0.9878433770220681</v>
      </c>
      <c r="AI23" s="34">
        <f t="shared" si="13"/>
        <v>0.5600214652069477</v>
      </c>
      <c r="AJ23" s="4">
        <v>19.917978098549675</v>
      </c>
      <c r="AK23" s="32">
        <f t="shared" si="14"/>
        <v>-999</v>
      </c>
      <c r="AL23" s="34">
        <f t="shared" si="15"/>
        <v>0.9878433770220681</v>
      </c>
      <c r="AY23" s="103" t="s">
        <v>264</v>
      </c>
      <c r="AZ23" s="103" t="s">
        <v>265</v>
      </c>
      <c r="BA23" s="103" t="s">
        <v>313</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31</v>
      </c>
      <c r="E24" s="38">
        <f>IF(LEFT(VLOOKUP($B24,'Indicator chart'!$D$1:$J$36,5,FALSE),1)=" "," ",VLOOKUP($B24,'Indicator chart'!$D$1:$J$36,5,FALSE))</f>
        <v>288.6405959031657</v>
      </c>
      <c r="F24" s="38">
        <f>IF(LEFT(VLOOKUP($B24,'Indicator chart'!$D$1:$J$36,6,FALSE),1)=" "," ",VLOOKUP($B24,'Indicator chart'!$D$1:$J$36,6,FALSE))</f>
        <v>196.07994875412692</v>
      </c>
      <c r="G24" s="38">
        <f>IF(LEFT(VLOOKUP($B24,'Indicator chart'!$D$1:$J$36,7,FALSE),1)=" "," ",VLOOKUP($B24,'Indicator chart'!$D$1:$J$36,7,FALSE))</f>
        <v>409.71861937358636</v>
      </c>
      <c r="H24" s="50">
        <f t="shared" si="0"/>
        <v>2</v>
      </c>
      <c r="I24" s="38">
        <v>27.3076171875</v>
      </c>
      <c r="J24" s="38">
        <v>122.68803405761719</v>
      </c>
      <c r="K24" s="38">
        <v>219.38314819335938</v>
      </c>
      <c r="L24" s="38">
        <v>351.1591796875</v>
      </c>
      <c r="M24" s="38">
        <v>653.0380249023438</v>
      </c>
      <c r="N24" s="80">
        <f>VLOOKUP('Hide - Control'!B$3,'All practice data'!A:CA,A24+29,FALSE)</f>
        <v>239.7464376659262</v>
      </c>
      <c r="O24" s="80">
        <f>VLOOKUP('Hide - Control'!C$3,'All practice data'!A:CA,A24+29,FALSE)</f>
        <v>323.23046266988894</v>
      </c>
      <c r="P24" s="38">
        <f>VLOOKUP('Hide - Control'!$B$4,'All practice data'!B:BC,A24+2,FALSE)</f>
        <v>708</v>
      </c>
      <c r="Q24" s="38">
        <f>VLOOKUP('Hide - Control'!$B$4,'All practice data'!B:BC,3,FALSE)</f>
        <v>295312</v>
      </c>
      <c r="R24" s="38">
        <f t="shared" si="21"/>
        <v>222.40908957145433</v>
      </c>
      <c r="S24" s="38">
        <f t="shared" si="22"/>
        <v>258.0762698837444</v>
      </c>
      <c r="T24" s="53">
        <f t="shared" si="19"/>
        <v>653.0380249023438</v>
      </c>
      <c r="U24" s="51">
        <f t="shared" si="20"/>
        <v>27.3076171875</v>
      </c>
      <c r="V24" s="7"/>
      <c r="W24" s="27">
        <f t="shared" si="2"/>
        <v>-214.271728515625</v>
      </c>
      <c r="X24" s="27">
        <f t="shared" si="3"/>
        <v>653.0380249023438</v>
      </c>
      <c r="Y24" s="27">
        <f t="shared" si="4"/>
        <v>-214.271728515625</v>
      </c>
      <c r="Z24" s="27">
        <f t="shared" si="5"/>
        <v>653.0380249023438</v>
      </c>
      <c r="AA24" s="32">
        <f t="shared" si="6"/>
        <v>0.27853871670540814</v>
      </c>
      <c r="AB24" s="33">
        <f t="shared" si="7"/>
        <v>0.38851144155282724</v>
      </c>
      <c r="AC24" s="33">
        <v>0.5</v>
      </c>
      <c r="AD24" s="33">
        <f t="shared" si="8"/>
        <v>0.6519365266847587</v>
      </c>
      <c r="AE24" s="33">
        <f t="shared" si="9"/>
        <v>1</v>
      </c>
      <c r="AF24" s="33">
        <f t="shared" si="10"/>
        <v>-999</v>
      </c>
      <c r="AG24" s="33">
        <f t="shared" si="11"/>
        <v>0.5798531867500286</v>
      </c>
      <c r="AH24" s="33">
        <f t="shared" si="12"/>
        <v>-999</v>
      </c>
      <c r="AI24" s="34">
        <f t="shared" si="13"/>
        <v>0.6197349782673136</v>
      </c>
      <c r="AJ24" s="4">
        <v>20.99397352393159</v>
      </c>
      <c r="AK24" s="32">
        <f t="shared" si="14"/>
        <v>-999</v>
      </c>
      <c r="AL24" s="34">
        <f t="shared" si="15"/>
        <v>-999</v>
      </c>
      <c r="AY24" s="103" t="s">
        <v>65</v>
      </c>
      <c r="AZ24" s="103" t="s">
        <v>66</v>
      </c>
      <c r="BA24" s="103" t="s">
        <v>494</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70</v>
      </c>
      <c r="E25" s="38">
        <f>IF(LEFT(VLOOKUP($B25,'Indicator chart'!$D$1:$J$36,5,FALSE),1)=" "," ",VLOOKUP($B25,'Indicator chart'!$D$1:$J$36,5,FALSE))</f>
        <v>651.7690875232774</v>
      </c>
      <c r="F25" s="38">
        <f>IF(LEFT(VLOOKUP($B25,'Indicator chart'!$D$1:$J$36,6,FALSE),1)=" "," ",VLOOKUP($B25,'Indicator chart'!$D$1:$J$36,6,FALSE))</f>
        <v>508.06187796659356</v>
      </c>
      <c r="G25" s="38">
        <f>IF(LEFT(VLOOKUP($B25,'Indicator chart'!$D$1:$J$36,7,FALSE),1)=" "," ",VLOOKUP($B25,'Indicator chart'!$D$1:$J$36,7,FALSE))</f>
        <v>823.486186794962</v>
      </c>
      <c r="H25" s="50">
        <f t="shared" si="0"/>
        <v>3</v>
      </c>
      <c r="I25" s="38">
        <v>244.36090087890625</v>
      </c>
      <c r="J25" s="38">
        <v>387.8736877441406</v>
      </c>
      <c r="K25" s="38">
        <v>492.61083984375</v>
      </c>
      <c r="L25" s="38">
        <v>559.4238891601562</v>
      </c>
      <c r="M25" s="38">
        <v>810.5452880859375</v>
      </c>
      <c r="N25" s="80">
        <f>VLOOKUP('Hide - Control'!B$3,'All practice data'!A:CA,A25+29,FALSE)</f>
        <v>499.8103700493038</v>
      </c>
      <c r="O25" s="80">
        <f>VLOOKUP('Hide - Control'!C$3,'All practice data'!A:CA,A25+29,FALSE)</f>
        <v>562.6134400960308</v>
      </c>
      <c r="P25" s="38">
        <f>VLOOKUP('Hide - Control'!$B$4,'All practice data'!B:BC,A25+2,FALSE)</f>
        <v>1476</v>
      </c>
      <c r="Q25" s="38">
        <f>VLOOKUP('Hide - Control'!$B$4,'All practice data'!B:BC,3,FALSE)</f>
        <v>295312</v>
      </c>
      <c r="R25" s="38">
        <f t="shared" si="21"/>
        <v>474.63376549357264</v>
      </c>
      <c r="S25" s="38">
        <f t="shared" si="22"/>
        <v>525.9756790538297</v>
      </c>
      <c r="T25" s="53">
        <f t="shared" si="19"/>
        <v>810.5452880859375</v>
      </c>
      <c r="U25" s="51">
        <f t="shared" si="20"/>
        <v>244.36090087890625</v>
      </c>
      <c r="V25" s="7"/>
      <c r="W25" s="27">
        <f t="shared" si="2"/>
        <v>174.6763916015625</v>
      </c>
      <c r="X25" s="27">
        <f t="shared" si="3"/>
        <v>810.5452880859375</v>
      </c>
      <c r="Y25" s="27">
        <f t="shared" si="4"/>
        <v>174.6763916015625</v>
      </c>
      <c r="Z25" s="27">
        <f t="shared" si="5"/>
        <v>810.5452880859375</v>
      </c>
      <c r="AA25" s="32">
        <f t="shared" si="6"/>
        <v>0.10958942898861555</v>
      </c>
      <c r="AB25" s="33">
        <f t="shared" si="7"/>
        <v>0.3352849892820901</v>
      </c>
      <c r="AC25" s="33">
        <v>0.5</v>
      </c>
      <c r="AD25" s="33">
        <f t="shared" si="8"/>
        <v>0.6050736239589728</v>
      </c>
      <c r="AE25" s="33">
        <f t="shared" si="9"/>
        <v>1</v>
      </c>
      <c r="AF25" s="33">
        <f t="shared" si="10"/>
        <v>-999</v>
      </c>
      <c r="AG25" s="33">
        <f t="shared" si="11"/>
        <v>-999</v>
      </c>
      <c r="AH25" s="33">
        <f t="shared" si="12"/>
        <v>0.7503004134334764</v>
      </c>
      <c r="AI25" s="34">
        <f t="shared" si="13"/>
        <v>0.6100896751505142</v>
      </c>
      <c r="AJ25" s="4">
        <v>22.06996894931352</v>
      </c>
      <c r="AK25" s="32">
        <f t="shared" si="14"/>
        <v>-999</v>
      </c>
      <c r="AL25" s="34">
        <f t="shared" si="15"/>
        <v>0.7503004134334764</v>
      </c>
      <c r="AY25" s="103" t="s">
        <v>257</v>
      </c>
      <c r="AZ25" s="103" t="s">
        <v>258</v>
      </c>
      <c r="BA25" s="103" t="s">
        <v>494</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47</v>
      </c>
      <c r="E26" s="38">
        <f>IF(LEFT(VLOOKUP($B26,'Indicator chart'!$D$1:$J$36,5,FALSE),1)=" "," ",VLOOKUP($B26,'Indicator chart'!$D$1:$J$36,5,FALSE))</f>
        <v>437.61638733705774</v>
      </c>
      <c r="F26" s="38">
        <f>IF(LEFT(VLOOKUP($B26,'Indicator chart'!$D$1:$J$36,6,FALSE),1)=" "," ",VLOOKUP($B26,'Indicator chart'!$D$1:$J$36,6,FALSE))</f>
        <v>321.5144945080493</v>
      </c>
      <c r="G26" s="38">
        <f>IF(LEFT(VLOOKUP($B26,'Indicator chart'!$D$1:$J$36,7,FALSE),1)=" "," ",VLOOKUP($B26,'Indicator chart'!$D$1:$J$36,7,FALSE))</f>
        <v>581.9529100570536</v>
      </c>
      <c r="H26" s="50">
        <f t="shared" si="0"/>
        <v>2</v>
      </c>
      <c r="I26" s="38">
        <v>203.38983154296875</v>
      </c>
      <c r="J26" s="38">
        <v>332.1910705566406</v>
      </c>
      <c r="K26" s="38">
        <v>386.9281005859375</v>
      </c>
      <c r="L26" s="38">
        <v>468.89422607421875</v>
      </c>
      <c r="M26" s="38">
        <v>687.7354125976562</v>
      </c>
      <c r="N26" s="80">
        <f>VLOOKUP('Hide - Control'!B$3,'All practice data'!A:CA,A26+29,FALSE)</f>
        <v>404.99539470119737</v>
      </c>
      <c r="O26" s="80">
        <f>VLOOKUP('Hide - Control'!C$3,'All practice data'!A:CA,A26+29,FALSE)</f>
        <v>405.57105879375996</v>
      </c>
      <c r="P26" s="38">
        <f>VLOOKUP('Hide - Control'!$B$4,'All practice data'!B:BC,A26+2,FALSE)</f>
        <v>1196</v>
      </c>
      <c r="Q26" s="38">
        <f>VLOOKUP('Hide - Control'!$B$4,'All practice data'!B:BC,3,FALSE)</f>
        <v>295312</v>
      </c>
      <c r="R26" s="38">
        <f t="shared" si="21"/>
        <v>382.36458576070265</v>
      </c>
      <c r="S26" s="38">
        <f t="shared" si="22"/>
        <v>428.6158544112055</v>
      </c>
      <c r="T26" s="53">
        <f t="shared" si="19"/>
        <v>687.7354125976562</v>
      </c>
      <c r="U26" s="51">
        <f t="shared" si="20"/>
        <v>203.38983154296875</v>
      </c>
      <c r="V26" s="7"/>
      <c r="W26" s="27">
        <f t="shared" si="2"/>
        <v>86.12078857421875</v>
      </c>
      <c r="X26" s="27">
        <f t="shared" si="3"/>
        <v>687.7354125976562</v>
      </c>
      <c r="Y26" s="27">
        <f t="shared" si="4"/>
        <v>86.12078857421875</v>
      </c>
      <c r="Z26" s="27">
        <f t="shared" si="5"/>
        <v>687.7354125976562</v>
      </c>
      <c r="AA26" s="32">
        <f t="shared" si="6"/>
        <v>0.19492385704404266</v>
      </c>
      <c r="AB26" s="33">
        <f t="shared" si="7"/>
        <v>0.40901645697501454</v>
      </c>
      <c r="AC26" s="33">
        <v>0.5</v>
      </c>
      <c r="AD26" s="33">
        <f t="shared" si="8"/>
        <v>0.6362435722391749</v>
      </c>
      <c r="AE26" s="33">
        <f t="shared" si="9"/>
        <v>1</v>
      </c>
      <c r="AF26" s="33">
        <f t="shared" si="10"/>
        <v>-999</v>
      </c>
      <c r="AG26" s="33">
        <f t="shared" si="11"/>
        <v>0.584253747710005</v>
      </c>
      <c r="AH26" s="33">
        <f t="shared" si="12"/>
        <v>-999</v>
      </c>
      <c r="AI26" s="34">
        <f t="shared" si="13"/>
        <v>0.5309882065085841</v>
      </c>
      <c r="AJ26" s="4">
        <v>23.145964374695435</v>
      </c>
      <c r="AK26" s="32">
        <f t="shared" si="14"/>
        <v>-999</v>
      </c>
      <c r="AL26" s="34">
        <f t="shared" si="15"/>
        <v>-999</v>
      </c>
      <c r="AY26" s="103" t="s">
        <v>120</v>
      </c>
      <c r="AZ26" s="103" t="s">
        <v>387</v>
      </c>
      <c r="BA26" s="103" t="s">
        <v>313</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121</v>
      </c>
      <c r="E27" s="38">
        <f>IF(LEFT(VLOOKUP($B27,'Indicator chart'!$D$1:$J$36,5,FALSE),1)=" "," ",VLOOKUP($B27,'Indicator chart'!$D$1:$J$36,5,FALSE))</f>
        <v>1126.6294227188082</v>
      </c>
      <c r="F27" s="38">
        <f>IF(LEFT(VLOOKUP($B27,'Indicator chart'!$D$1:$J$36,6,FALSE),1)=" "," ",VLOOKUP($B27,'Indicator chart'!$D$1:$J$36,6,FALSE))</f>
        <v>934.8282674495342</v>
      </c>
      <c r="G27" s="38">
        <f>IF(LEFT(VLOOKUP($B27,'Indicator chart'!$D$1:$J$36,7,FALSE),1)=" "," ",VLOOKUP($B27,'Indicator chart'!$D$1:$J$36,7,FALSE))</f>
        <v>1346.1925261603499</v>
      </c>
      <c r="H27" s="50">
        <f t="shared" si="0"/>
        <v>2</v>
      </c>
      <c r="I27" s="38">
        <v>451.9044494628906</v>
      </c>
      <c r="J27" s="38">
        <v>871.6109619140625</v>
      </c>
      <c r="K27" s="38">
        <v>1022.146484375</v>
      </c>
      <c r="L27" s="38">
        <v>1129.38427734375</v>
      </c>
      <c r="M27" s="38">
        <v>1402.8974609375</v>
      </c>
      <c r="N27" s="80">
        <f>VLOOKUP('Hide - Control'!B$3,'All practice data'!A:CA,A27+29,FALSE)</f>
        <v>1009.4408625453757</v>
      </c>
      <c r="O27" s="80">
        <f>VLOOKUP('Hide - Control'!C$3,'All practice data'!A:CA,A27+29,FALSE)</f>
        <v>1059.3522061277838</v>
      </c>
      <c r="P27" s="38">
        <f>VLOOKUP('Hide - Control'!$B$4,'All practice data'!B:BC,A27+2,FALSE)</f>
        <v>2981</v>
      </c>
      <c r="Q27" s="38">
        <f>VLOOKUP('Hide - Control'!$B$4,'All practice data'!B:BC,3,FALSE)</f>
        <v>295312</v>
      </c>
      <c r="R27" s="38">
        <f t="shared" si="21"/>
        <v>973.5252567197157</v>
      </c>
      <c r="S27" s="38">
        <f t="shared" si="22"/>
        <v>1046.3426381091745</v>
      </c>
      <c r="T27" s="53">
        <f t="shared" si="19"/>
        <v>1402.8974609375</v>
      </c>
      <c r="U27" s="51">
        <f t="shared" si="20"/>
        <v>451.9044494628906</v>
      </c>
      <c r="V27" s="7"/>
      <c r="W27" s="27">
        <f t="shared" si="2"/>
        <v>451.9044494628906</v>
      </c>
      <c r="X27" s="27">
        <f t="shared" si="3"/>
        <v>1592.3885192871094</v>
      </c>
      <c r="Y27" s="27">
        <f t="shared" si="4"/>
        <v>451.9044494628906</v>
      </c>
      <c r="Z27" s="27">
        <f t="shared" si="5"/>
        <v>1592.3885192871094</v>
      </c>
      <c r="AA27" s="32">
        <f t="shared" si="6"/>
        <v>0</v>
      </c>
      <c r="AB27" s="33">
        <f t="shared" si="7"/>
        <v>0.36800734315899797</v>
      </c>
      <c r="AC27" s="33">
        <v>0.5</v>
      </c>
      <c r="AD27" s="33">
        <f t="shared" si="8"/>
        <v>0.5940283128946101</v>
      </c>
      <c r="AE27" s="33">
        <f t="shared" si="9"/>
        <v>0.8338503242935998</v>
      </c>
      <c r="AF27" s="33">
        <f t="shared" si="10"/>
        <v>-999</v>
      </c>
      <c r="AG27" s="33">
        <f t="shared" si="11"/>
        <v>0.5916127994316589</v>
      </c>
      <c r="AH27" s="33">
        <f t="shared" si="12"/>
        <v>-999</v>
      </c>
      <c r="AI27" s="34">
        <f t="shared" si="13"/>
        <v>0.5326227456719481</v>
      </c>
      <c r="AJ27" s="4">
        <v>24.221959800077364</v>
      </c>
      <c r="AK27" s="32">
        <f t="shared" si="14"/>
        <v>-999</v>
      </c>
      <c r="AL27" s="34">
        <f t="shared" si="15"/>
        <v>-999</v>
      </c>
      <c r="AY27" s="103" t="s">
        <v>115</v>
      </c>
      <c r="AZ27" s="103" t="s">
        <v>386</v>
      </c>
      <c r="BA27" s="103" t="s">
        <v>494</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99</v>
      </c>
      <c r="E28" s="38">
        <f>IF(LEFT(VLOOKUP($B28,'Indicator chart'!$D$1:$J$36,5,FALSE),1)=" "," ",VLOOKUP($B28,'Indicator chart'!$D$1:$J$36,5,FALSE))</f>
        <v>921.7877094972067</v>
      </c>
      <c r="F28" s="38">
        <f>IF(LEFT(VLOOKUP($B28,'Indicator chart'!$D$1:$J$36,6,FALSE),1)=" "," ",VLOOKUP($B28,'Indicator chart'!$D$1:$J$36,6,FALSE))</f>
        <v>749.1629960156907</v>
      </c>
      <c r="G28" s="38">
        <f>IF(LEFT(VLOOKUP($B28,'Indicator chart'!$D$1:$J$36,7,FALSE),1)=" "," ",VLOOKUP($B28,'Indicator chart'!$D$1:$J$36,7,FALSE))</f>
        <v>1122.257944420177</v>
      </c>
      <c r="H28" s="50">
        <f t="shared" si="0"/>
        <v>3</v>
      </c>
      <c r="I28" s="38">
        <v>276.01434326171875</v>
      </c>
      <c r="J28" s="38">
        <v>514.529296875</v>
      </c>
      <c r="K28" s="38">
        <v>627.405029296875</v>
      </c>
      <c r="L28" s="38">
        <v>735.0906372070312</v>
      </c>
      <c r="M28" s="38">
        <v>921.7877197265625</v>
      </c>
      <c r="N28" s="80">
        <f>VLOOKUP('Hide - Control'!B$3,'All practice data'!A:CA,A28+29,FALSE)</f>
        <v>625.7788372975023</v>
      </c>
      <c r="O28" s="80">
        <f>VLOOKUP('Hide - Control'!C$3,'All practice data'!A:CA,A28+29,FALSE)</f>
        <v>582.9390489900089</v>
      </c>
      <c r="P28" s="38">
        <f>VLOOKUP('Hide - Control'!$B$4,'All practice data'!B:BC,A28+2,FALSE)</f>
        <v>1848</v>
      </c>
      <c r="Q28" s="38">
        <f>VLOOKUP('Hide - Control'!$B$4,'All practice data'!B:BC,3,FALSE)</f>
        <v>295312</v>
      </c>
      <c r="R28" s="38">
        <f>100000*(P28*(1-1/(9*P28)-1.96/(3*SQRT(P28)))^3)/Q28</f>
        <v>597.5692086067621</v>
      </c>
      <c r="S28" s="38">
        <f>100000*((P28+1)*(1-1/(9*(P28+1))+1.96/(3*SQRT(P28+1)))^3)/Q28</f>
        <v>654.9762622493425</v>
      </c>
      <c r="T28" s="53">
        <f t="shared" si="19"/>
        <v>921.7877197265625</v>
      </c>
      <c r="U28" s="51">
        <f t="shared" si="20"/>
        <v>276.01434326171875</v>
      </c>
      <c r="V28" s="7"/>
      <c r="W28" s="27">
        <f t="shared" si="2"/>
        <v>276.01434326171875</v>
      </c>
      <c r="X28" s="27">
        <f t="shared" si="3"/>
        <v>978.7957153320312</v>
      </c>
      <c r="Y28" s="27">
        <f t="shared" si="4"/>
        <v>276.01434326171875</v>
      </c>
      <c r="Z28" s="27">
        <f t="shared" si="5"/>
        <v>978.7957153320312</v>
      </c>
      <c r="AA28" s="32">
        <f t="shared" si="6"/>
        <v>0</v>
      </c>
      <c r="AB28" s="33">
        <f t="shared" si="7"/>
        <v>0.33938713103713014</v>
      </c>
      <c r="AC28" s="33">
        <v>0.5</v>
      </c>
      <c r="AD28" s="33">
        <f t="shared" si="8"/>
        <v>0.6532277493254082</v>
      </c>
      <c r="AE28" s="33">
        <f t="shared" si="9"/>
        <v>0.9188823183552378</v>
      </c>
      <c r="AF28" s="33">
        <f t="shared" si="10"/>
        <v>-999</v>
      </c>
      <c r="AG28" s="33">
        <f t="shared" si="11"/>
        <v>-999</v>
      </c>
      <c r="AH28" s="33">
        <f t="shared" si="12"/>
        <v>0.9188823037997073</v>
      </c>
      <c r="AI28" s="34">
        <f t="shared" si="13"/>
        <v>0.4367285729616389</v>
      </c>
      <c r="AJ28" s="4">
        <v>25.297955225459287</v>
      </c>
      <c r="AK28" s="32">
        <f t="shared" si="14"/>
        <v>-999</v>
      </c>
      <c r="AL28" s="34">
        <f t="shared" si="15"/>
        <v>0.9188823037997073</v>
      </c>
      <c r="AY28" s="103" t="s">
        <v>241</v>
      </c>
      <c r="AZ28" s="103" t="s">
        <v>242</v>
      </c>
      <c r="BA28" s="103" t="s">
        <v>494</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389</v>
      </c>
      <c r="BA29" s="103" t="s">
        <v>313</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313</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410</v>
      </c>
      <c r="BA31" s="103" t="s">
        <v>313</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369</v>
      </c>
      <c r="BA32" s="103" t="s">
        <v>313</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434</v>
      </c>
      <c r="BA33" s="103" t="s">
        <v>494</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313</v>
      </c>
      <c r="BB34" s="10">
        <v>532801</v>
      </c>
      <c r="BE34" s="77"/>
      <c r="BF34" s="253"/>
    </row>
    <row r="35" spans="2:58" ht="12.75">
      <c r="B35" s="17" t="s">
        <v>41</v>
      </c>
      <c r="C35" s="18"/>
      <c r="H35" s="290" t="s">
        <v>539</v>
      </c>
      <c r="I35" s="291"/>
      <c r="Y35" s="43"/>
      <c r="Z35" s="44"/>
      <c r="AA35" s="44"/>
      <c r="AB35" s="43"/>
      <c r="AC35" s="43"/>
      <c r="AY35" s="103" t="s">
        <v>159</v>
      </c>
      <c r="AZ35" s="103" t="s">
        <v>402</v>
      </c>
      <c r="BA35" s="103" t="s">
        <v>313</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391</v>
      </c>
      <c r="BA36" s="103" t="s">
        <v>313</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408</v>
      </c>
      <c r="BA37" s="103" t="s">
        <v>313</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313</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313</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313</v>
      </c>
      <c r="BB40" s="10">
        <v>714731</v>
      </c>
      <c r="BF40" s="252"/>
    </row>
    <row r="41" spans="1:58" ht="12.75">
      <c r="A41" s="3"/>
      <c r="B41" s="71"/>
      <c r="C41" s="3"/>
      <c r="T41" s="13"/>
      <c r="U41" s="2"/>
      <c r="W41" s="2"/>
      <c r="X41" s="10"/>
      <c r="Y41" s="44"/>
      <c r="Z41" s="44"/>
      <c r="AA41" s="44"/>
      <c r="AB41" s="44"/>
      <c r="AC41" s="44"/>
      <c r="AD41" s="2"/>
      <c r="AE41" s="2"/>
      <c r="AY41" s="103" t="s">
        <v>272</v>
      </c>
      <c r="AZ41" s="103" t="s">
        <v>435</v>
      </c>
      <c r="BA41" s="103" t="s">
        <v>494</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313</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432</v>
      </c>
      <c r="BA43" s="103" t="s">
        <v>313</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420</v>
      </c>
      <c r="BA44" s="103" t="s">
        <v>313</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313</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411</v>
      </c>
      <c r="BA46" s="103" t="s">
        <v>494</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313</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415</v>
      </c>
      <c r="BA48" s="103" t="s">
        <v>494</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426</v>
      </c>
      <c r="BA49" s="103" t="s">
        <v>494</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313</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392</v>
      </c>
      <c r="BA51" s="103" t="s">
        <v>313</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313</v>
      </c>
      <c r="BB52" s="10">
        <v>611636</v>
      </c>
      <c r="BF52" s="252"/>
    </row>
    <row r="53" spans="1:58" ht="12.75">
      <c r="A53" s="3"/>
      <c r="B53" s="12"/>
      <c r="C53" s="3"/>
      <c r="I53" s="11"/>
      <c r="J53" s="11"/>
      <c r="K53" s="11"/>
      <c r="L53" s="11"/>
      <c r="S53" s="11"/>
      <c r="U53" s="2"/>
      <c r="X53" s="2"/>
      <c r="Y53" s="2"/>
      <c r="Z53" s="2"/>
      <c r="AA53" s="2"/>
      <c r="AB53" s="2"/>
      <c r="AY53" s="103" t="s">
        <v>244</v>
      </c>
      <c r="AZ53" s="103" t="s">
        <v>425</v>
      </c>
      <c r="BA53" s="103" t="s">
        <v>313</v>
      </c>
      <c r="BB53" s="10">
        <v>230998</v>
      </c>
      <c r="BF53" s="252"/>
    </row>
    <row r="54" spans="1:58" ht="12.75">
      <c r="A54" s="3"/>
      <c r="B54" s="12"/>
      <c r="C54" s="3"/>
      <c r="I54" s="11"/>
      <c r="J54" s="11"/>
      <c r="K54" s="11"/>
      <c r="L54" s="11"/>
      <c r="S54" s="11"/>
      <c r="U54" s="2"/>
      <c r="X54" s="2"/>
      <c r="Y54" s="2"/>
      <c r="Z54" s="2"/>
      <c r="AA54" s="2"/>
      <c r="AB54" s="2"/>
      <c r="AY54" s="103" t="s">
        <v>67</v>
      </c>
      <c r="AZ54" s="103" t="s">
        <v>366</v>
      </c>
      <c r="BA54" s="103" t="s">
        <v>313</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412</v>
      </c>
      <c r="BA55" s="103" t="s">
        <v>313</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382</v>
      </c>
      <c r="BA56" s="103" t="s">
        <v>313</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427</v>
      </c>
      <c r="BA57" s="103" t="s">
        <v>313</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372</v>
      </c>
      <c r="BA58" s="103" t="s">
        <v>313</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313</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313</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416</v>
      </c>
      <c r="BA61" s="103" t="s">
        <v>494</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494</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405</v>
      </c>
      <c r="BA63" s="103" t="s">
        <v>313</v>
      </c>
      <c r="BB63" s="10">
        <v>318405</v>
      </c>
      <c r="BE63" s="70"/>
      <c r="BF63" s="239"/>
    </row>
    <row r="64" spans="1:58" ht="12.75">
      <c r="A64" s="3"/>
      <c r="B64" s="12"/>
      <c r="C64" s="3"/>
      <c r="I64" s="11"/>
      <c r="V64" s="3"/>
      <c r="AY64" s="103" t="s">
        <v>78</v>
      </c>
      <c r="AZ64" s="103" t="s">
        <v>373</v>
      </c>
      <c r="BA64" s="103" t="s">
        <v>494</v>
      </c>
      <c r="BB64" s="10">
        <v>181285</v>
      </c>
      <c r="BE64" s="70"/>
      <c r="BF64" s="241"/>
    </row>
    <row r="65" spans="1:58" ht="12.75">
      <c r="A65" s="3"/>
      <c r="B65" s="12"/>
      <c r="C65" s="3"/>
      <c r="AY65" s="103" t="s">
        <v>483</v>
      </c>
      <c r="AZ65" s="103" t="s">
        <v>484</v>
      </c>
      <c r="BA65" s="103" t="s">
        <v>313</v>
      </c>
      <c r="BB65" s="10">
        <v>1169302</v>
      </c>
      <c r="BE65" s="70"/>
      <c r="BF65" s="241"/>
    </row>
    <row r="66" spans="1:58" ht="12.75">
      <c r="A66" s="3"/>
      <c r="B66" s="12"/>
      <c r="C66" s="3"/>
      <c r="E66" s="2"/>
      <c r="F66" s="2"/>
      <c r="G66" s="2"/>
      <c r="V66" s="2"/>
      <c r="AY66" s="103" t="s">
        <v>200</v>
      </c>
      <c r="AZ66" s="103" t="s">
        <v>413</v>
      </c>
      <c r="BA66" s="103" t="s">
        <v>313</v>
      </c>
      <c r="BB66" s="10">
        <v>217916</v>
      </c>
      <c r="BE66" s="70"/>
      <c r="BF66" s="239"/>
    </row>
    <row r="67" spans="1:58" ht="12.75">
      <c r="A67" s="3"/>
      <c r="B67" s="12"/>
      <c r="C67" s="3"/>
      <c r="AY67" s="103" t="s">
        <v>69</v>
      </c>
      <c r="AZ67" s="103" t="s">
        <v>70</v>
      </c>
      <c r="BA67" s="103" t="s">
        <v>313</v>
      </c>
      <c r="BB67" s="10">
        <v>270842</v>
      </c>
      <c r="BE67" s="70"/>
      <c r="BF67" s="239"/>
    </row>
    <row r="68" spans="1:58" ht="12.75">
      <c r="A68" s="3"/>
      <c r="B68" s="12"/>
      <c r="C68" s="3"/>
      <c r="AY68" s="103" t="s">
        <v>109</v>
      </c>
      <c r="AZ68" s="103" t="s">
        <v>110</v>
      </c>
      <c r="BA68" s="103" t="s">
        <v>313</v>
      </c>
      <c r="BB68" s="10">
        <v>251613</v>
      </c>
      <c r="BF68" s="252"/>
    </row>
    <row r="69" spans="1:58" ht="12.75">
      <c r="A69" s="3"/>
      <c r="B69" s="12"/>
      <c r="C69" s="3"/>
      <c r="AY69" s="103" t="s">
        <v>209</v>
      </c>
      <c r="AZ69" s="103" t="s">
        <v>210</v>
      </c>
      <c r="BA69" s="103" t="s">
        <v>313</v>
      </c>
      <c r="BB69" s="10">
        <v>283547</v>
      </c>
      <c r="BE69" s="70"/>
      <c r="BF69" s="241"/>
    </row>
    <row r="70" spans="1:58" ht="12.75">
      <c r="A70" s="3"/>
      <c r="B70" s="12"/>
      <c r="C70" s="3"/>
      <c r="AY70" s="103" t="s">
        <v>275</v>
      </c>
      <c r="AZ70" s="103" t="s">
        <v>436</v>
      </c>
      <c r="BA70" s="103" t="s">
        <v>493</v>
      </c>
      <c r="BB70" s="10">
        <v>141474</v>
      </c>
      <c r="BE70" s="70"/>
      <c r="BF70" s="239"/>
    </row>
    <row r="71" spans="1:58" ht="12.75">
      <c r="A71" s="3"/>
      <c r="B71" s="12"/>
      <c r="C71" s="3"/>
      <c r="AY71" s="103" t="s">
        <v>127</v>
      </c>
      <c r="AZ71" s="103" t="s">
        <v>390</v>
      </c>
      <c r="BA71" s="103" t="s">
        <v>313</v>
      </c>
      <c r="BB71" s="10">
        <v>213326</v>
      </c>
      <c r="BE71" s="70"/>
      <c r="BF71" s="239"/>
    </row>
    <row r="72" spans="1:58" ht="12.75">
      <c r="A72" s="3"/>
      <c r="B72" s="12"/>
      <c r="C72" s="3"/>
      <c r="AY72" s="103" t="s">
        <v>136</v>
      </c>
      <c r="AZ72" s="103" t="s">
        <v>137</v>
      </c>
      <c r="BA72" s="103" t="s">
        <v>313</v>
      </c>
      <c r="BB72" s="10">
        <v>183220</v>
      </c>
      <c r="BE72" s="250"/>
      <c r="BF72" s="239"/>
    </row>
    <row r="73" spans="1:58" ht="12.75">
      <c r="A73" s="3"/>
      <c r="B73" s="12"/>
      <c r="C73" s="3"/>
      <c r="AY73" s="103" t="s">
        <v>64</v>
      </c>
      <c r="AZ73" s="103" t="s">
        <v>365</v>
      </c>
      <c r="BA73" s="103" t="s">
        <v>313</v>
      </c>
      <c r="BB73" s="10">
        <v>190143</v>
      </c>
      <c r="BE73" s="70"/>
      <c r="BF73" s="239"/>
    </row>
    <row r="74" spans="1:58" ht="12.75">
      <c r="A74" s="3"/>
      <c r="B74" s="12"/>
      <c r="C74" s="3"/>
      <c r="AY74" s="103" t="s">
        <v>165</v>
      </c>
      <c r="AZ74" s="103" t="s">
        <v>166</v>
      </c>
      <c r="BA74" s="103" t="s">
        <v>494</v>
      </c>
      <c r="BB74" s="10">
        <v>419928</v>
      </c>
      <c r="BE74" s="70"/>
      <c r="BF74" s="241"/>
    </row>
    <row r="75" spans="1:58" ht="12.75">
      <c r="A75" s="3"/>
      <c r="B75" s="12"/>
      <c r="C75" s="3"/>
      <c r="AY75" s="103" t="s">
        <v>113</v>
      </c>
      <c r="AZ75" s="103" t="s">
        <v>384</v>
      </c>
      <c r="BA75" s="103" t="s">
        <v>313</v>
      </c>
      <c r="BB75" s="10">
        <v>158106</v>
      </c>
      <c r="BE75" s="70"/>
      <c r="BF75" s="241"/>
    </row>
    <row r="76" spans="1:58" ht="12.75">
      <c r="A76" s="3"/>
      <c r="B76" s="12"/>
      <c r="C76" s="3"/>
      <c r="AY76" s="103" t="s">
        <v>140</v>
      </c>
      <c r="AZ76" s="103" t="s">
        <v>141</v>
      </c>
      <c r="BA76" s="103" t="s">
        <v>313</v>
      </c>
      <c r="BB76" s="10">
        <v>377807</v>
      </c>
      <c r="BE76" s="70"/>
      <c r="BF76" s="241"/>
    </row>
    <row r="77" spans="1:58" ht="12.75">
      <c r="A77" s="3"/>
      <c r="B77" s="12"/>
      <c r="C77" s="3"/>
      <c r="AY77" s="103" t="s">
        <v>163</v>
      </c>
      <c r="AZ77" s="103" t="s">
        <v>164</v>
      </c>
      <c r="BA77" s="103" t="s">
        <v>494</v>
      </c>
      <c r="BB77" s="10">
        <v>799634</v>
      </c>
      <c r="BE77" s="70"/>
      <c r="BF77" s="249"/>
    </row>
    <row r="78" spans="1:58" ht="12.75">
      <c r="A78" s="3"/>
      <c r="B78" s="12"/>
      <c r="C78" s="3"/>
      <c r="AY78" s="103" t="s">
        <v>224</v>
      </c>
      <c r="AZ78" s="103" t="s">
        <v>225</v>
      </c>
      <c r="BA78" s="103" t="s">
        <v>313</v>
      </c>
      <c r="BB78" s="10">
        <v>362638</v>
      </c>
      <c r="BE78" s="70"/>
      <c r="BF78" s="239"/>
    </row>
    <row r="79" spans="1:58" ht="12.75">
      <c r="A79" s="3"/>
      <c r="B79" s="12"/>
      <c r="C79" s="3"/>
      <c r="AY79" s="103" t="s">
        <v>223</v>
      </c>
      <c r="AZ79" s="103" t="s">
        <v>418</v>
      </c>
      <c r="BA79" s="103" t="s">
        <v>313</v>
      </c>
      <c r="BB79" s="10">
        <v>678998</v>
      </c>
      <c r="BF79" s="239"/>
    </row>
    <row r="80" spans="1:58" ht="12.75">
      <c r="A80" s="3"/>
      <c r="B80" s="12"/>
      <c r="C80" s="3"/>
      <c r="AY80" s="103" t="s">
        <v>144</v>
      </c>
      <c r="AZ80" s="103" t="s">
        <v>145</v>
      </c>
      <c r="BA80" s="103" t="s">
        <v>313</v>
      </c>
      <c r="BB80" s="10">
        <v>290986</v>
      </c>
      <c r="BF80" s="252"/>
    </row>
    <row r="81" spans="1:58" ht="12.75">
      <c r="A81" s="3"/>
      <c r="B81" s="12"/>
      <c r="C81" s="3"/>
      <c r="AY81" s="103" t="s">
        <v>178</v>
      </c>
      <c r="AZ81" s="103" t="s">
        <v>407</v>
      </c>
      <c r="BA81" s="103" t="s">
        <v>494</v>
      </c>
      <c r="BB81" s="10">
        <v>747976</v>
      </c>
      <c r="BF81" s="252"/>
    </row>
    <row r="82" spans="1:58" ht="12.75">
      <c r="A82" s="3"/>
      <c r="B82" s="12"/>
      <c r="C82" s="3"/>
      <c r="AY82" s="103" t="s">
        <v>193</v>
      </c>
      <c r="AZ82" s="103" t="s">
        <v>194</v>
      </c>
      <c r="BA82" s="103" t="s">
        <v>313</v>
      </c>
      <c r="BB82" s="10">
        <v>489140</v>
      </c>
      <c r="BF82" s="252"/>
    </row>
    <row r="83" spans="1:58" ht="12.75">
      <c r="A83" s="3"/>
      <c r="B83" s="12"/>
      <c r="C83" s="3"/>
      <c r="AY83" s="103" t="s">
        <v>98</v>
      </c>
      <c r="AZ83" s="103" t="s">
        <v>381</v>
      </c>
      <c r="BA83" s="103" t="s">
        <v>494</v>
      </c>
      <c r="BB83" s="10">
        <v>208442</v>
      </c>
      <c r="BE83" s="70"/>
      <c r="BF83" s="241"/>
    </row>
    <row r="84" spans="1:58" ht="12.75">
      <c r="A84" s="3"/>
      <c r="B84" s="12"/>
      <c r="C84" s="3"/>
      <c r="AY84" s="103" t="s">
        <v>203</v>
      </c>
      <c r="AZ84" s="103" t="s">
        <v>204</v>
      </c>
      <c r="BA84" s="103" t="s">
        <v>494</v>
      </c>
      <c r="BB84" s="10">
        <v>545543</v>
      </c>
      <c r="BE84" s="70"/>
      <c r="BF84" s="241"/>
    </row>
    <row r="85" spans="1:58" ht="12.75">
      <c r="A85" s="3"/>
      <c r="B85" s="12"/>
      <c r="C85" s="3"/>
      <c r="AY85" s="103" t="s">
        <v>135</v>
      </c>
      <c r="AZ85" s="103" t="s">
        <v>396</v>
      </c>
      <c r="BA85" s="103" t="s">
        <v>494</v>
      </c>
      <c r="BB85" s="10">
        <v>274067</v>
      </c>
      <c r="BE85" s="70"/>
      <c r="BF85" s="241"/>
    </row>
    <row r="86" spans="1:58" ht="12.75">
      <c r="A86" s="3"/>
      <c r="B86" s="12"/>
      <c r="C86" s="3"/>
      <c r="AY86" s="103" t="s">
        <v>251</v>
      </c>
      <c r="AZ86" s="103" t="s">
        <v>252</v>
      </c>
      <c r="BA86" s="103" t="s">
        <v>494</v>
      </c>
      <c r="BB86" s="10">
        <v>374861</v>
      </c>
      <c r="BE86" s="70"/>
      <c r="BF86" s="249"/>
    </row>
    <row r="87" spans="1:58" ht="12.75">
      <c r="A87" s="3"/>
      <c r="B87" s="12"/>
      <c r="C87" s="3"/>
      <c r="AY87" s="103" t="s">
        <v>132</v>
      </c>
      <c r="AZ87" s="103" t="s">
        <v>133</v>
      </c>
      <c r="BA87" s="103" t="s">
        <v>313</v>
      </c>
      <c r="BB87" s="10">
        <v>153833</v>
      </c>
      <c r="BE87" s="70"/>
      <c r="BF87" s="249"/>
    </row>
    <row r="88" spans="1:58" ht="12.75">
      <c r="A88" s="3"/>
      <c r="B88" s="12"/>
      <c r="C88" s="3"/>
      <c r="AY88" s="103" t="s">
        <v>79</v>
      </c>
      <c r="AZ88" s="103" t="s">
        <v>80</v>
      </c>
      <c r="BA88" s="103" t="s">
        <v>494</v>
      </c>
      <c r="BB88" s="10">
        <v>258492</v>
      </c>
      <c r="BE88" s="70"/>
      <c r="BF88" s="241"/>
    </row>
    <row r="89" spans="1:58" ht="12.75">
      <c r="A89" s="3"/>
      <c r="B89" s="12"/>
      <c r="C89" s="3"/>
      <c r="AY89" s="103" t="s">
        <v>81</v>
      </c>
      <c r="AZ89" s="103" t="s">
        <v>374</v>
      </c>
      <c r="BA89" s="103" t="s">
        <v>313</v>
      </c>
      <c r="BB89" s="10">
        <v>283085</v>
      </c>
      <c r="BE89" s="70"/>
      <c r="BF89" s="241"/>
    </row>
    <row r="90" spans="1:58" ht="12.75">
      <c r="A90" s="3"/>
      <c r="B90" s="12"/>
      <c r="C90" s="3"/>
      <c r="AY90" s="103" t="s">
        <v>76</v>
      </c>
      <c r="AZ90" s="103" t="s">
        <v>371</v>
      </c>
      <c r="BA90" s="103" t="s">
        <v>313</v>
      </c>
      <c r="BB90" s="10">
        <v>357346</v>
      </c>
      <c r="BE90" s="70"/>
      <c r="BF90" s="241"/>
    </row>
    <row r="91" spans="1:58" ht="12.75">
      <c r="A91" s="3"/>
      <c r="B91" s="12"/>
      <c r="C91" s="3"/>
      <c r="AY91" s="103" t="s">
        <v>243</v>
      </c>
      <c r="AZ91" s="103" t="s">
        <v>424</v>
      </c>
      <c r="BA91" s="103" t="s">
        <v>494</v>
      </c>
      <c r="BB91" s="10">
        <v>748575</v>
      </c>
      <c r="BE91" s="247"/>
      <c r="BF91" s="249"/>
    </row>
    <row r="92" spans="1:58" ht="12.75">
      <c r="A92" s="3"/>
      <c r="B92" s="12"/>
      <c r="C92" s="3"/>
      <c r="AY92" s="103" t="s">
        <v>249</v>
      </c>
      <c r="AZ92" s="103" t="s">
        <v>250</v>
      </c>
      <c r="BA92" s="103" t="s">
        <v>494</v>
      </c>
      <c r="BB92" s="10">
        <v>322673</v>
      </c>
      <c r="BE92" s="247"/>
      <c r="BF92" s="249"/>
    </row>
    <row r="93" spans="1:58" ht="12.75">
      <c r="A93" s="3"/>
      <c r="B93" s="12"/>
      <c r="C93" s="3"/>
      <c r="AY93" s="103" t="s">
        <v>58</v>
      </c>
      <c r="AZ93" s="103" t="s">
        <v>59</v>
      </c>
      <c r="BA93" s="103" t="s">
        <v>313</v>
      </c>
      <c r="BB93" s="10">
        <v>165284</v>
      </c>
      <c r="BF93" s="252"/>
    </row>
    <row r="94" spans="1:58" ht="12.75">
      <c r="A94" s="3"/>
      <c r="B94" s="12"/>
      <c r="C94" s="3"/>
      <c r="AY94" s="103" t="s">
        <v>186</v>
      </c>
      <c r="AZ94" s="103" t="s">
        <v>409</v>
      </c>
      <c r="BA94" s="103" t="s">
        <v>313</v>
      </c>
      <c r="BB94" s="10">
        <v>339272</v>
      </c>
      <c r="BE94" s="70"/>
      <c r="BF94" s="241"/>
    </row>
    <row r="95" spans="1:58" ht="12.75">
      <c r="A95" s="3"/>
      <c r="B95" s="12"/>
      <c r="C95" s="3"/>
      <c r="AY95" s="103" t="s">
        <v>86</v>
      </c>
      <c r="AZ95" s="103" t="s">
        <v>87</v>
      </c>
      <c r="BA95" s="103" t="s">
        <v>313</v>
      </c>
      <c r="BB95" s="10">
        <v>165642</v>
      </c>
      <c r="BE95" s="247"/>
      <c r="BF95" s="249"/>
    </row>
    <row r="96" spans="1:58" ht="12.75">
      <c r="A96" s="3"/>
      <c r="B96" s="12"/>
      <c r="C96" s="3"/>
      <c r="AY96" s="103" t="s">
        <v>157</v>
      </c>
      <c r="AZ96" s="103" t="s">
        <v>158</v>
      </c>
      <c r="BA96" s="103" t="s">
        <v>313</v>
      </c>
      <c r="BB96" s="10">
        <v>208351</v>
      </c>
      <c r="BE96" s="243"/>
      <c r="BF96" s="238"/>
    </row>
    <row r="97" spans="1:58" ht="12.75">
      <c r="A97" s="3"/>
      <c r="B97" s="12"/>
      <c r="C97" s="3"/>
      <c r="AY97" s="103" t="s">
        <v>231</v>
      </c>
      <c r="AZ97" s="103" t="s">
        <v>232</v>
      </c>
      <c r="BA97" s="103" t="s">
        <v>313</v>
      </c>
      <c r="BB97" s="10">
        <v>203178</v>
      </c>
      <c r="BE97" s="243"/>
      <c r="BF97" s="238"/>
    </row>
    <row r="98" spans="1:58" ht="12.75">
      <c r="A98" s="3"/>
      <c r="B98" s="12"/>
      <c r="C98" s="3"/>
      <c r="AY98" s="103" t="s">
        <v>82</v>
      </c>
      <c r="AZ98" s="103" t="s">
        <v>375</v>
      </c>
      <c r="BA98" s="103" t="s">
        <v>313</v>
      </c>
      <c r="BB98" s="10">
        <v>214052</v>
      </c>
      <c r="BE98" s="248"/>
      <c r="BF98" s="241"/>
    </row>
    <row r="99" spans="1:58" ht="12.75">
      <c r="A99" s="3"/>
      <c r="B99" s="12"/>
      <c r="C99" s="3"/>
      <c r="AY99" s="103" t="s">
        <v>205</v>
      </c>
      <c r="AZ99" s="103" t="s">
        <v>206</v>
      </c>
      <c r="BA99" s="103" t="s">
        <v>494</v>
      </c>
      <c r="BB99" s="10">
        <v>795503</v>
      </c>
      <c r="BE99" s="70"/>
      <c r="BF99" s="249"/>
    </row>
    <row r="100" spans="1:58" ht="12.75">
      <c r="A100" s="3"/>
      <c r="B100" s="12"/>
      <c r="C100" s="3"/>
      <c r="AY100" s="103" t="s">
        <v>226</v>
      </c>
      <c r="AZ100" s="103" t="s">
        <v>419</v>
      </c>
      <c r="BA100" s="103" t="s">
        <v>313</v>
      </c>
      <c r="BB100" s="10">
        <v>648340</v>
      </c>
      <c r="BE100" s="70"/>
      <c r="BF100" s="249"/>
    </row>
    <row r="101" spans="51:58" ht="12.75">
      <c r="AY101" s="103" t="s">
        <v>51</v>
      </c>
      <c r="AZ101" s="103" t="s">
        <v>52</v>
      </c>
      <c r="BA101" s="103" t="s">
        <v>313</v>
      </c>
      <c r="BB101" s="10">
        <v>320818</v>
      </c>
      <c r="BE101" s="237"/>
      <c r="BF101" s="238"/>
    </row>
    <row r="102" spans="51:58" ht="12.75">
      <c r="AY102" s="103" t="s">
        <v>88</v>
      </c>
      <c r="AZ102" s="103" t="s">
        <v>89</v>
      </c>
      <c r="BA102" s="103" t="s">
        <v>313</v>
      </c>
      <c r="BB102" s="10">
        <v>339920</v>
      </c>
      <c r="BE102" s="237"/>
      <c r="BF102" s="238"/>
    </row>
    <row r="103" spans="51:58" ht="12.75">
      <c r="AY103" s="103" t="s">
        <v>177</v>
      </c>
      <c r="AZ103" s="103" t="s">
        <v>406</v>
      </c>
      <c r="BA103" s="103" t="s">
        <v>313</v>
      </c>
      <c r="BB103" s="10">
        <v>656875</v>
      </c>
      <c r="BE103" s="70"/>
      <c r="BF103" s="239"/>
    </row>
    <row r="104" spans="51:58" ht="12.75">
      <c r="AY104" s="103" t="s">
        <v>114</v>
      </c>
      <c r="AZ104" s="103" t="s">
        <v>385</v>
      </c>
      <c r="BA104" s="103" t="s">
        <v>313</v>
      </c>
      <c r="BB104" s="10">
        <v>236592</v>
      </c>
      <c r="BF104" s="252"/>
    </row>
    <row r="105" spans="51:58" ht="12.75">
      <c r="AY105" s="103" t="s">
        <v>259</v>
      </c>
      <c r="AZ105" s="103" t="s">
        <v>428</v>
      </c>
      <c r="BA105" s="103" t="s">
        <v>494</v>
      </c>
      <c r="BB105" s="10">
        <v>671572</v>
      </c>
      <c r="BE105" s="237"/>
      <c r="BF105" s="238"/>
    </row>
    <row r="106" spans="51:58" ht="12.75">
      <c r="AY106" s="103" t="s">
        <v>239</v>
      </c>
      <c r="AZ106" s="103" t="s">
        <v>240</v>
      </c>
      <c r="BA106" s="103" t="s">
        <v>494</v>
      </c>
      <c r="BB106" s="10">
        <v>177882</v>
      </c>
      <c r="BF106" s="252"/>
    </row>
    <row r="107" spans="51:58" ht="12.75">
      <c r="AY107" s="103" t="s">
        <v>91</v>
      </c>
      <c r="AZ107" s="103" t="s">
        <v>378</v>
      </c>
      <c r="BA107" s="103" t="s">
        <v>313</v>
      </c>
      <c r="BB107" s="10">
        <v>274443</v>
      </c>
      <c r="BF107" s="252"/>
    </row>
    <row r="108" spans="51:58" ht="12.75">
      <c r="AY108" s="103" t="s">
        <v>95</v>
      </c>
      <c r="AZ108" s="103" t="s">
        <v>380</v>
      </c>
      <c r="BA108" s="103" t="s">
        <v>313</v>
      </c>
      <c r="BB108" s="10">
        <v>213174</v>
      </c>
      <c r="BE108" s="70"/>
      <c r="BF108" s="239"/>
    </row>
    <row r="109" spans="51:58" ht="12.75">
      <c r="AY109" s="103" t="s">
        <v>179</v>
      </c>
      <c r="AZ109" s="103" t="s">
        <v>180</v>
      </c>
      <c r="BA109" s="103" t="s">
        <v>313</v>
      </c>
      <c r="BB109" s="10">
        <v>278950</v>
      </c>
      <c r="BE109" s="237"/>
      <c r="BF109" s="238"/>
    </row>
    <row r="110" spans="51:58" ht="12.75">
      <c r="AY110" s="103" t="s">
        <v>273</v>
      </c>
      <c r="AZ110" s="103" t="s">
        <v>274</v>
      </c>
      <c r="BA110" s="103" t="s">
        <v>313</v>
      </c>
      <c r="BB110" s="10">
        <v>133304</v>
      </c>
      <c r="BE110" s="70"/>
      <c r="BF110" s="249"/>
    </row>
    <row r="111" spans="51:58" ht="12.75">
      <c r="AY111" s="103" t="s">
        <v>155</v>
      </c>
      <c r="AZ111" s="103" t="s">
        <v>400</v>
      </c>
      <c r="BA111" s="103" t="s">
        <v>313</v>
      </c>
      <c r="BB111" s="10">
        <v>197060</v>
      </c>
      <c r="BE111" s="70"/>
      <c r="BF111" s="239"/>
    </row>
    <row r="112" spans="51:58" ht="12.75">
      <c r="AY112" s="103" t="s">
        <v>100</v>
      </c>
      <c r="AZ112" s="103" t="s">
        <v>101</v>
      </c>
      <c r="BA112" s="103" t="s">
        <v>313</v>
      </c>
      <c r="BB112" s="10">
        <v>253140</v>
      </c>
      <c r="BE112" s="250"/>
      <c r="BF112" s="249"/>
    </row>
    <row r="113" spans="51:58" ht="12.75">
      <c r="AY113" s="103" t="s">
        <v>92</v>
      </c>
      <c r="AZ113" s="103" t="s">
        <v>93</v>
      </c>
      <c r="BA113" s="103" t="s">
        <v>313</v>
      </c>
      <c r="BB113" s="10">
        <v>240983</v>
      </c>
      <c r="BE113" s="70"/>
      <c r="BF113" s="241"/>
    </row>
    <row r="114" spans="51:58" ht="12.75">
      <c r="AY114" s="103" t="s">
        <v>228</v>
      </c>
      <c r="AZ114" s="103" t="s">
        <v>421</v>
      </c>
      <c r="BA114" s="103" t="s">
        <v>313</v>
      </c>
      <c r="BB114" s="10">
        <v>340451</v>
      </c>
      <c r="BF114" s="241"/>
    </row>
    <row r="115" spans="51:58" ht="12.75">
      <c r="AY115" s="103" t="s">
        <v>189</v>
      </c>
      <c r="AZ115" s="103" t="s">
        <v>190</v>
      </c>
      <c r="BA115" s="103" t="s">
        <v>313</v>
      </c>
      <c r="BB115" s="10">
        <v>280673</v>
      </c>
      <c r="BE115" s="248"/>
      <c r="BF115" s="241"/>
    </row>
    <row r="116" spans="51:58" ht="12.75">
      <c r="AY116" s="103" t="s">
        <v>169</v>
      </c>
      <c r="AZ116" s="103" t="s">
        <v>170</v>
      </c>
      <c r="BA116" s="103" t="s">
        <v>313</v>
      </c>
      <c r="BB116" s="10">
        <v>565874</v>
      </c>
      <c r="BE116" s="70"/>
      <c r="BF116" s="239"/>
    </row>
    <row r="117" spans="51:58" ht="12.75">
      <c r="AY117" s="103" t="s">
        <v>152</v>
      </c>
      <c r="AZ117" s="103" t="s">
        <v>399</v>
      </c>
      <c r="BA117" s="103" t="s">
        <v>494</v>
      </c>
      <c r="BB117" s="10">
        <v>295379</v>
      </c>
      <c r="BE117" s="237"/>
      <c r="BF117" s="238"/>
    </row>
    <row r="118" spans="51:58" ht="12.75">
      <c r="AY118" s="103" t="s">
        <v>56</v>
      </c>
      <c r="AZ118" s="103" t="s">
        <v>57</v>
      </c>
      <c r="BA118" s="103" t="s">
        <v>313</v>
      </c>
      <c r="BB118" s="10">
        <v>217094</v>
      </c>
      <c r="BE118" s="70"/>
      <c r="BF118" s="239"/>
    </row>
    <row r="119" spans="51:58" ht="12.75">
      <c r="AY119" s="103" t="s">
        <v>268</v>
      </c>
      <c r="AZ119" s="103" t="s">
        <v>431</v>
      </c>
      <c r="BA119" s="103" t="s">
        <v>313</v>
      </c>
      <c r="BB119" s="10">
        <v>538131</v>
      </c>
      <c r="BE119" s="70"/>
      <c r="BF119" s="239"/>
    </row>
    <row r="120" spans="51:58" ht="12.75">
      <c r="AY120" s="103" t="s">
        <v>150</v>
      </c>
      <c r="AZ120" s="103" t="s">
        <v>151</v>
      </c>
      <c r="BA120" s="103" t="s">
        <v>494</v>
      </c>
      <c r="BB120" s="10">
        <v>389725</v>
      </c>
      <c r="BE120" s="70"/>
      <c r="BF120" s="239"/>
    </row>
    <row r="121" spans="51:58" ht="12.75">
      <c r="AY121" s="103" t="s">
        <v>212</v>
      </c>
      <c r="AZ121" s="103" t="s">
        <v>213</v>
      </c>
      <c r="BA121" s="103" t="s">
        <v>494</v>
      </c>
      <c r="BB121" s="10">
        <v>356812</v>
      </c>
      <c r="BE121" s="237"/>
      <c r="BF121" s="238"/>
    </row>
    <row r="122" spans="51:58" ht="12.75">
      <c r="AY122" s="103" t="s">
        <v>60</v>
      </c>
      <c r="AZ122" s="103" t="s">
        <v>61</v>
      </c>
      <c r="BA122" s="103" t="s">
        <v>313</v>
      </c>
      <c r="BB122" s="10">
        <v>256321</v>
      </c>
      <c r="BE122" s="70"/>
      <c r="BF122" s="249"/>
    </row>
    <row r="123" spans="51:58" ht="12.75">
      <c r="AY123" s="103" t="s">
        <v>234</v>
      </c>
      <c r="AZ123" s="103" t="s">
        <v>423</v>
      </c>
      <c r="BA123" s="103" t="s">
        <v>494</v>
      </c>
      <c r="BB123" s="10">
        <v>615835</v>
      </c>
      <c r="BF123" s="252"/>
    </row>
    <row r="124" spans="51:58" ht="12.75">
      <c r="AY124" s="103" t="s">
        <v>130</v>
      </c>
      <c r="AZ124" s="103" t="s">
        <v>393</v>
      </c>
      <c r="BA124" s="103" t="s">
        <v>313</v>
      </c>
      <c r="BB124" s="10">
        <v>150179</v>
      </c>
      <c r="BF124" s="252"/>
    </row>
    <row r="125" spans="51:58" ht="12.75">
      <c r="AY125" s="103" t="s">
        <v>253</v>
      </c>
      <c r="AZ125" s="103" t="s">
        <v>254</v>
      </c>
      <c r="BA125" s="103" t="s">
        <v>313</v>
      </c>
      <c r="BB125" s="10">
        <v>420503</v>
      </c>
      <c r="BE125" s="70"/>
      <c r="BF125" s="249"/>
    </row>
    <row r="126" spans="51:58" ht="12.75">
      <c r="AY126" s="103" t="s">
        <v>134</v>
      </c>
      <c r="AZ126" s="103" t="s">
        <v>395</v>
      </c>
      <c r="BA126" s="103" t="s">
        <v>313</v>
      </c>
      <c r="BB126" s="10">
        <v>263936</v>
      </c>
      <c r="BE126" s="70"/>
      <c r="BF126" s="239"/>
    </row>
    <row r="127" spans="51:58" ht="12.75">
      <c r="AY127" s="103" t="s">
        <v>142</v>
      </c>
      <c r="AZ127" s="103" t="s">
        <v>143</v>
      </c>
      <c r="BA127" s="103" t="s">
        <v>313</v>
      </c>
      <c r="BB127" s="10">
        <v>308593</v>
      </c>
      <c r="BF127" s="252"/>
    </row>
    <row r="128" spans="51:58" ht="12.75">
      <c r="AY128" s="103" t="s">
        <v>94</v>
      </c>
      <c r="AZ128" s="103" t="s">
        <v>379</v>
      </c>
      <c r="BA128" s="103" t="s">
        <v>494</v>
      </c>
      <c r="BB128" s="10">
        <v>298190</v>
      </c>
      <c r="BE128" s="250"/>
      <c r="BF128" s="249"/>
    </row>
    <row r="129" spans="51:58" ht="12.75">
      <c r="AY129" s="103" t="s">
        <v>85</v>
      </c>
      <c r="AZ129" s="103" t="s">
        <v>376</v>
      </c>
      <c r="BA129" s="103" t="s">
        <v>313</v>
      </c>
      <c r="BB129" s="10">
        <v>191885</v>
      </c>
      <c r="BE129" s="70"/>
      <c r="BF129" s="249"/>
    </row>
    <row r="130" spans="51:58" ht="12.75">
      <c r="AY130" s="103" t="s">
        <v>233</v>
      </c>
      <c r="AZ130" s="103" t="s">
        <v>422</v>
      </c>
      <c r="BA130" s="103" t="s">
        <v>313</v>
      </c>
      <c r="BB130" s="10">
        <v>268223</v>
      </c>
      <c r="BE130" s="70"/>
      <c r="BF130" s="249"/>
    </row>
    <row r="131" spans="51:58" ht="12.75">
      <c r="AY131" s="103" t="s">
        <v>245</v>
      </c>
      <c r="AZ131" s="103" t="s">
        <v>246</v>
      </c>
      <c r="BA131" s="103" t="s">
        <v>494</v>
      </c>
      <c r="BB131" s="10">
        <v>616983</v>
      </c>
      <c r="BE131" s="247"/>
      <c r="BF131" s="249"/>
    </row>
    <row r="132" spans="51:58" ht="12.75">
      <c r="AY132" s="103" t="s">
        <v>131</v>
      </c>
      <c r="AZ132" s="103" t="s">
        <v>394</v>
      </c>
      <c r="BA132" s="103" t="s">
        <v>313</v>
      </c>
      <c r="BB132" s="10">
        <v>283991</v>
      </c>
      <c r="BE132" s="247"/>
      <c r="BF132" s="249"/>
    </row>
    <row r="133" spans="51:58" ht="12.75">
      <c r="AY133" s="103" t="s">
        <v>216</v>
      </c>
      <c r="AZ133" s="103" t="s">
        <v>217</v>
      </c>
      <c r="BA133" s="103" t="s">
        <v>313</v>
      </c>
      <c r="BB133" s="10">
        <v>1156805</v>
      </c>
      <c r="BE133" s="247"/>
      <c r="BF133" s="251"/>
    </row>
    <row r="134" spans="51:58" ht="12.75">
      <c r="AY134" s="103" t="s">
        <v>156</v>
      </c>
      <c r="AZ134" s="103" t="s">
        <v>401</v>
      </c>
      <c r="BA134" s="103" t="s">
        <v>313</v>
      </c>
      <c r="BB134" s="10">
        <v>390971</v>
      </c>
      <c r="BE134" s="243"/>
      <c r="BF134" s="238"/>
    </row>
    <row r="135" spans="51:58" ht="12.75">
      <c r="AY135" s="103" t="s">
        <v>121</v>
      </c>
      <c r="AZ135" s="103" t="s">
        <v>122</v>
      </c>
      <c r="BA135" s="103" t="s">
        <v>493</v>
      </c>
      <c r="BB135" s="10">
        <v>218182</v>
      </c>
      <c r="BE135" s="250"/>
      <c r="BF135" s="249"/>
    </row>
    <row r="136" spans="51:58" ht="12.75">
      <c r="AY136" s="103" t="s">
        <v>148</v>
      </c>
      <c r="AZ136" s="103" t="s">
        <v>397</v>
      </c>
      <c r="BA136" s="103" t="s">
        <v>494</v>
      </c>
      <c r="BB136" s="10">
        <v>236598</v>
      </c>
      <c r="BE136" s="237"/>
      <c r="BF136" s="238"/>
    </row>
    <row r="137" spans="51:58" ht="12.75">
      <c r="AY137" s="103" t="s">
        <v>160</v>
      </c>
      <c r="AZ137" s="103" t="s">
        <v>403</v>
      </c>
      <c r="BA137" s="103" t="s">
        <v>494</v>
      </c>
      <c r="BB137" s="10">
        <v>165993</v>
      </c>
      <c r="BF137" s="252"/>
    </row>
    <row r="138" spans="51:58" ht="12.75">
      <c r="AY138" s="103" t="s">
        <v>54</v>
      </c>
      <c r="AZ138" s="103" t="s">
        <v>55</v>
      </c>
      <c r="BA138" s="103" t="s">
        <v>313</v>
      </c>
      <c r="BB138" s="10">
        <v>145889</v>
      </c>
      <c r="BE138" s="70"/>
      <c r="BF138" s="239"/>
    </row>
    <row r="139" spans="51:58" ht="12.75">
      <c r="AY139" s="103" t="s">
        <v>75</v>
      </c>
      <c r="AZ139" s="103" t="s">
        <v>370</v>
      </c>
      <c r="BA139" s="103" t="s">
        <v>313</v>
      </c>
      <c r="BB139" s="10">
        <v>267393</v>
      </c>
      <c r="BE139" s="237"/>
      <c r="BF139" s="238"/>
    </row>
    <row r="140" spans="51:58" ht="12.75">
      <c r="AY140" s="103" t="s">
        <v>201</v>
      </c>
      <c r="AZ140" s="103" t="s">
        <v>202</v>
      </c>
      <c r="BA140" s="103" t="s">
        <v>494</v>
      </c>
      <c r="BB140" s="10">
        <v>232551</v>
      </c>
      <c r="BE140" s="70"/>
      <c r="BF140" s="239"/>
    </row>
    <row r="141" spans="51:58" ht="12.75">
      <c r="AY141" s="103" t="s">
        <v>167</v>
      </c>
      <c r="AZ141" s="103" t="s">
        <v>168</v>
      </c>
      <c r="BA141" s="103" t="s">
        <v>494</v>
      </c>
      <c r="BB141" s="10">
        <v>350958</v>
      </c>
      <c r="BE141" s="70"/>
      <c r="BF141" s="239"/>
    </row>
    <row r="142" spans="51:58" ht="12.75">
      <c r="AY142" s="103" t="s">
        <v>153</v>
      </c>
      <c r="AZ142" s="103" t="s">
        <v>154</v>
      </c>
      <c r="BA142" s="103" t="s">
        <v>313</v>
      </c>
      <c r="BB142" s="10">
        <v>265654</v>
      </c>
      <c r="BE142" s="70"/>
      <c r="BF142" s="241"/>
    </row>
    <row r="143" spans="51:58" ht="12.75">
      <c r="AY143" s="103" t="s">
        <v>181</v>
      </c>
      <c r="AZ143" s="103" t="s">
        <v>182</v>
      </c>
      <c r="BA143" s="103" t="s">
        <v>313</v>
      </c>
      <c r="BB143" s="10">
        <v>284466</v>
      </c>
      <c r="BE143" s="70"/>
      <c r="BF143" s="249"/>
    </row>
    <row r="144" spans="51:58" ht="12.75">
      <c r="AY144" s="103" t="s">
        <v>146</v>
      </c>
      <c r="AZ144" s="103" t="s">
        <v>147</v>
      </c>
      <c r="BA144" s="103" t="s">
        <v>313</v>
      </c>
      <c r="BB144" s="10">
        <v>319933</v>
      </c>
      <c r="BE144" s="70"/>
      <c r="BF144" s="241"/>
    </row>
    <row r="145" spans="51:58" ht="12.75">
      <c r="AY145" s="103" t="s">
        <v>111</v>
      </c>
      <c r="AZ145" s="103" t="s">
        <v>112</v>
      </c>
      <c r="BA145" s="103" t="s">
        <v>313</v>
      </c>
      <c r="BB145" s="10">
        <v>192336</v>
      </c>
      <c r="BE145" s="248"/>
      <c r="BF145" s="249"/>
    </row>
    <row r="146" spans="51:58" ht="12.75">
      <c r="AY146" s="103" t="s">
        <v>237</v>
      </c>
      <c r="AZ146" s="103" t="s">
        <v>238</v>
      </c>
      <c r="BA146" s="103" t="s">
        <v>313</v>
      </c>
      <c r="BB146" s="10">
        <v>548313</v>
      </c>
      <c r="BF146" s="252"/>
    </row>
    <row r="147" spans="51:58" ht="12.75">
      <c r="AY147" s="103" t="s">
        <v>247</v>
      </c>
      <c r="AZ147" s="103" t="s">
        <v>248</v>
      </c>
      <c r="BA147" s="103" t="s">
        <v>313</v>
      </c>
      <c r="BB147" s="10">
        <v>287229</v>
      </c>
      <c r="BF147" s="252"/>
    </row>
    <row r="148" spans="51:58" ht="12.75">
      <c r="AY148" s="103" t="s">
        <v>222</v>
      </c>
      <c r="AZ148" s="103" t="s">
        <v>417</v>
      </c>
      <c r="BA148" s="103" t="s">
        <v>494</v>
      </c>
      <c r="BB148" s="10">
        <v>707573</v>
      </c>
      <c r="BF148" s="252"/>
    </row>
    <row r="149" spans="51:58" ht="12.75">
      <c r="AY149" s="103" t="s">
        <v>218</v>
      </c>
      <c r="AZ149" s="103" t="s">
        <v>219</v>
      </c>
      <c r="BA149" s="103" t="s">
        <v>494</v>
      </c>
      <c r="BB149" s="10">
        <v>825533</v>
      </c>
      <c r="BE149" s="248"/>
      <c r="BF149" s="249"/>
    </row>
    <row r="150" spans="51:58" ht="12.75">
      <c r="AY150" s="103" t="s">
        <v>196</v>
      </c>
      <c r="AZ150" s="103" t="s">
        <v>197</v>
      </c>
      <c r="BA150" s="103" t="s">
        <v>313</v>
      </c>
      <c r="BB150" s="10">
        <v>259945</v>
      </c>
      <c r="BF150" s="252"/>
    </row>
    <row r="151" spans="51:58" ht="12.75">
      <c r="AY151" s="103" t="s">
        <v>138</v>
      </c>
      <c r="AZ151" s="103" t="s">
        <v>139</v>
      </c>
      <c r="BA151" s="103" t="s">
        <v>313</v>
      </c>
      <c r="BB151" s="10">
        <v>246573</v>
      </c>
      <c r="BF151" s="252"/>
    </row>
    <row r="152" spans="51:58" ht="12.75">
      <c r="AY152" s="103" t="s">
        <v>266</v>
      </c>
      <c r="AZ152" s="103" t="s">
        <v>267</v>
      </c>
      <c r="BA152" s="103" t="s">
        <v>494</v>
      </c>
      <c r="BB152" s="10">
        <v>462395</v>
      </c>
      <c r="BE152" s="250"/>
      <c r="BF152" s="239"/>
    </row>
    <row r="153" spans="51:58" ht="12.75">
      <c r="AY153" s="103" t="s">
        <v>191</v>
      </c>
      <c r="AZ153" s="103" t="s">
        <v>192</v>
      </c>
      <c r="BA153" s="103" t="s">
        <v>313</v>
      </c>
      <c r="BB153" s="10">
        <v>332176</v>
      </c>
      <c r="BF153" s="252"/>
    </row>
    <row r="154" spans="51:58" ht="12.75">
      <c r="AY154" s="103" t="s">
        <v>161</v>
      </c>
      <c r="AZ154" s="103" t="s">
        <v>404</v>
      </c>
      <c r="BA154" s="103" t="s">
        <v>313</v>
      </c>
      <c r="BB154" s="10">
        <v>246213</v>
      </c>
      <c r="BE154" s="237"/>
      <c r="BF154" s="238"/>
    </row>
    <row r="155" spans="51:58" ht="12.75">
      <c r="AY155" s="103" t="s">
        <v>235</v>
      </c>
      <c r="AZ155" s="103" t="s">
        <v>236</v>
      </c>
      <c r="BA155" s="103" t="s">
        <v>494</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508</v>
      </c>
      <c r="B3" s="56" t="s">
        <v>176</v>
      </c>
      <c r="C3" s="56" t="s">
        <v>24</v>
      </c>
    </row>
    <row r="4" spans="1:2" ht="12.75">
      <c r="A4" s="76">
        <v>1</v>
      </c>
      <c r="B4" s="78" t="s">
        <v>175</v>
      </c>
    </row>
    <row r="5" ht="12.75">
      <c r="A5" s="280" t="s">
        <v>508</v>
      </c>
    </row>
    <row r="6" ht="12.75">
      <c r="A6" s="280" t="s">
        <v>528</v>
      </c>
    </row>
    <row r="7" ht="12.75">
      <c r="A7" s="280" t="s">
        <v>513</v>
      </c>
    </row>
    <row r="8" ht="12.75">
      <c r="A8" s="280" t="s">
        <v>499</v>
      </c>
    </row>
    <row r="9" ht="12.75">
      <c r="A9" s="280" t="s">
        <v>519</v>
      </c>
    </row>
    <row r="10" ht="12.75">
      <c r="A10" s="280" t="s">
        <v>524</v>
      </c>
    </row>
    <row r="11" ht="12.75">
      <c r="A11" s="280" t="s">
        <v>521</v>
      </c>
    </row>
    <row r="12" ht="12.75">
      <c r="A12" s="280" t="s">
        <v>527</v>
      </c>
    </row>
    <row r="13" ht="12.75">
      <c r="A13" s="280" t="s">
        <v>502</v>
      </c>
    </row>
    <row r="14" ht="12.75">
      <c r="A14" s="280" t="s">
        <v>505</v>
      </c>
    </row>
    <row r="15" ht="12.75">
      <c r="A15" s="280" t="s">
        <v>517</v>
      </c>
    </row>
    <row r="16" ht="12.75">
      <c r="A16" s="280" t="s">
        <v>525</v>
      </c>
    </row>
    <row r="17" ht="12.75">
      <c r="A17" s="280" t="s">
        <v>510</v>
      </c>
    </row>
    <row r="18" ht="12.75">
      <c r="A18" s="280" t="s">
        <v>515</v>
      </c>
    </row>
    <row r="19" ht="12.75">
      <c r="A19" s="280" t="s">
        <v>516</v>
      </c>
    </row>
    <row r="20" ht="12.75">
      <c r="A20" s="280" t="s">
        <v>529</v>
      </c>
    </row>
    <row r="21" ht="12.75">
      <c r="A21" s="280" t="s">
        <v>520</v>
      </c>
    </row>
    <row r="22" ht="12.75">
      <c r="A22" s="280" t="s">
        <v>523</v>
      </c>
    </row>
    <row r="23" ht="12.75">
      <c r="A23" s="280" t="s">
        <v>526</v>
      </c>
    </row>
    <row r="24" ht="12.75">
      <c r="A24" s="280" t="s">
        <v>514</v>
      </c>
    </row>
    <row r="25" ht="12.75">
      <c r="A25" s="280" t="s">
        <v>512</v>
      </c>
    </row>
    <row r="26" ht="12.75">
      <c r="A26" s="280" t="s">
        <v>511</v>
      </c>
    </row>
    <row r="27" ht="12.75">
      <c r="A27" s="280" t="s">
        <v>506</v>
      </c>
    </row>
    <row r="28" ht="12.75">
      <c r="A28" s="280" t="s">
        <v>522</v>
      </c>
    </row>
    <row r="29" ht="12.75">
      <c r="A29" s="280" t="s">
        <v>518</v>
      </c>
    </row>
    <row r="30" ht="12.75">
      <c r="A30" s="280" t="s">
        <v>509</v>
      </c>
    </row>
    <row r="31" ht="12.75">
      <c r="A31" s="280" t="s">
        <v>500</v>
      </c>
    </row>
    <row r="32" ht="12.75">
      <c r="A32" s="280" t="s">
        <v>507</v>
      </c>
    </row>
    <row r="33" ht="12.75">
      <c r="A33" s="280" t="s">
        <v>504</v>
      </c>
    </row>
    <row r="34" ht="12.75">
      <c r="A34" s="280" t="s">
        <v>503</v>
      </c>
    </row>
    <row r="35" ht="12.75">
      <c r="A35" s="280" t="s">
        <v>501</v>
      </c>
    </row>
    <row r="36" ht="12.75">
      <c r="A36" s="280"/>
    </row>
    <row r="37" ht="12.75">
      <c r="A37" s="280"/>
    </row>
    <row r="38" ht="12.75">
      <c r="A38" s="280"/>
    </row>
    <row r="39" ht="12.75">
      <c r="A39" s="280"/>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