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<sst xmlns="http://schemas.openxmlformats.org/spreadsheetml/2006/main" count="2116" uniqueCount="667">
  <si>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</si>
  <si>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</si>
  <si>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</si>
  <si>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</si>
  <si>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</si>
  <si>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</si>
  <si>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</si>
  <si>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</si>
  <si>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</si>
  <si>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</si>
  <si>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</si>
  <si>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</si>
  <si>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</si>
  <si>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</si>
  <si>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</si>
  <si>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</si>
  <si>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</si>
  <si>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</si>
  <si>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</si>
  <si>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</si>
  <si>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</si>
  <si>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</si>
  <si>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</si>
  <si>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</si>
  <si>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</si>
  <si>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</si>
  <si>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</si>
  <si>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</si>
  <si>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</si>
  <si>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</si>
  <si>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</si>
  <si>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</si>
  <si>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</si>
  <si>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</si>
  <si>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</si>
  <si>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</si>
  <si>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</si>
  <si>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</si>
  <si>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</si>
  <si>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</si>
  <si>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</si>
  <si>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</si>
  <si>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</si>
  <si>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</si>
  <si>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</si>
  <si>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</si>
  <si>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</si>
  <si>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</si>
  <si>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</si>
  <si>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</si>
  <si>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</si>
  <si>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</si>
  <si>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</si>
  <si>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</si>
  <si>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</si>
  <si>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</si>
  <si>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</si>
  <si>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</si>
  <si>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</si>
  <si>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</si>
  <si>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</si>
  <si>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</si>
  <si>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</si>
  <si>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</si>
  <si>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</si>
  <si>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</si>
  <si>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</si>
  <si>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</si>
  <si>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</si>
  <si>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</si>
  <si>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</si>
  <si>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</si>
  <si>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</si>
  <si>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</si>
  <si>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</si>
  <si>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</si>
  <si>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</si>
  <si>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</si>
  <si>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</si>
  <si>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</si>
  <si>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</si>
  <si>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</si>
  <si>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</si>
  <si>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</si>
  <si>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</si>
  <si>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</si>
  <si>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</si>
  <si>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</si>
  <si>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</si>
  <si>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</si>
  <si>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</si>
  <si>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</si>
  <si>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</si>
  <si>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</si>
  <si>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</si>
  <si>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</si>
  <si>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</si>
  <si>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</si>
  <si>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</si>
  <si>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</si>
  <si>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</si>
  <si>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</si>
  <si>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</si>
  <si>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</si>
  <si>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</si>
  <si>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</si>
  <si>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</si>
  <si>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</si>
  <si>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</si>
  <si>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</si>
  <si>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</si>
  <si>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</si>
  <si>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</si>
  <si>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</si>
  <si>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</si>
  <si>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</si>
  <si>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</si>
  <si>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</si>
  <si>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</si>
  <si>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</si>
  <si>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</si>
  <si>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</si>
  <si>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</si>
  <si>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</si>
  <si>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</si>
  <si>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</si>
  <si>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</si>
  <si>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</si>
  <si>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</si>
  <si>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</si>
  <si>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</si>
  <si>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</si>
  <si>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</si>
  <si>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</si>
  <si>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</si>
  <si>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</si>
  <si>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</si>
  <si>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</si>
  <si>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</si>
  <si>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</si>
  <si>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</si>
  <si>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</si>
  <si>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</si>
  <si>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</si>
  <si>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</si>
  <si>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</si>
  <si>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</si>
  <si>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</si>
  <si>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</si>
  <si>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</si>
  <si>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</si>
  <si>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</si>
  <si>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</si>
  <si>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</si>
  <si>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</si>
  <si>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</si>
  <si>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</si>
  <si>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</si>
  <si>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</si>
  <si>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</si>
  <si>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</si>
  <si>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</si>
  <si>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</si>
  <si>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</si>
  <si>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</si>
  <si>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</si>
  <si>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</si>
  <si>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</si>
  <si>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</si>
  <si>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</si>
  <si>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</si>
  <si>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</si>
  <si>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</si>
  <si>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</si>
  <si>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</si>
  <si>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</si>
  <si>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</si>
  <si>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</si>
  <si>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</si>
  <si>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</si>
  <si>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</si>
  <si>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</si>
  <si>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</si>
  <si>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</si>
  <si>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</si>
  <si>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</si>
  <si>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</si>
  <si>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</si>
  <si>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</si>
  <si>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</si>
  <si>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</si>
  <si>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</si>
  <si>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</si>
  <si>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</si>
  <si>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</si>
  <si>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</si>
  <si>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</si>
  <si>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</si>
  <si>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</si>
  <si>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</si>
  <si>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</si>
  <si>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</si>
  <si>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</si>
  <si>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</si>
  <si>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</si>
  <si>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</si>
  <si>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</si>
  <si>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</si>
  <si>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</si>
  <si>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</si>
  <si>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</si>
  <si>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</si>
  <si>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</si>
  <si>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</si>
  <si>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</si>
  <si>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</si>
  <si>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</si>
  <si>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</si>
  <si>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</si>
  <si>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</si>
  <si>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</si>
  <si>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</si>
  <si>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</si>
  <si>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</si>
  <si>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</si>
  <si>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</si>
  <si>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</si>
  <si>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</si>
  <si>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</si>
  <si>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</si>
  <si>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</si>
  <si>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</si>
  <si>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</si>
  <si>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</si>
  <si>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</si>
  <si>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</si>
  <si>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</si>
  <si>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</si>
  <si>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</si>
  <si>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</si>
  <si>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</si>
  <si>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</si>
  <si>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</si>
  <si>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</si>
  <si>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</si>
  <si>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</si>
  <si>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</si>
  <si>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</si>
  <si>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</si>
  <si>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</si>
  <si>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</si>
  <si>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</si>
  <si>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</si>
  <si>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</si>
  <si>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</si>
  <si>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</si>
  <si>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</si>
  <si>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</si>
  <si>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</si>
  <si>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</si>
  <si>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</si>
  <si>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</si>
  <si>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</si>
  <si>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</si>
  <si>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</si>
  <si>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</si>
  <si>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</si>
  <si>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</si>
  <si>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</si>
  <si>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</si>
  <si>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</si>
  <si>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</si>
  <si>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</si>
  <si>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</si>
  <si>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</si>
  <si>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</si>
  <si>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</si>
  <si>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</si>
  <si>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</si>
  <si>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</si>
  <si>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</si>
  <si>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</si>
  <si>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C82040</t>
  </si>
  <si>
    <t>C84002</t>
  </si>
  <si>
    <t>C84003</t>
  </si>
  <si>
    <t>C84005</t>
  </si>
  <si>
    <t>C84009</t>
  </si>
  <si>
    <t>C84012</t>
  </si>
  <si>
    <t>C84014</t>
  </si>
  <si>
    <t>C84016</t>
  </si>
  <si>
    <t>C84017</t>
  </si>
  <si>
    <t>C84019</t>
  </si>
  <si>
    <t>C84020</t>
  </si>
  <si>
    <t>C84021</t>
  </si>
  <si>
    <t>C84025</t>
  </si>
  <si>
    <t>C84026</t>
  </si>
  <si>
    <t>C84028</t>
  </si>
  <si>
    <t>C84029</t>
  </si>
  <si>
    <t>C84030</t>
  </si>
  <si>
    <t>C84031</t>
  </si>
  <si>
    <t>C84032</t>
  </si>
  <si>
    <t>C84033</t>
  </si>
  <si>
    <t>C84036</t>
  </si>
  <si>
    <t>C84037</t>
  </si>
  <si>
    <t>C84042</t>
  </si>
  <si>
    <t>C84045</t>
  </si>
  <si>
    <t>C84047</t>
  </si>
  <si>
    <t>C84048</t>
  </si>
  <si>
    <t>C84049</t>
  </si>
  <si>
    <t>C84051</t>
  </si>
  <si>
    <t>C84053</t>
  </si>
  <si>
    <t>C84055</t>
  </si>
  <si>
    <t>C84057</t>
  </si>
  <si>
    <t>C84059</t>
  </si>
  <si>
    <t>C84061</t>
  </si>
  <si>
    <t>C84065</t>
  </si>
  <si>
    <t>C84066</t>
  </si>
  <si>
    <t>C84067</t>
  </si>
  <si>
    <t>C84069</t>
  </si>
  <si>
    <t>C84074</t>
  </si>
  <si>
    <t>C84076</t>
  </si>
  <si>
    <t>C84077</t>
  </si>
  <si>
    <t>C84080</t>
  </si>
  <si>
    <t>C84082</t>
  </si>
  <si>
    <t>C84084</t>
  </si>
  <si>
    <t>C84086</t>
  </si>
  <si>
    <t>C84087</t>
  </si>
  <si>
    <t>C84090</t>
  </si>
  <si>
    <t>C84095</t>
  </si>
  <si>
    <t>C84106</t>
  </si>
  <si>
    <t>C84107</t>
  </si>
  <si>
    <t>C84112</t>
  </si>
  <si>
    <t>C84113</t>
  </si>
  <si>
    <t>C84114</t>
  </si>
  <si>
    <t>C84115</t>
  </si>
  <si>
    <t>C84120</t>
  </si>
  <si>
    <t>C84121</t>
  </si>
  <si>
    <t>C84123</t>
  </si>
  <si>
    <t>C84125</t>
  </si>
  <si>
    <t>C84127</t>
  </si>
  <si>
    <t>C84131</t>
  </si>
  <si>
    <t>C84133</t>
  </si>
  <si>
    <t>C84140</t>
  </si>
  <si>
    <t>C84142</t>
  </si>
  <si>
    <t>C84146</t>
  </si>
  <si>
    <t>C84149</t>
  </si>
  <si>
    <t>C84150</t>
  </si>
  <si>
    <t>C84605</t>
  </si>
  <si>
    <t>C84612</t>
  </si>
  <si>
    <t>C84613</t>
  </si>
  <si>
    <t>C84621</t>
  </si>
  <si>
    <t>C84624</t>
  </si>
  <si>
    <t>C84629</t>
  </si>
  <si>
    <t>C84637</t>
  </si>
  <si>
    <t>C84646</t>
  </si>
  <si>
    <t>C84648</t>
  </si>
  <si>
    <t>C84654</t>
  </si>
  <si>
    <t>C84656</t>
  </si>
  <si>
    <t>C84658</t>
  </si>
  <si>
    <t>C84660</t>
  </si>
  <si>
    <t>C84666</t>
  </si>
  <si>
    <t>C84667</t>
  </si>
  <si>
    <t>C84675</t>
  </si>
  <si>
    <t>C84678</t>
  </si>
  <si>
    <t>C84679</t>
  </si>
  <si>
    <t>C84696</t>
  </si>
  <si>
    <t>C84703</t>
  </si>
  <si>
    <t>C84705</t>
  </si>
  <si>
    <t>C84709</t>
  </si>
  <si>
    <t>C84710</t>
  </si>
  <si>
    <t>C84712</t>
  </si>
  <si>
    <t>C84718</t>
  </si>
  <si>
    <t>5CC</t>
  </si>
  <si>
    <t>Y00026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</si>
  <si>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</si>
  <si>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</si>
  <si>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</si>
  <si>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</si>
  <si>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</si>
  <si>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</si>
  <si>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</si>
  <si>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</si>
  <si>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</si>
  <si>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</si>
  <si>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</si>
  <si>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</si>
  <si>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</si>
  <si>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</si>
  <si>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</si>
  <si>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</si>
  <si>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</si>
  <si>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</si>
  <si>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</si>
  <si>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</si>
  <si>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</si>
  <si>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</si>
  <si>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</si>
  <si>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</si>
  <si>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</si>
  <si>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</si>
  <si>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</si>
  <si>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</si>
  <si>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</si>
  <si>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</si>
  <si>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</si>
  <si>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</si>
  <si>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</si>
  <si>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</si>
  <si>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</si>
  <si>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</si>
  <si>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</si>
  <si>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</si>
  <si>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</si>
  <si>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</si>
  <si>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</si>
  <si>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</si>
  <si>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</si>
  <si>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</si>
  <si>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</si>
  <si>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</si>
  <si>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</si>
  <si>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</si>
  <si>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</si>
  <si>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</si>
  <si>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</si>
  <si>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</si>
  <si>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</si>
  <si>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</si>
  <si>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</si>
  <si>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</si>
  <si>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</si>
  <si>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</si>
  <si>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</si>
  <si>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</si>
  <si>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</si>
  <si>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</si>
  <si>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</si>
  <si>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</si>
  <si>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</si>
  <si>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</si>
  <si>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</si>
  <si>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</si>
  <si>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</si>
  <si>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</si>
  <si>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</si>
  <si>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</si>
  <si>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</si>
  <si>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</si>
  <si>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</si>
  <si>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</si>
  <si>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</si>
  <si>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</si>
  <si>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</si>
  <si>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</si>
  <si>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</si>
  <si>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</si>
  <si>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</si>
  <si>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</si>
  <si>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</si>
  <si>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</si>
  <si>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</si>
  <si>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</si>
  <si>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</si>
  <si>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</si>
  <si>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</si>
  <si>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</si>
  <si>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</si>
  <si>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</si>
  <si>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</si>
  <si>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</si>
  <si>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</si>
  <si>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</si>
  <si>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</si>
  <si>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</si>
  <si>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</si>
  <si>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</si>
  <si>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</si>
  <si>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</si>
  <si>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</si>
  <si>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</si>
  <si>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</si>
  <si>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</si>
  <si>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</si>
  <si>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</si>
  <si>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</si>
  <si>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</si>
  <si>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</si>
  <si>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</si>
  <si>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</si>
  <si>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</si>
  <si>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</si>
  <si>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</si>
  <si>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</si>
  <si>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</si>
  <si>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</si>
  <si>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</si>
  <si>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</si>
  <si>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</si>
  <si>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</si>
  <si>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</si>
  <si>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</si>
  <si>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</si>
  <si>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</si>
  <si>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</si>
  <si>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</si>
  <si>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</si>
  <si>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</si>
  <si>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</si>
  <si>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</si>
  <si>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</si>
  <si>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</si>
  <si>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</si>
  <si>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</si>
  <si>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</si>
  <si>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</si>
  <si>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</si>
  <si>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</si>
  <si>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</si>
  <si>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</si>
  <si>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</si>
  <si>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</si>
  <si>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</si>
  <si>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</si>
  <si>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</si>
  <si>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</si>
  <si>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</si>
  <si>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</si>
  <si>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</si>
  <si>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</si>
  <si>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</si>
  <si>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</si>
  <si>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</si>
  <si>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</si>
  <si>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</si>
  <si>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</si>
  <si>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</si>
  <si>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</si>
  <si>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</si>
  <si>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</si>
  <si>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</si>
  <si>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</si>
  <si>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</si>
  <si>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</si>
  <si>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</si>
  <si>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</si>
  <si>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</si>
  <si>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</si>
  <si>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</si>
  <si>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</si>
  <si>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</si>
  <si>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</si>
  <si>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</si>
  <si>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</si>
  <si>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</si>
  <si>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</si>
  <si>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C84124</t>
  </si>
  <si>
    <t>Y02181</t>
  </si>
  <si>
    <t>Y02977</t>
  </si>
  <si>
    <t>2010/11</t>
  </si>
  <si>
    <t>2008/09-2010/11</t>
  </si>
  <si>
    <t>2005/06-2010/11</t>
  </si>
  <si>
    <t>(C82040) ORCHARD SURGERY</t>
  </si>
  <si>
    <t>(C84002) CHURCH WALK SURGERY</t>
  </si>
  <si>
    <t>(C84003) WEST END SURGERY</t>
  </si>
  <si>
    <t>(C84005) EAST LEAKE MEDICAL GROUP</t>
  </si>
  <si>
    <t>(C84009) BARNBY GATE SURGERY</t>
  </si>
  <si>
    <t>(C84012) WILLOWBROOK MEDICAL PRACTICE</t>
  </si>
  <si>
    <t>(C84014) WOODLANDS MEDICAL PRACTICE</t>
  </si>
  <si>
    <t>(C84016) OAKWOOD SURGERY</t>
  </si>
  <si>
    <t>(C84017) BELVOIR HEALTH GROUP</t>
  </si>
  <si>
    <t>(C84019) FOUNTAIN MEDICAL CENTRE</t>
  </si>
  <si>
    <t>(C84020) CHURCHSIDE MEDICAL PRACTICE</t>
  </si>
  <si>
    <t>(C84021) MIDDLETON LODGE PRACTICE</t>
  </si>
  <si>
    <t>(C84025) EAST BRIDGFORD MEDICAL CENTRE</t>
  </si>
  <si>
    <t>(C84026) STENHOUSE MEDICAL CENTRE</t>
  </si>
  <si>
    <t>(C84028) THE RUDDINGTON MEDICAL CENTRE</t>
  </si>
  <si>
    <t>(C84029) LOMBARD STREET SURGERIES</t>
  </si>
  <si>
    <t>(C84030) THE OAKS MEDICAL CENTRE</t>
  </si>
  <si>
    <t>(C84031) DR SHARMA'S PRACTICE</t>
  </si>
  <si>
    <t>(C84032) CHURCH STREET MEDICAL CENTRE</t>
  </si>
  <si>
    <t>(C84033) WESTDALE LANE SURGERY</t>
  </si>
  <si>
    <t>(C84036) ROSEMARY STREET HEALTH CENTRE</t>
  </si>
  <si>
    <t>(C84037) BLIDWORTH SURGERY</t>
  </si>
  <si>
    <t>(C84042) SAXON CROSS SURGERY</t>
  </si>
  <si>
    <t>(C84045) COLLINGHAM MEDICAL CENTRE</t>
  </si>
  <si>
    <t>(C84047) THE CALVERTON PRACTICE</t>
  </si>
  <si>
    <t>(C84048) KEYWORTH MEDICAL PRACTICE</t>
  </si>
  <si>
    <t>(C84049) SOUTHWELL MEDICAL CENTRE</t>
  </si>
  <si>
    <t>(C84051) ORCHARD MEDICAL PRACTICE</t>
  </si>
  <si>
    <t>(C84053) TORKARD HILL MEDICAL CENTRE</t>
  </si>
  <si>
    <t>(C84055) HIGHCROFT SURGERY</t>
  </si>
  <si>
    <t>(C84057) PLEASLEY SURGERY</t>
  </si>
  <si>
    <t>(C84059) CLIPSTONE HEALTH CENTRE</t>
  </si>
  <si>
    <t>(C84061) HARWOOD CLOSE SURGERY</t>
  </si>
  <si>
    <t>(C84065) ABBEY MEDICAL CENTRE</t>
  </si>
  <si>
    <t>(C84066) DAYBROOK MEDICAL PRACTICE</t>
  </si>
  <si>
    <t>(C84067) ASHFIELD HOUSE (ANNESLEY)</t>
  </si>
  <si>
    <t>(C84069) ROUNDWOOD SURGERY</t>
  </si>
  <si>
    <t>(C84074) FAMILY MEDICAL CENTRE (KIRKBY)</t>
  </si>
  <si>
    <t>(C84076) KIRKBY HEALTH CENTRE</t>
  </si>
  <si>
    <t>(C84077) HUTHWAITE MEDICAL PRACTICE</t>
  </si>
  <si>
    <t>(C84080) THE MANOR SURGERY</t>
  </si>
  <si>
    <t>(C84082) SOAR VALLEY SURGERIES</t>
  </si>
  <si>
    <t>(C84084) RADCLIFFE-ON-TRENT. HEALTH CENTRE</t>
  </si>
  <si>
    <t>(C84086) ST. GEORGES MEDICAL PRACTICE</t>
  </si>
  <si>
    <t>(C84087) RAINWORTH HEALTH CENTRE</t>
  </si>
  <si>
    <t>(C84090) MUSTERS MEDICAL PRACTICE</t>
  </si>
  <si>
    <t>(C84095) OAKENHALL MEDICAL PRACTICE</t>
  </si>
  <si>
    <t>(C84106) MILLVIEW SURGERY</t>
  </si>
  <si>
    <t>(C84107) THE LINDEN MEDICAL GROUP</t>
  </si>
  <si>
    <t>(C84112) BRAMCOTE SURGERY</t>
  </si>
  <si>
    <t>(C84113) MAJOR OAK MEDICAL PRACTICE</t>
  </si>
  <si>
    <t>(C84114) HEALDSWOOD SURGERY</t>
  </si>
  <si>
    <t>(C84115) PLAINS VIEW SURGERY</t>
  </si>
  <si>
    <t>(C84120) THE VALLEY SURGERY</t>
  </si>
  <si>
    <t>(C84121) PANTILES MEDICAL CENTRE</t>
  </si>
  <si>
    <t>(C84123) BILSTHORPE SURGERY</t>
  </si>
  <si>
    <t>(C84124) WHYBURN MEDICAL PRACTICE</t>
  </si>
  <si>
    <t>(C84125) APPLE TREE MEDICAL PRACTICE</t>
  </si>
  <si>
    <t>(C84127) DR BANGA'S PRACTICE</t>
  </si>
  <si>
    <t>(C84131) NEWTHORPE MEDICAL PRACTICE</t>
  </si>
  <si>
    <t>(C84133) THE PEACOCK PRACTICE</t>
  </si>
  <si>
    <t>(C84140) LOWMOOR ROAD SURGERY</t>
  </si>
  <si>
    <t>(C84142) SELSTON SURGERY</t>
  </si>
  <si>
    <t>(C84146) TRENT BRIDGE FAMILY MEDICAL PRACTICE</t>
  </si>
  <si>
    <t>(C84149) SOUTHVIEW SURGERY</t>
  </si>
  <si>
    <t>(C84150) UNITY SURGERY</t>
  </si>
  <si>
    <t>(C84605) LUDLOW HILL SURGERY</t>
  </si>
  <si>
    <t>(C84612) THE WILLOWS MEDICAL CENTRE</t>
  </si>
  <si>
    <t>(C84613) LOWDHAM MEDICAL CENTRE</t>
  </si>
  <si>
    <t>(C84621) WEST BRIDGFORD HEALTH CENTRE</t>
  </si>
  <si>
    <t>(C84624) HAMA MEDICAL CENTRE</t>
  </si>
  <si>
    <t>(C84637) SANDY LANE SURGERY</t>
  </si>
  <si>
    <t>(C84646) THE IVY MEDICAL GROUP</t>
  </si>
  <si>
    <t>(C84648) BALDERTON PRIMARY CARE CENTRE</t>
  </si>
  <si>
    <t>(C84654) JACKSDALE MEDICAL CENTRE</t>
  </si>
  <si>
    <t>(C84656) HILL VIEW SURGERY</t>
  </si>
  <si>
    <t>(C84658) MEDEN VALE MEDICAL SERVICES</t>
  </si>
  <si>
    <t>(C84660) HOUNSFIELD SURGERY</t>
  </si>
  <si>
    <t>(C84666) COMPTON ACRES MEDICAL CENTRE</t>
  </si>
  <si>
    <t>(C84667) GILTBROOK SURGERY</t>
  </si>
  <si>
    <t>(C84675) OAK TREE LANE SURGERY</t>
  </si>
  <si>
    <t>(C84678) FARNSFIELD SURGERY</t>
  </si>
  <si>
    <t>(C84679) DR B KHAN THE ACORN MEDICAL PRACTICE</t>
  </si>
  <si>
    <t>(C84696) WEST OAK SURGERY</t>
  </si>
  <si>
    <t>(C84703) THE GAMSTON MEDICAL CENTRE</t>
  </si>
  <si>
    <t>(C84705) HICKINGS LANE MEDICAL CENTRE</t>
  </si>
  <si>
    <t>(C84709) PARK HOUSE MEDICAL CENTRE</t>
  </si>
  <si>
    <t>(C84710) BULL FARM PRIMARY CARE RESOURCE CENTRE</t>
  </si>
  <si>
    <t>(C84712) ASHFIELD MEDICAL CENTRE</t>
  </si>
  <si>
    <t>(C84718) WOODSIDE SURGERY</t>
  </si>
  <si>
    <t>(Y00026) THE OM SURGERY</t>
  </si>
  <si>
    <t>(Y02181) KIRKBY COMMUNITY PRIMARY CARE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</si>
  <si>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</si>
  <si>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</si>
  <si>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</si>
  <si>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</si>
  <si>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</si>
  <si>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</si>
  <si>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</si>
  <si>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</si>
  <si>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</si>
  <si>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</si>
  <si>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(C84629) HEALTH CARE COMPLEX, KIRKBY</t>
  </si>
  <si>
    <t>(Y02977) DRS LAW + MOUNTCASTLE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</si>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</sst>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0.932468034563259</c:v>
                </c:pt>
                <c:pt idx="5">
                  <c:v>1</c:v>
                </c:pt>
                <c:pt idx="6">
                  <c:v>1</c:v>
                </c:pt>
                <c:pt idx="7">
                  <c:v>0.8723705364672494</c:v>
                </c:pt>
                <c:pt idx="8">
                  <c:v>0.6895643438860064</c:v>
                </c:pt>
                <c:pt idx="9">
                  <c:v>0.7957040877070176</c:v>
                </c:pt>
                <c:pt idx="10">
                  <c:v>0.7699248917847228</c:v>
                </c:pt>
                <c:pt idx="11">
                  <c:v>0.8455924967754187</c:v>
                </c:pt>
                <c:pt idx="12">
                  <c:v>1</c:v>
                </c:pt>
                <c:pt idx="13">
                  <c:v>0</c:v>
                </c:pt>
                <c:pt idx="14">
                  <c:v>1</c:v>
                </c:pt>
                <c:pt idx="15">
                  <c:v>0.8725449152923894</c:v>
                </c:pt>
                <c:pt idx="16">
                  <c:v>1</c:v>
                </c:pt>
                <c:pt idx="17">
                  <c:v>1</c:v>
                </c:pt>
                <c:pt idx="18">
                  <c:v>1</c:v>
                </c:pt>
                <c:pt idx="19">
                  <c:v>1</c:v>
                </c:pt>
                <c:pt idx="20">
                  <c:v>0.9536994328839454</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0.5884873885257176</c:v>
                </c:pt>
                <c:pt idx="3">
                  <c:v>0.6499999925494201</c:v>
                </c:pt>
                <c:pt idx="4">
                  <c:v>0.5906388069333502</c:v>
                </c:pt>
                <c:pt idx="5">
                  <c:v>0.5605694692118544</c:v>
                </c:pt>
                <c:pt idx="6">
                  <c:v>0.6521738848749339</c:v>
                </c:pt>
                <c:pt idx="7">
                  <c:v>0.6048991041585456</c:v>
                </c:pt>
                <c:pt idx="8">
                  <c:v>0.5532965717139738</c:v>
                </c:pt>
                <c:pt idx="9">
                  <c:v>0.6060232646974988</c:v>
                </c:pt>
                <c:pt idx="10">
                  <c:v>0.5767575316625626</c:v>
                </c:pt>
                <c:pt idx="11">
                  <c:v>0.5851102734578821</c:v>
                </c:pt>
                <c:pt idx="12">
                  <c:v>0.6078869550060269</c:v>
                </c:pt>
                <c:pt idx="13">
                  <c:v>0</c:v>
                </c:pt>
                <c:pt idx="14">
                  <c:v>0.5813651078159698</c:v>
                </c:pt>
                <c:pt idx="15">
                  <c:v>0.6013163004870038</c:v>
                </c:pt>
                <c:pt idx="16">
                  <c:v>0.60418202076013</c:v>
                </c:pt>
                <c:pt idx="17">
                  <c:v>0.5844891799764753</c:v>
                </c:pt>
                <c:pt idx="18">
                  <c:v>0.612180884196494</c:v>
                </c:pt>
                <c:pt idx="19">
                  <c:v>0.5371606563730662</c:v>
                </c:pt>
                <c:pt idx="20">
                  <c:v>0.67185673244008</c:v>
                </c:pt>
                <c:pt idx="21">
                  <c:v>0.5861326873474727</c:v>
                </c:pt>
                <c:pt idx="22">
                  <c:v>0.6069973477671744</c:v>
                </c:pt>
                <c:pt idx="23">
                  <c:v>0.5798215350802677</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0.40273840301880237</c:v>
                </c:pt>
                <c:pt idx="3">
                  <c:v>0.25000003725289965</c:v>
                </c:pt>
                <c:pt idx="4">
                  <c:v>0.34281162229516593</c:v>
                </c:pt>
                <c:pt idx="5">
                  <c:v>0.4061827877158756</c:v>
                </c:pt>
                <c:pt idx="6">
                  <c:v>0.3586956609765832</c:v>
                </c:pt>
                <c:pt idx="7">
                  <c:v>0.4089223180743956</c:v>
                </c:pt>
                <c:pt idx="8">
                  <c:v>0.3802794941182009</c:v>
                </c:pt>
                <c:pt idx="9">
                  <c:v>0.35689341247234435</c:v>
                </c:pt>
                <c:pt idx="10">
                  <c:v>0.4253830582220901</c:v>
                </c:pt>
                <c:pt idx="11">
                  <c:v>0.38014017283967144</c:v>
                </c:pt>
                <c:pt idx="12">
                  <c:v>0.3908234693067903</c:v>
                </c:pt>
                <c:pt idx="13">
                  <c:v>0</c:v>
                </c:pt>
                <c:pt idx="14">
                  <c:v>0.4455724898112703</c:v>
                </c:pt>
                <c:pt idx="15">
                  <c:v>0.40008304196676975</c:v>
                </c:pt>
                <c:pt idx="16">
                  <c:v>0.3258776125913044</c:v>
                </c:pt>
                <c:pt idx="17">
                  <c:v>0.40418801369662505</c:v>
                </c:pt>
                <c:pt idx="18">
                  <c:v>0.4533087272413887</c:v>
                </c:pt>
                <c:pt idx="19">
                  <c:v>0.45610283864796825</c:v>
                </c:pt>
                <c:pt idx="20">
                  <c:v>0.3752537259154528</c:v>
                </c:pt>
                <c:pt idx="21">
                  <c:v>0.4198206209134924</c:v>
                </c:pt>
                <c:pt idx="22">
                  <c:v>0.4033982572909165</c:v>
                </c:pt>
                <c:pt idx="23">
                  <c:v>0.4364415461416947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0.06139229036665699</c:v>
                </c:pt>
                <c:pt idx="3">
                  <c:v>0.10000006332992942</c:v>
                </c:pt>
                <c:pt idx="4">
                  <c:v>0</c:v>
                </c:pt>
                <c:pt idx="5">
                  <c:v>0.20067098326098295</c:v>
                </c:pt>
                <c:pt idx="6">
                  <c:v>0.04347830488291576</c:v>
                </c:pt>
                <c:pt idx="7">
                  <c:v>0</c:v>
                </c:pt>
                <c:pt idx="8">
                  <c:v>0</c:v>
                </c:pt>
                <c:pt idx="9">
                  <c:v>0</c:v>
                </c:pt>
                <c:pt idx="10">
                  <c:v>0</c:v>
                </c:pt>
                <c:pt idx="11">
                  <c:v>0</c:v>
                </c:pt>
                <c:pt idx="12">
                  <c:v>0.13497862208067582</c:v>
                </c:pt>
                <c:pt idx="13">
                  <c:v>0</c:v>
                </c:pt>
                <c:pt idx="14">
                  <c:v>0.3030649911249186</c:v>
                </c:pt>
                <c:pt idx="15">
                  <c:v>0</c:v>
                </c:pt>
                <c:pt idx="16">
                  <c:v>0.0010558900979141762</c:v>
                </c:pt>
                <c:pt idx="17">
                  <c:v>0.24309412866966257</c:v>
                </c:pt>
                <c:pt idx="18">
                  <c:v>0.3402237483439162</c:v>
                </c:pt>
                <c:pt idx="19">
                  <c:v>0.3677935988223535</c:v>
                </c:pt>
                <c:pt idx="20">
                  <c:v>0</c:v>
                </c:pt>
                <c:pt idx="21">
                  <c:v>0.2147546347482683</c:v>
                </c:pt>
                <c:pt idx="22">
                  <c:v>0.2257875620703468</c:v>
                </c:pt>
                <c:pt idx="23">
                  <c:v>0.21263106525880485</c:v>
                </c:pt>
                <c:pt idx="24">
                  <c:v>0</c:v>
                </c:pt>
                <c:pt idx="25">
                  <c:v>0</c:v>
                </c:pt>
                <c:pt idx="26">
                  <c:v>0</c:v>
                </c:pt>
              </c:numCache>
            </c:numRef>
          </c:val>
        </c:ser>
        <c:overlap val="100"/>
        <c:gapWidth val="100"/>
        <c:axId val="9303355"/>
        <c:axId val="1662133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0.403829683081417</c:v>
                </c:pt>
                <c:pt idx="3">
                  <c:v>0.6005465294800153</c:v>
                </c:pt>
                <c:pt idx="4">
                  <c:v>0.38543280864677515</c:v>
                </c:pt>
                <c:pt idx="5">
                  <c:v>0.44911362147464606</c:v>
                </c:pt>
                <c:pt idx="6">
                  <c:v>0.5191620243173266</c:v>
                </c:pt>
                <c:pt idx="7">
                  <c:v>0.34298003876497263</c:v>
                </c:pt>
                <c:pt idx="8">
                  <c:v>0.47999838807239004</c:v>
                </c:pt>
                <c:pt idx="9">
                  <c:v>0.21154291826705163</c:v>
                </c:pt>
                <c:pt idx="10">
                  <c:v>0.32182294743916373</c:v>
                </c:pt>
                <c:pt idx="11">
                  <c:v>0.3274985425939239</c:v>
                </c:pt>
                <c:pt idx="12">
                  <c:v>0.39235227762499236</c:v>
                </c:pt>
                <c:pt idx="13">
                  <c:v>0.5</c:v>
                </c:pt>
                <c:pt idx="14">
                  <c:v>0.5159878977615977</c:v>
                </c:pt>
                <c:pt idx="15">
                  <c:v>0.4790781456611666</c:v>
                </c:pt>
                <c:pt idx="16">
                  <c:v>0.32485554586067844</c:v>
                </c:pt>
                <c:pt idx="17">
                  <c:v>0.5045514341281943</c:v>
                </c:pt>
                <c:pt idx="18">
                  <c:v>0.5084316323287995</c:v>
                </c:pt>
                <c:pt idx="19">
                  <c:v>0.4602506064823123</c:v>
                </c:pt>
                <c:pt idx="20">
                  <c:v>0.4846555322630303</c:v>
                </c:pt>
                <c:pt idx="21">
                  <c:v>0.4828542963490695</c:v>
                </c:pt>
                <c:pt idx="22">
                  <c:v>0.5726236602264806</c:v>
                </c:pt>
                <c:pt idx="23">
                  <c:v>0.4655327153870345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0.46129562642175065</c:v>
                </c:pt>
                <c:pt idx="5">
                  <c:v>0.3878851135081815</c:v>
                </c:pt>
                <c:pt idx="6">
                  <c:v>0.5652173969098883</c:v>
                </c:pt>
                <c:pt idx="7">
                  <c:v>-999</c:v>
                </c:pt>
                <c:pt idx="8">
                  <c:v>-999</c:v>
                </c:pt>
                <c:pt idx="9">
                  <c:v>-999</c:v>
                </c:pt>
                <c:pt idx="10">
                  <c:v>-999</c:v>
                </c:pt>
                <c:pt idx="11">
                  <c:v>-999</c:v>
                </c:pt>
                <c:pt idx="12">
                  <c:v>-999</c:v>
                </c:pt>
                <c:pt idx="13">
                  <c:v>0.527456450654705</c:v>
                </c:pt>
                <c:pt idx="14">
                  <c:v>0.5882874455212578</c:v>
                </c:pt>
                <c:pt idx="15">
                  <c:v>0.5408354289562144</c:v>
                </c:pt>
                <c:pt idx="16">
                  <c:v>-999</c:v>
                </c:pt>
                <c:pt idx="17">
                  <c:v>0.54938900034461</c:v>
                </c:pt>
                <c:pt idx="18">
                  <c:v>0.8008219949900427</c:v>
                </c:pt>
                <c:pt idx="19">
                  <c:v>-999</c:v>
                </c:pt>
                <c:pt idx="20">
                  <c:v>0.2731337105186851</c:v>
                </c:pt>
                <c:pt idx="21">
                  <c:v>0.47544870716850035</c:v>
                </c:pt>
                <c:pt idx="22">
                  <c:v>-999</c:v>
                </c:pt>
                <c:pt idx="23">
                  <c:v>0.46695647698235904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0.32045923097249845</c:v>
                </c:pt>
                <c:pt idx="3">
                  <c:v>0.8499999925494202</c:v>
                </c:pt>
                <c:pt idx="4">
                  <c:v>-999</c:v>
                </c:pt>
                <c:pt idx="5">
                  <c:v>-999</c:v>
                </c:pt>
                <c:pt idx="6">
                  <c:v>-999</c:v>
                </c:pt>
                <c:pt idx="7">
                  <c:v>0.27214609330356415</c:v>
                </c:pt>
                <c:pt idx="8">
                  <c:v>-999</c:v>
                </c:pt>
                <c:pt idx="9">
                  <c:v>0.32721321340192405</c:v>
                </c:pt>
                <c:pt idx="10">
                  <c:v>0.15864187279322184</c:v>
                </c:pt>
                <c:pt idx="11">
                  <c:v>1.1431981789769387E-08</c:v>
                </c:pt>
                <c:pt idx="12">
                  <c:v>0.4004593237585454</c:v>
                </c:pt>
                <c:pt idx="13">
                  <c:v>-999</c:v>
                </c:pt>
                <c:pt idx="14">
                  <c:v>-999</c:v>
                </c:pt>
                <c:pt idx="15">
                  <c:v>-999</c:v>
                </c:pt>
                <c:pt idx="16">
                  <c:v>0.17784286095854251</c:v>
                </c:pt>
                <c:pt idx="17">
                  <c:v>-999</c:v>
                </c:pt>
                <c:pt idx="18">
                  <c:v>-999</c:v>
                </c:pt>
                <c:pt idx="19">
                  <c:v>0.4397299416375259</c:v>
                </c:pt>
                <c:pt idx="20">
                  <c:v>-999</c:v>
                </c:pt>
                <c:pt idx="21">
                  <c:v>-999</c:v>
                </c:pt>
                <c:pt idx="22">
                  <c:v>0.7921168121782775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5374261"/>
        <c:axId val="4150622"/>
      </c:scatterChart>
      <c:catAx>
        <c:axId val="9303355"/>
        <c:scaling>
          <c:orientation val="maxMin"/>
        </c:scaling>
        <c:axPos val="l"/>
        <c:delete val="0"/>
        <c:numFmt formatCode="General" sourceLinked="1"/>
        <c:majorTickMark val="out"/>
        <c:minorTickMark val="none"/>
        <c:tickLblPos val="none"/>
        <c:spPr>
          <a:ln w="3175">
            <a:noFill/>
          </a:ln>
        </c:spPr>
        <c:crossAx val="16621332"/>
        <c:crosses val="autoZero"/>
        <c:auto val="1"/>
        <c:lblOffset val="100"/>
        <c:tickLblSkip val="1"/>
        <c:noMultiLvlLbl val="0"/>
      </c:catAx>
      <c:valAx>
        <c:axId val="16621332"/>
        <c:scaling>
          <c:orientation val="minMax"/>
          <c:max val="1"/>
          <c:min val="0"/>
        </c:scaling>
        <c:axPos val="t"/>
        <c:delete val="0"/>
        <c:numFmt formatCode="General" sourceLinked="1"/>
        <c:majorTickMark val="none"/>
        <c:minorTickMark val="none"/>
        <c:tickLblPos val="none"/>
        <c:spPr>
          <a:ln w="3175">
            <a:noFill/>
          </a:ln>
        </c:spPr>
        <c:crossAx val="9303355"/>
        <c:crossesAt val="1"/>
        <c:crossBetween val="between"/>
        <c:dispUnits/>
        <c:majorUnit val="1"/>
      </c:valAx>
      <c:valAx>
        <c:axId val="15374261"/>
        <c:scaling>
          <c:orientation val="minMax"/>
          <c:max val="1"/>
          <c:min val="0"/>
        </c:scaling>
        <c:axPos val="t"/>
        <c:delete val="0"/>
        <c:numFmt formatCode="General" sourceLinked="1"/>
        <c:majorTickMark val="none"/>
        <c:minorTickMark val="none"/>
        <c:tickLblPos val="none"/>
        <c:spPr>
          <a:ln w="3175">
            <a:noFill/>
          </a:ln>
        </c:spPr>
        <c:crossAx val="4150622"/>
        <c:crosses val="max"/>
        <c:crossBetween val="midCat"/>
        <c:dispUnits/>
        <c:majorUnit val="0.1"/>
        <c:minorUnit val="0.020000000000000004"/>
      </c:valAx>
      <c:valAx>
        <c:axId val="4150622"/>
        <c:scaling>
          <c:orientation val="maxMin"/>
          <c:max val="29"/>
          <c:min val="0"/>
        </c:scaling>
        <c:axPos val="l"/>
        <c:delete val="0"/>
        <c:numFmt formatCode="General" sourceLinked="1"/>
        <c:majorTickMark val="none"/>
        <c:minorTickMark val="none"/>
        <c:tickLblPos val="none"/>
        <c:spPr>
          <a:ln w="3175">
            <a:noFill/>
          </a:ln>
        </c:spPr>
        <c:crossAx val="1537426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(C84629) HEALTH CARE COMPLEX, KIRKBY, NOTTINGHAMSHIRE COUNTY TEACHING PCT (5N8)</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527</v>
      </c>
      <c r="Q3" s="65"/>
      <c r="R3" s="66"/>
      <c r="S3" s="66"/>
      <c r="T3" s="66"/>
      <c r="U3" s="66"/>
      <c r="V3" s="66"/>
      <c r="W3" s="66"/>
      <c r="X3" s="66"/>
      <c r="Y3" s="66"/>
      <c r="Z3" s="66"/>
      <c r="AA3" s="66"/>
      <c r="AB3" s="66"/>
      <c r="AC3" s="66"/>
    </row>
    <row r="4" spans="2:29" ht="18" customHeight="1">
      <c r="B4" s="319" t="s">
        <v>656</v>
      </c>
      <c r="C4" s="320"/>
      <c r="D4" s="320"/>
      <c r="E4" s="320"/>
      <c r="F4" s="320"/>
      <c r="G4" s="321"/>
      <c r="H4" s="112"/>
      <c r="I4" s="112"/>
      <c r="J4" s="112"/>
      <c r="K4" s="112"/>
      <c r="L4" s="113"/>
      <c r="M4" s="65"/>
      <c r="N4" s="65"/>
      <c r="O4" s="65"/>
      <c r="P4" s="134" t="s">
        <v>528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529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424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655</v>
      </c>
      <c r="C8" s="115"/>
      <c r="D8" s="115"/>
      <c r="E8" s="128">
        <f>VLOOKUP('Hide - Control'!A$3,'All practice data'!A:CA,4,FALSE)</f>
        <v>4271</v>
      </c>
      <c r="F8" s="310" t="str">
        <f>VLOOKUP('Hide - Control'!B4,'Hide - Calculation'!AY:BA,3,FALSE)</f>
        <v> </v>
      </c>
      <c r="G8" s="310"/>
      <c r="H8" s="310"/>
      <c r="I8" s="115"/>
      <c r="J8" s="115"/>
      <c r="K8" s="115"/>
      <c r="L8" s="115"/>
      <c r="M8" s="109"/>
      <c r="N8" s="314" t="s">
        <v>537</v>
      </c>
      <c r="O8" s="314"/>
      <c r="P8" s="314"/>
      <c r="Q8" s="314" t="s">
        <v>32</v>
      </c>
      <c r="R8" s="314"/>
      <c r="S8" s="314"/>
      <c r="T8" s="314" t="s">
        <v>659</v>
      </c>
      <c r="U8" s="314"/>
      <c r="V8" s="314" t="s">
        <v>33</v>
      </c>
      <c r="W8" s="314"/>
      <c r="X8" s="314"/>
      <c r="Y8" s="135"/>
      <c r="Z8" s="314" t="s">
        <v>530</v>
      </c>
      <c r="AA8" s="314"/>
      <c r="AB8" s="161"/>
      <c r="AC8" s="109"/>
    </row>
    <row r="9" spans="2:29" s="61" customFormat="1" ht="19.5" customHeight="1" thickBot="1">
      <c r="B9" s="114" t="s">
        <v>522</v>
      </c>
      <c r="C9" s="114"/>
      <c r="D9" s="114"/>
      <c r="E9" s="129">
        <f>VLOOKUP('Hide - Control'!B4,'Hide - Calculation'!AY:BB,4,FALSE)</f>
        <v>656875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519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500</v>
      </c>
      <c r="E11" s="317"/>
      <c r="F11" s="318"/>
      <c r="G11" s="263" t="s">
        <v>498</v>
      </c>
      <c r="H11" s="255" t="s">
        <v>499</v>
      </c>
      <c r="I11" s="255" t="s">
        <v>510</v>
      </c>
      <c r="J11" s="255" t="s">
        <v>511</v>
      </c>
      <c r="K11" s="255" t="s">
        <v>383</v>
      </c>
      <c r="L11" s="256" t="s">
        <v>424</v>
      </c>
      <c r="M11" s="257" t="s">
        <v>520</v>
      </c>
      <c r="N11" s="334" t="s">
        <v>518</v>
      </c>
      <c r="O11" s="334"/>
      <c r="P11" s="334"/>
      <c r="Q11" s="334"/>
      <c r="R11" s="334"/>
      <c r="S11" s="334"/>
      <c r="T11" s="334"/>
      <c r="U11" s="334"/>
      <c r="V11" s="334"/>
      <c r="W11" s="334"/>
      <c r="X11" s="334"/>
      <c r="Y11" s="334"/>
      <c r="Z11" s="334"/>
      <c r="AA11" s="258" t="s">
        <v>521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381</v>
      </c>
      <c r="C13" s="163">
        <v>1</v>
      </c>
      <c r="D13" s="312" t="s">
        <v>377</v>
      </c>
      <c r="E13" s="313"/>
      <c r="F13" s="313"/>
      <c r="G13" s="166">
        <f>IF(VLOOKUP('Hide - Control'!A$3,'All practice data'!A:CA,C13+4,FALSE)=" "," ",VLOOKUP('Hide - Control'!A$3,'All practice data'!A:CA,C13+4,FALSE))</f>
        <v>609</v>
      </c>
      <c r="H13" s="190">
        <f>IF(VLOOKUP('Hide - Control'!A$3,'All practice data'!A:CA,C13+30,FALSE)=" "," ",VLOOKUP('Hide - Control'!A$3,'All practice data'!A:CA,C13+30,FALSE))</f>
        <v>0.1425895574806837</v>
      </c>
      <c r="I13" s="191">
        <f>IF(LEFT(G13,1)=" "," n/a",+((2*G13+1.96^2-1.96*SQRT(1.96^2+4*G13*(1-G13/E$8)))/(2*(E$8+1.96^2))))</f>
        <v>0.13242406345214397</v>
      </c>
      <c r="J13" s="191">
        <f>IF(LEFT(G13,1)=" "," n/a",+((2*G13+1.96^2+1.96*SQRT(1.96^2+4*G13*(1-G13/E$8)))/(2*(E$8+1.96^2))))</f>
        <v>0.1533974275710556</v>
      </c>
      <c r="K13" s="190">
        <f>IF('Hide - Calculation'!N7="","",'Hide - Calculation'!N7)</f>
        <v>0.18155204567078972</v>
      </c>
      <c r="L13" s="192">
        <f>'Hide - Calculation'!O7</f>
        <v>0.1599882305185145</v>
      </c>
      <c r="M13" s="208">
        <f>IF(ISBLANK('Hide - Calculation'!K7),"",'Hide - Calculation'!U7)</f>
        <v>0.08852458745241165</v>
      </c>
      <c r="N13" s="173"/>
      <c r="O13" s="173"/>
      <c r="P13" s="173"/>
      <c r="Q13" s="173"/>
      <c r="R13" s="173"/>
      <c r="S13" s="173"/>
      <c r="T13" s="173"/>
      <c r="U13" s="173"/>
      <c r="V13" s="173"/>
      <c r="W13" s="173"/>
      <c r="X13" s="173"/>
      <c r="Y13" s="173"/>
      <c r="Z13" s="173"/>
      <c r="AA13" s="226">
        <f>IF(ISBLANK('Hide - Calculation'!K7),"",'Hide - Calculation'!T7)</f>
        <v>0.2844036817550659</v>
      </c>
      <c r="AB13" s="233" t="s">
        <v>653</v>
      </c>
      <c r="AC13" s="209" t="s">
        <v>654</v>
      </c>
    </row>
    <row r="14" spans="2:29" ht="33.75" customHeight="1">
      <c r="B14" s="306"/>
      <c r="C14" s="137">
        <v>2</v>
      </c>
      <c r="D14" s="132" t="s">
        <v>531</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v>
      </c>
      <c r="I14" s="120">
        <f>IF(LEFT(G14,1)=" "," n/a",+((2*H14*E8+1.96^2-1.96*SQRT(1.96^2+4*H14*E8*(1-H14*E8/E$8)))/(2*(E$8+1.96^2))))</f>
        <v>0.18827554781103192</v>
      </c>
      <c r="J14" s="120">
        <f>IF(LEFT(G14,1)=" "," n/a",+((2*H14*E8+1.96^2+1.96*SQRT(1.96^2+4*H14*E8*(1-H14*E8/E$8)))/(2*(E$8+1.96^2))))</f>
        <v>0.2122636440972718</v>
      </c>
      <c r="K14" s="119">
        <f>IF('Hide - Calculation'!N8="","",'Hide - Calculation'!N8)</f>
        <v>0.122237960038059</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0.23000000417232513</v>
      </c>
      <c r="AB14" s="234" t="s">
        <v>39</v>
      </c>
      <c r="AC14" s="130" t="s">
        <v>654</v>
      </c>
    </row>
    <row r="15" spans="2:39" s="63" customFormat="1" ht="33.75" customHeight="1">
      <c r="B15" s="306"/>
      <c r="C15" s="137">
        <v>3</v>
      </c>
      <c r="D15" s="132" t="s">
        <v>386</v>
      </c>
      <c r="E15" s="85"/>
      <c r="F15" s="85"/>
      <c r="G15" s="121">
        <f>IF(VLOOKUP('Hide - Control'!A$3,'All practice data'!A:CA,C15+4,FALSE)=" "," ",VLOOKUP('Hide - Control'!A$3,'All practice data'!A:CA,C15+4,FALSE))</f>
        <v>22</v>
      </c>
      <c r="H15" s="122">
        <f>IF(VLOOKUP('Hide - Control'!A$3,'All practice data'!A:CA,C15+30,FALSE)=" "," ",VLOOKUP('Hide - Control'!A$3,'All practice data'!A:CA,C15+30,FALSE))</f>
        <v>515.1018496839148</v>
      </c>
      <c r="I15" s="123">
        <f>IF(LEFT(G15,1)=" "," n/a",IF(G15&lt;5,100000*VLOOKUP(G15,'Hide - Calculation'!AQ:AR,2,FALSE)/$E$8,100000*(G15*(1-1/(9*G15)-1.96/(3*SQRT(G15)))^3)/$E$8))</f>
        <v>322.69653595834114</v>
      </c>
      <c r="J15" s="123">
        <f>IF(LEFT(G15,1)=" "," n/a",IF(G15&lt;5,100000*VLOOKUP(G15,'Hide - Calculation'!AQ:AS,3,FALSE)/$E$8,100000*((G15+1)*(1-1/(9*(G15+1))+1.96/(3*SQRT(G15+1)))^3)/$E$8))</f>
        <v>779.9110249749026</v>
      </c>
      <c r="K15" s="122">
        <f>IF('Hide - Calculation'!N9="","",'Hide - Calculation'!N9)</f>
        <v>534.348239771646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946.6437377929688</v>
      </c>
      <c r="AB15" s="234" t="s">
        <v>501</v>
      </c>
      <c r="AC15" s="131">
        <v>2009</v>
      </c>
      <c r="AD15" s="64"/>
      <c r="AE15" s="64"/>
      <c r="AF15" s="64"/>
      <c r="AG15" s="64"/>
      <c r="AH15" s="64"/>
      <c r="AI15" s="64"/>
      <c r="AJ15" s="64"/>
      <c r="AK15" s="64"/>
      <c r="AL15" s="64"/>
      <c r="AM15" s="64"/>
    </row>
    <row r="16" spans="2:29" s="63" customFormat="1" ht="33.75" customHeight="1">
      <c r="B16" s="306"/>
      <c r="C16" s="137">
        <v>4</v>
      </c>
      <c r="D16" s="132" t="s">
        <v>523</v>
      </c>
      <c r="E16" s="85"/>
      <c r="F16" s="85"/>
      <c r="G16" s="121">
        <f>IF(VLOOKUP('Hide - Control'!A$3,'All practice data'!A:CA,C16+4,FALSE)=" "," ",VLOOKUP('Hide - Control'!A$3,'All practice data'!A:CA,C16+4,FALSE))</f>
        <v>8</v>
      </c>
      <c r="H16" s="122">
        <f>IF(VLOOKUP('Hide - Control'!A$3,'All practice data'!A:CA,C16+30,FALSE)=" "," ",VLOOKUP('Hide - Control'!A$3,'All practice data'!A:CA,C16+30,FALSE))</f>
        <v>187.30976352142355</v>
      </c>
      <c r="I16" s="123">
        <f>IF(LEFT(G16,1)=" "," n/a",IF(G16&lt;5,100000*VLOOKUP(G16,'Hide - Calculation'!AQ:AR,2,FALSE)/$E$8,100000*(G16*(1-1/(9*G16)-1.96/(3*SQRT(G16)))^3)/$E$8))</f>
        <v>80.651663864662</v>
      </c>
      <c r="J16" s="123">
        <f>IF(LEFT(G16,1)=" "," n/a",IF(G16&lt;5,100000*VLOOKUP(G16,'Hide - Calculation'!AQ:AS,3,FALSE)/$E$8,100000*((G16+1)*(1-1/(9*(G16+1))+1.96/(3*SQRT(G16+1)))^3)/$E$8))</f>
        <v>369.0975764921854</v>
      </c>
      <c r="K16" s="122">
        <f>IF('Hide - Calculation'!N10="","",'Hide - Calculation'!N10)</f>
        <v>279.96194100856326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655.3079833984375</v>
      </c>
      <c r="AB16" s="234" t="s">
        <v>380</v>
      </c>
      <c r="AC16" s="131" t="s">
        <v>558</v>
      </c>
    </row>
    <row r="17" spans="2:29" s="63" customFormat="1" ht="33.75" customHeight="1" thickBot="1">
      <c r="B17" s="309"/>
      <c r="C17" s="180">
        <v>5</v>
      </c>
      <c r="D17" s="195" t="s">
        <v>385</v>
      </c>
      <c r="E17" s="182"/>
      <c r="F17" s="182"/>
      <c r="G17" s="140">
        <f>IF(VLOOKUP('Hide - Control'!A$3,'All practice data'!A:CA,C17+4,FALSE)=" "," ",VLOOKUP('Hide - Control'!A$3,'All practice data'!A:CA,C17+4,FALSE))</f>
        <v>72</v>
      </c>
      <c r="H17" s="141">
        <f>IF(VLOOKUP('Hide - Control'!A$3,'All practice data'!A:CA,C17+30,FALSE)=" "," ",VLOOKUP('Hide - Control'!A$3,'All practice data'!A:CA,C17+30,FALSE))</f>
        <v>0.017</v>
      </c>
      <c r="I17" s="142">
        <f>IF(LEFT(G17,1)=" "," n/a",+((2*G17+1.96^2-1.96*SQRT(1.96^2+4*G17*(1-G17/E$8)))/(2*(E$8+1.96^2))))</f>
        <v>0.013408435232290314</v>
      </c>
      <c r="J17" s="142">
        <f>IF(LEFT(G17,1)=" "," n/a",+((2*G17+1.96^2+1.96*SQRT(1.96^2+4*G17*(1-G17/E$8)))/(2*(E$8+1.96^2))))</f>
        <v>0.02117567660942097</v>
      </c>
      <c r="K17" s="141">
        <f>IF('Hide - Calculation'!N11="","",'Hide - Calculation'!N11)</f>
        <v>0.016555661274976215</v>
      </c>
      <c r="L17" s="157">
        <f>'Hide - Calculation'!O11</f>
        <v>0.015940726342527432</v>
      </c>
      <c r="M17" s="210">
        <f>IF(ISBLANK('Hide - Calculation'!K11),"",'Hide - Calculation'!U11)</f>
        <v>0.004999999888241291</v>
      </c>
      <c r="N17" s="91"/>
      <c r="O17" s="91"/>
      <c r="P17" s="91"/>
      <c r="Q17" s="91"/>
      <c r="R17" s="91"/>
      <c r="S17" s="91"/>
      <c r="T17" s="91"/>
      <c r="U17" s="91"/>
      <c r="V17" s="91"/>
      <c r="W17" s="91"/>
      <c r="X17" s="91"/>
      <c r="Y17" s="91"/>
      <c r="Z17" s="91"/>
      <c r="AA17" s="229">
        <f>IF(ISBLANK('Hide - Calculation'!K11),"",'Hide - Calculation'!T11)</f>
        <v>0.027000000700354576</v>
      </c>
      <c r="AB17" s="235" t="s">
        <v>524</v>
      </c>
      <c r="AC17" s="189" t="s">
        <v>558</v>
      </c>
    </row>
    <row r="18" spans="2:29" s="63" customFormat="1" ht="33.75" customHeight="1">
      <c r="B18" s="308" t="s">
        <v>13</v>
      </c>
      <c r="C18" s="163">
        <v>6</v>
      </c>
      <c r="D18" s="164" t="s">
        <v>532</v>
      </c>
      <c r="E18" s="165"/>
      <c r="F18" s="165"/>
      <c r="G18" s="219">
        <f>IF(OR(VLOOKUP('Hide - Control'!A$3,'All practice data'!A:CA,C18+4,FALSE)=" ",VLOOKUP('Hide - Control'!A$3,'All practice data'!A:CA,C18+52,FALSE)=0)," n/a",VLOOKUP('Hide - Control'!A$3,'All practice data'!A:CA,C18+4,FALSE))</f>
        <v>316</v>
      </c>
      <c r="H18" s="220">
        <f>IF(OR(VLOOKUP('Hide - Control'!A$3,'All practice data'!A:CA,C18+30,FALSE)=" ",VLOOKUP('Hide - Control'!A$3,'All practice data'!A:CA,C18+52,FALSE)=0)," n/a",VLOOKUP('Hide - Control'!A$3,'All practice data'!A:CA,C18+30,FALSE))</f>
        <v>0.703786</v>
      </c>
      <c r="I18" s="191">
        <f>IF(OR(LEFT(H18,1)=" ",VLOOKUP('Hide - Control'!A$3,'All practice data'!A:CA,C18+52,FALSE)=0)," n/a",+((2*G18+1.96^2-1.96*SQRT(1.96^2+4*G18*(1-G18/(VLOOKUP('Hide - Control'!A$3,'All practice data'!A:CA,C18+52,FALSE)))))/(2*(((VLOOKUP('Hide - Control'!A$3,'All practice data'!A:CA,C18+52,FALSE)))+1.96^2))))</f>
        <v>0.6599680223333124</v>
      </c>
      <c r="J18" s="191">
        <f>IF(OR(LEFT(H18,1)=" ",VLOOKUP('Hide - Control'!A$3,'All practice data'!A:CA,C18+52,FALSE)=0)," n/a",+((2*G18+1.96^2+1.96*SQRT(1.96^2+4*G18*(1-G18/(VLOOKUP('Hide - Control'!A$3,'All practice data'!A:CA,C18+52,FALSE)))))/(2*((VLOOKUP('Hide - Control'!A$3,'All practice data'!A:CA,C18+52,FALSE))+1.96^2))))</f>
        <v>0.7441467939733167</v>
      </c>
      <c r="K18" s="220">
        <f>IF('Hide - Calculation'!N12="","",'Hide - Calculation'!N12)</f>
        <v>0.7778879929047391</v>
      </c>
      <c r="L18" s="192">
        <f>'Hide - Calculation'!O12</f>
        <v>0.7248631360507991</v>
      </c>
      <c r="M18" s="193">
        <f>IF(ISBLANK('Hide - Calculation'!K12),"",'Hide - Calculation'!U12)</f>
        <v>0.6228070259094238</v>
      </c>
      <c r="N18" s="194"/>
      <c r="O18" s="173"/>
      <c r="P18" s="173"/>
      <c r="Q18" s="173"/>
      <c r="R18" s="173"/>
      <c r="S18" s="173"/>
      <c r="T18" s="173"/>
      <c r="U18" s="173"/>
      <c r="V18" s="173"/>
      <c r="W18" s="173"/>
      <c r="X18" s="173"/>
      <c r="Y18" s="173"/>
      <c r="Z18" s="174"/>
      <c r="AA18" s="193">
        <f>IF(ISBLANK('Hide - Calculation'!K12),"",'Hide - Calculation'!T12)</f>
        <v>0.8823869824409485</v>
      </c>
      <c r="AB18" s="233" t="s">
        <v>48</v>
      </c>
      <c r="AC18" s="175" t="s">
        <v>559</v>
      </c>
    </row>
    <row r="19" spans="2:29" s="63" customFormat="1" ht="33.75" customHeight="1">
      <c r="B19" s="306"/>
      <c r="C19" s="137">
        <v>7</v>
      </c>
      <c r="D19" s="132" t="s">
        <v>533</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0.8100087974555051</v>
      </c>
      <c r="L19" s="155">
        <f>'Hide - Calculation'!O13</f>
        <v>0.7467412166569077</v>
      </c>
      <c r="M19" s="152">
        <f>IF(ISBLANK('Hide - Calculation'!K13),"",'Hide - Calculation'!U13)</f>
        <v>0.16666699945926666</v>
      </c>
      <c r="N19" s="160"/>
      <c r="O19" s="84"/>
      <c r="P19" s="84"/>
      <c r="Q19" s="84"/>
      <c r="R19" s="84"/>
      <c r="S19" s="84"/>
      <c r="T19" s="84"/>
      <c r="U19" s="84"/>
      <c r="V19" s="84"/>
      <c r="W19" s="84"/>
      <c r="X19" s="84"/>
      <c r="Y19" s="84"/>
      <c r="Z19" s="88"/>
      <c r="AA19" s="152">
        <f>IF(ISBLANK('Hide - Calculation'!K13),"",'Hide - Calculation'!T13)</f>
        <v>1</v>
      </c>
      <c r="AB19" s="234" t="s">
        <v>48</v>
      </c>
      <c r="AC19" s="131" t="s">
        <v>558</v>
      </c>
    </row>
    <row r="20" spans="2:29" s="63" customFormat="1" ht="33.75" customHeight="1">
      <c r="B20" s="306"/>
      <c r="C20" s="137">
        <v>8</v>
      </c>
      <c r="D20" s="132" t="s">
        <v>534</v>
      </c>
      <c r="E20" s="85"/>
      <c r="F20" s="85"/>
      <c r="G20" s="221">
        <f>IF(OR(VLOOKUP('Hide - Control'!A$3,'All practice data'!A:CA,C20+4,FALSE)=" ",VLOOKUP('Hide - Control'!A$3,'All practice data'!A:CA,C20+52,FALSE)=0)," n/a",VLOOKUP('Hide - Control'!A$3,'All practice data'!A:CA,C20+4,FALSE))</f>
        <v>775</v>
      </c>
      <c r="H20" s="218">
        <f>IF(OR(VLOOKUP('Hide - Control'!A$3,'All practice data'!A:CA,C20+30,FALSE)=" ",VLOOKUP('Hide - Control'!A$3,'All practice data'!A:CA,C20+52,FALSE)=0)," n/a",VLOOKUP('Hide - Control'!A$3,'All practice data'!A:CA,C20+30,FALSE))</f>
        <v>0.784413</v>
      </c>
      <c r="I20" s="120">
        <f>IF(OR(LEFT(H20,1)=" ",VLOOKUP('Hide - Control'!A$3,'All practice data'!A:CA,C20+52,FALSE)=0)," n/a",+((2*G20+1.96^2-1.96*SQRT(1.96^2+4*G20*(1-G20/(VLOOKUP('Hide - Control'!A$3,'All practice data'!A:CA,C20+52,FALSE)))))/(2*(((VLOOKUP('Hide - Control'!A$3,'All practice data'!A:CA,C20+52,FALSE)))+1.96^2))))</f>
        <v>0.7576948225578087</v>
      </c>
      <c r="J20" s="120">
        <f>IF(OR(LEFT(H20,1)=" ",VLOOKUP('Hide - Control'!A$3,'All practice data'!A:CA,C20+52,FALSE)=0)," n/a",+((2*G20+1.96^2+1.96*SQRT(1.96^2+4*G20*(1-G20/(VLOOKUP('Hide - Control'!A$3,'All practice data'!A:CA,C20+52,FALSE)))))/(2*((VLOOKUP('Hide - Control'!A$3,'All practice data'!A:CA,C20+52,FALSE))+1.96^2))))</f>
        <v>0.8089279123627674</v>
      </c>
      <c r="K20" s="218">
        <f>IF('Hide - Calculation'!N14="","",'Hide - Calculation'!N14)</f>
        <v>0.8185581727337616</v>
      </c>
      <c r="L20" s="155">
        <f>'Hide - Calculation'!O14</f>
        <v>0.7559681673907895</v>
      </c>
      <c r="M20" s="152">
        <f>IF(ISBLANK('Hide - Calculation'!K14),"",'Hide - Calculation'!U14)</f>
        <v>0.7039470076560974</v>
      </c>
      <c r="N20" s="160"/>
      <c r="O20" s="84"/>
      <c r="P20" s="84"/>
      <c r="Q20" s="84"/>
      <c r="R20" s="84"/>
      <c r="S20" s="84"/>
      <c r="T20" s="84"/>
      <c r="U20" s="84"/>
      <c r="V20" s="84"/>
      <c r="W20" s="84"/>
      <c r="X20" s="84"/>
      <c r="Y20" s="84"/>
      <c r="Z20" s="88"/>
      <c r="AA20" s="152">
        <f>IF(ISBLANK('Hide - Calculation'!K14),"",'Hide - Calculation'!T14)</f>
        <v>0.8996210098266602</v>
      </c>
      <c r="AB20" s="234" t="s">
        <v>48</v>
      </c>
      <c r="AC20" s="131" t="s">
        <v>560</v>
      </c>
    </row>
    <row r="21" spans="2:29" s="63" customFormat="1" ht="33.75" customHeight="1">
      <c r="B21" s="306"/>
      <c r="C21" s="137">
        <v>9</v>
      </c>
      <c r="D21" s="132" t="s">
        <v>535</v>
      </c>
      <c r="E21" s="85"/>
      <c r="F21" s="85"/>
      <c r="G21" s="221">
        <f>IF(OR(VLOOKUP('Hide - Control'!A$3,'All practice data'!A:CA,C21+4,FALSE)=" ",VLOOKUP('Hide - Control'!A$3,'All practice data'!A:CA,C21+52,FALSE)=0)," n/a",VLOOKUP('Hide - Control'!A$3,'All practice data'!A:CA,C21+4,FALSE))</f>
        <v>190</v>
      </c>
      <c r="H21" s="218">
        <f>IF(OR(VLOOKUP('Hide - Control'!A$3,'All practice data'!A:CA,C21+30,FALSE)=" ",VLOOKUP('Hide - Control'!A$3,'All practice data'!A:CA,C21+52,FALSE)=0)," n/a",VLOOKUP('Hide - Control'!A$3,'All practice data'!A:CA,C21+30,FALSE))</f>
        <v>0.447059</v>
      </c>
      <c r="I21" s="120">
        <f>IF(OR(LEFT(H21,1)=" ",VLOOKUP('Hide - Control'!A$3,'All practice data'!A:CA,C21+52,FALSE)=0)," n/a",+((2*G21+1.96^2-1.96*SQRT(1.96^2+4*G21*(1-G21/(VLOOKUP('Hide - Control'!A$3,'All practice data'!A:CA,C21+52,FALSE)))))/(2*(((VLOOKUP('Hide - Control'!A$3,'All practice data'!A:CA,C21+52,FALSE)))+1.96^2))))</f>
        <v>0.400473123865477</v>
      </c>
      <c r="J21" s="120">
        <f>IF(OR(LEFT(H21,1)=" ",VLOOKUP('Hide - Control'!A$3,'All practice data'!A:CA,C21+52,FALSE)=0)," n/a",+((2*G21+1.96^2+1.96*SQRT(1.96^2+4*G21*(1-G21/(VLOOKUP('Hide - Control'!A$3,'All practice data'!A:CA,C21+52,FALSE)))))/(2*((VLOOKUP('Hide - Control'!A$3,'All practice data'!A:CA,C21+52,FALSE))+1.96^2))))</f>
        <v>0.4945930264333746</v>
      </c>
      <c r="K21" s="218">
        <f>IF('Hide - Calculation'!N15="","",'Hide - Calculation'!N15)</f>
        <v>0.5948346353675259</v>
      </c>
      <c r="L21" s="155">
        <f>'Hide - Calculation'!O15</f>
        <v>0.5147293797466616</v>
      </c>
      <c r="M21" s="152">
        <f>IF(ISBLANK('Hide - Calculation'!K15),"",'Hide - Calculation'!U15)</f>
        <v>0.38127100467681885</v>
      </c>
      <c r="N21" s="160"/>
      <c r="O21" s="84"/>
      <c r="P21" s="84"/>
      <c r="Q21" s="84"/>
      <c r="R21" s="84"/>
      <c r="S21" s="84"/>
      <c r="T21" s="84"/>
      <c r="U21" s="84"/>
      <c r="V21" s="84"/>
      <c r="W21" s="84"/>
      <c r="X21" s="84"/>
      <c r="Y21" s="84"/>
      <c r="Z21" s="88"/>
      <c r="AA21" s="152">
        <f>IF(ISBLANK('Hide - Calculation'!K15),"",'Hide - Calculation'!T15)</f>
        <v>0.7005550265312195</v>
      </c>
      <c r="AB21" s="234" t="s">
        <v>48</v>
      </c>
      <c r="AC21" s="131" t="s">
        <v>559</v>
      </c>
    </row>
    <row r="22" spans="2:29" s="63" customFormat="1" ht="33.75" customHeight="1" thickBot="1">
      <c r="B22" s="309"/>
      <c r="C22" s="180">
        <v>10</v>
      </c>
      <c r="D22" s="195" t="s">
        <v>536</v>
      </c>
      <c r="E22" s="182"/>
      <c r="F22" s="182"/>
      <c r="G22" s="222">
        <f>IF(OR(VLOOKUP('Hide - Control'!A$3,'All practice data'!A:CA,C22+4,FALSE)=" ",VLOOKUP('Hide - Control'!A$3,'All practice data'!A:CA,C22+52,FALSE)=0)," n/a",VLOOKUP('Hide - Control'!A$3,'All practice data'!A:CA,C22+4,FALSE))</f>
        <v>85</v>
      </c>
      <c r="H22" s="223">
        <f>IF(OR(VLOOKUP('Hide - Control'!A$3,'All practice data'!A:CA,C22+30,FALSE)=" ",VLOOKUP('Hide - Control'!A$3,'All practice data'!A:CA,C22+52,FALSE)=0)," n/a",VLOOKUP('Hide - Control'!A$3,'All practice data'!A:CA,C22+30,FALSE))</f>
        <v>0.464481</v>
      </c>
      <c r="I22" s="196">
        <f>IF(OR(LEFT(H22,1)=" ",VLOOKUP('Hide - Control'!A$3,'All practice data'!A:CA,C22+52,FALSE)=0)," n/a",+((2*G22+1.96^2-1.96*SQRT(1.96^2+4*G22*(1-G22/(VLOOKUP('Hide - Control'!A$3,'All practice data'!A:CA,C22+52,FALSE)))))/(2*(((VLOOKUP('Hide - Control'!A$3,'All practice data'!A:CA,C22+52,FALSE)))+1.96^2))))</f>
        <v>0.3936935067481876</v>
      </c>
      <c r="J22" s="196">
        <f>IF(OR(LEFT(H22,1)=" ",VLOOKUP('Hide - Control'!A$3,'All practice data'!A:CA,C22+52,FALSE)=0)," n/a",+((2*G22+1.96^2+1.96*SQRT(1.96^2+4*G22*(1-G22/(VLOOKUP('Hide - Control'!A$3,'All practice data'!A:CA,C22+52,FALSE)))))/(2*((VLOOKUP('Hide - Control'!A$3,'All practice data'!A:CA,C22+52,FALSE))+1.96^2))))</f>
        <v>0.536728840309427</v>
      </c>
      <c r="K22" s="223">
        <f>IF('Hide - Calculation'!N16="","",'Hide - Calculation'!N16)</f>
        <v>0.6395361208639216</v>
      </c>
      <c r="L22" s="197">
        <f>'Hide - Calculation'!O16</f>
        <v>0.5752927626212945</v>
      </c>
      <c r="M22" s="198">
        <f>IF(ISBLANK('Hide - Calculation'!K16),"",'Hide - Calculation'!U16)</f>
        <v>0.464480996131897</v>
      </c>
      <c r="N22" s="199"/>
      <c r="O22" s="91"/>
      <c r="P22" s="91"/>
      <c r="Q22" s="91"/>
      <c r="R22" s="91"/>
      <c r="S22" s="91"/>
      <c r="T22" s="91"/>
      <c r="U22" s="91"/>
      <c r="V22" s="91"/>
      <c r="W22" s="91"/>
      <c r="X22" s="91"/>
      <c r="Y22" s="91"/>
      <c r="Z22" s="188"/>
      <c r="AA22" s="198">
        <f>IF(ISBLANK('Hide - Calculation'!K16),"",'Hide - Calculation'!T16)</f>
        <v>0.7505940198898315</v>
      </c>
      <c r="AB22" s="235" t="s">
        <v>48</v>
      </c>
      <c r="AC22" s="189" t="s">
        <v>558</v>
      </c>
    </row>
    <row r="23" spans="2:29" s="63" customFormat="1" ht="33.75" customHeight="1">
      <c r="B23" s="308" t="s">
        <v>375</v>
      </c>
      <c r="C23" s="163">
        <v>11</v>
      </c>
      <c r="D23" s="179" t="s">
        <v>387</v>
      </c>
      <c r="E23" s="165"/>
      <c r="F23" s="165"/>
      <c r="G23" s="118">
        <f>IF(VLOOKUP('Hide - Control'!A$3,'All practice data'!A:CA,C23+4,FALSE)=" "," ",VLOOKUP('Hide - Control'!A$3,'All practice data'!A:CA,C23+4,FALSE))</f>
        <v>79</v>
      </c>
      <c r="H23" s="216">
        <f>IF(VLOOKUP('Hide - Control'!A$3,'All practice data'!A:CA,C23+30,FALSE)=" "," ",VLOOKUP('Hide - Control'!A$3,'All practice data'!A:CA,C23+30,FALSE))</f>
        <v>1849.6839147740575</v>
      </c>
      <c r="I23" s="215">
        <f>IF(LEFT(G23,1)=" "," n/a",IF(G23&lt;5,100000*VLOOKUP(G23,'Hide - Calculation'!AQ:AR,2,FALSE)/$E$8,100000*(G23*(1-1/(9*G23)-1.96/(3*SQRT(G23)))^3)/$E$8))</f>
        <v>1464.3549605129022</v>
      </c>
      <c r="J23" s="215">
        <f>IF(LEFT(G23,1)=" "," n/a",IF(G23&lt;5,100000*VLOOKUP(G23,'Hide - Calculation'!AQ:AS,3,FALSE)/$E$8,100000*((G23+1)*(1-1/(9*(G23+1))+1.96/(3*SQRT(G23+1)))^3)/$E$8))</f>
        <v>2305.295556160142</v>
      </c>
      <c r="K23" s="216">
        <f>IF('Hide - Calculation'!N17="","",'Hide - Calculation'!N17)</f>
        <v>2387.8211227402476</v>
      </c>
      <c r="L23" s="217">
        <f>'Hide - Calculation'!O17</f>
        <v>1812.1669120472948</v>
      </c>
      <c r="M23" s="170">
        <f>IF(ISBLANK('Hide - Calculation'!K17),"",'Hide - Calculation'!U17)</f>
        <v>621.1180419921875</v>
      </c>
      <c r="N23" s="171"/>
      <c r="O23" s="172"/>
      <c r="P23" s="172"/>
      <c r="Q23" s="172"/>
      <c r="R23" s="173"/>
      <c r="S23" s="173"/>
      <c r="T23" s="173"/>
      <c r="U23" s="173"/>
      <c r="V23" s="173"/>
      <c r="W23" s="173"/>
      <c r="X23" s="173"/>
      <c r="Y23" s="173"/>
      <c r="Z23" s="174"/>
      <c r="AA23" s="170">
        <f>IF(ISBLANK('Hide - Calculation'!K17),"",'Hide - Calculation'!T17)</f>
        <v>4624.18017578125</v>
      </c>
      <c r="AB23" s="233" t="s">
        <v>26</v>
      </c>
      <c r="AC23" s="175" t="s">
        <v>558</v>
      </c>
    </row>
    <row r="24" spans="2:29" s="63" customFormat="1" ht="33.75" customHeight="1">
      <c r="B24" s="306"/>
      <c r="C24" s="137">
        <v>12</v>
      </c>
      <c r="D24" s="147" t="s">
        <v>542</v>
      </c>
      <c r="E24" s="85"/>
      <c r="F24" s="85"/>
      <c r="G24" s="118">
        <f>IF(VLOOKUP('Hide - Control'!A$3,'All practice data'!A:CA,C24+4,FALSE)=" "," ",VLOOKUP('Hide - Control'!A$3,'All practice data'!A:CA,C24+4,FALSE))</f>
        <v>79</v>
      </c>
      <c r="H24" s="119">
        <f>IF(VLOOKUP('Hide - Control'!A$3,'All practice data'!A:CA,C24+30,FALSE)=" "," ",VLOOKUP('Hide - Control'!A$3,'All practice data'!A:CA,C24+30,FALSE))</f>
        <v>1.072524185</v>
      </c>
      <c r="I24" s="212">
        <f>IF(LEFT(VLOOKUP('Hide - Control'!A$3,'All practice data'!A:CA,C24+44,FALSE),1)=" "," n/a",VLOOKUP('Hide - Control'!A$3,'All practice data'!A:CA,C24+44,FALSE))</f>
        <v>0.8491275023999999</v>
      </c>
      <c r="J24" s="212">
        <f>IF(LEFT(VLOOKUP('Hide - Control'!A$3,'All practice data'!A:CA,C24+45,FALSE),1)=" "," n/a",VLOOKUP('Hide - Control'!A$3,'All practice data'!A:CA,C24+45,FALSE))</f>
        <v>1.336685028</v>
      </c>
      <c r="K24" s="152" t="s">
        <v>658</v>
      </c>
      <c r="L24" s="213">
        <v>1</v>
      </c>
      <c r="M24" s="152">
        <f>IF(ISBLANK('Hide - Calculation'!K18),"",'Hide - Calculation'!U18)</f>
        <v>0.3139548897743225</v>
      </c>
      <c r="N24" s="86"/>
      <c r="O24" s="87"/>
      <c r="P24" s="87"/>
      <c r="Q24" s="87"/>
      <c r="R24" s="84"/>
      <c r="S24" s="84"/>
      <c r="T24" s="84"/>
      <c r="U24" s="84"/>
      <c r="V24" s="84"/>
      <c r="W24" s="84"/>
      <c r="X24" s="84"/>
      <c r="Y24" s="84"/>
      <c r="Z24" s="88"/>
      <c r="AA24" s="152">
        <f>IF(ISBLANK('Hide - Calculation'!K18),"",'Hide - Calculation'!T18)</f>
        <v>2.3207130432128906</v>
      </c>
      <c r="AB24" s="234" t="s">
        <v>26</v>
      </c>
      <c r="AC24" s="131" t="s">
        <v>558</v>
      </c>
    </row>
    <row r="25" spans="2:29" s="63" customFormat="1" ht="33.75" customHeight="1">
      <c r="B25" s="306"/>
      <c r="C25" s="137">
        <v>13</v>
      </c>
      <c r="D25" s="147" t="s">
        <v>382</v>
      </c>
      <c r="E25" s="85"/>
      <c r="F25" s="85"/>
      <c r="G25" s="118">
        <f>IF(VLOOKUP('Hide - Control'!A$3,'All practice data'!A:CA,C25+4,FALSE)=" "," ",VLOOKUP('Hide - Control'!A$3,'All practice data'!A:CA,C25+4,FALSE))</f>
        <v>11</v>
      </c>
      <c r="H25" s="119">
        <f>IF(VLOOKUP('Hide - Control'!A$3,'All practice data'!A:CA,C25+30,FALSE)=" "," ",VLOOKUP('Hide - Control'!A$3,'All practice data'!A:CA,C25+30,FALSE))</f>
        <v>0.13924050632911392</v>
      </c>
      <c r="I25" s="120">
        <f>IF(LEFT(G25,1)=" "," n/a",IF(G25=0," n/a",+((2*G25+1.96^2-1.96*SQRT(1.96^2+4*G25*(1-G25/G23)))/(2*(G23+1.96^2)))))</f>
        <v>0.07956458969765408</v>
      </c>
      <c r="J25" s="120">
        <f>IF(LEFT(G25,1)=" "," n/a",IF(G25=0," n/a",+((2*G25+1.96^2+1.96*SQRT(1.96^2+4*G25*(1-G25/G23)))/(2*(G23+1.96^2)))))</f>
        <v>0.23237530523436076</v>
      </c>
      <c r="K25" s="125">
        <f>IF('Hide - Calculation'!N19="","",'Hide - Calculation'!N19)</f>
        <v>0.1078737647433854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0.3103448152542114</v>
      </c>
      <c r="AB25" s="234" t="s">
        <v>26</v>
      </c>
      <c r="AC25" s="131" t="s">
        <v>558</v>
      </c>
    </row>
    <row r="26" spans="2:29" s="63" customFormat="1" ht="33.75" customHeight="1">
      <c r="B26" s="306"/>
      <c r="C26" s="137">
        <v>14</v>
      </c>
      <c r="D26" s="147" t="s">
        <v>525</v>
      </c>
      <c r="E26" s="85"/>
      <c r="F26" s="85"/>
      <c r="G26" s="121">
        <f>IF(VLOOKUP('Hide - Control'!A$3,'All practice data'!A:CA,C26+4,FALSE)=" "," ",VLOOKUP('Hide - Control'!A$3,'All practice data'!A:CA,C26+4,FALSE))</f>
        <v>22</v>
      </c>
      <c r="H26" s="119">
        <f>IF(VLOOKUP('Hide - Control'!A$3,'All practice data'!A:CA,C26+30,FALSE)=" "," ",VLOOKUP('Hide - Control'!A$3,'All practice data'!A:CA,C26+30,FALSE))</f>
        <v>0.5</v>
      </c>
      <c r="I26" s="120">
        <f>IF(OR(LEFT(G26,1)=" ",LEFT(G25,1)=" ")," n/a",IF(G26=0," n/a",+((2*G25+1.96^2-1.96*SQRT(1.96^2+4*G25*(1-G25/G26)))/(2*(G26+1.96^2)))))</f>
        <v>0.30721804692479565</v>
      </c>
      <c r="J26" s="120">
        <f>IF(OR(LEFT(G26,1)=" ",LEFT(G25,1)=" ")," n/a",IF(G26=0," n/a",+((2*G25+1.96^2+1.96*SQRT(1.96^2+4*G25*(1-G25/G26)))/(2*(G26+1.96^2)))))</f>
        <v>0.6927819530752044</v>
      </c>
      <c r="K26" s="125">
        <f>IF('Hide - Calculation'!N20="","",'Hide - Calculation'!N20)</f>
        <v>0.48384329425221617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0.75</v>
      </c>
      <c r="AB26" s="234" t="s">
        <v>26</v>
      </c>
      <c r="AC26" s="131" t="s">
        <v>558</v>
      </c>
    </row>
    <row r="27" spans="2:29" s="63" customFormat="1" ht="33.75" customHeight="1">
      <c r="B27" s="306"/>
      <c r="C27" s="137">
        <v>15</v>
      </c>
      <c r="D27" s="147" t="s">
        <v>512</v>
      </c>
      <c r="E27" s="85"/>
      <c r="F27" s="85"/>
      <c r="G27" s="121">
        <f>IF(VLOOKUP('Hide - Control'!A$3,'All practice data'!A:CA,C27+4,FALSE)=" "," ",VLOOKUP('Hide - Control'!A$3,'All practice data'!A:CA,C27+4,FALSE))</f>
        <v>10</v>
      </c>
      <c r="H27" s="122">
        <f>IF(VLOOKUP('Hide - Control'!A$3,'All practice data'!A:CA,C27+30,FALSE)=" "," ",VLOOKUP('Hide - Control'!A$3,'All practice data'!A:CA,C27+30,FALSE))</f>
        <v>234.13720440177946</v>
      </c>
      <c r="I27" s="123">
        <f>IF(LEFT(G27,1)=" "," n/a",IF(G27&lt;5,100000*VLOOKUP(G27,'Hide - Calculation'!AQ:AR,2,FALSE)/$E$8,100000*(G27*(1-1/(9*G27)-1.96/(3*SQRT(G27)))^3)/$E$8))</f>
        <v>112.09038200734258</v>
      </c>
      <c r="J27" s="123">
        <f>IF(LEFT(G27,1)=" "," n/a",IF(G27&lt;5,100000*VLOOKUP(G27,'Hide - Calculation'!AQ:AS,3,FALSE)/$E$8,100000*((G27+1)*(1-1/(9*(G27+1))+1.96/(3*SQRT(G27+1)))^3)/$E$8))</f>
        <v>430.61641006908263</v>
      </c>
      <c r="K27" s="122">
        <f>IF('Hide - Calculation'!N21="","",'Hide - Calculation'!N21)</f>
        <v>541.5033301617507</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1037.1650390625</v>
      </c>
      <c r="AB27" s="234" t="s">
        <v>26</v>
      </c>
      <c r="AC27" s="131" t="s">
        <v>558</v>
      </c>
    </row>
    <row r="28" spans="2:29" s="63" customFormat="1" ht="33.75" customHeight="1">
      <c r="B28" s="306"/>
      <c r="C28" s="137">
        <v>16</v>
      </c>
      <c r="D28" s="147" t="s">
        <v>513</v>
      </c>
      <c r="E28" s="85"/>
      <c r="F28" s="85"/>
      <c r="G28" s="121">
        <f>IF(VLOOKUP('Hide - Control'!A$3,'All practice data'!A:CA,C28+4,FALSE)=" "," ",VLOOKUP('Hide - Control'!A$3,'All practice data'!A:CA,C28+4,FALSE))</f>
        <v>14</v>
      </c>
      <c r="H28" s="122">
        <f>IF(VLOOKUP('Hide - Control'!A$3,'All practice data'!A:CA,C28+30,FALSE)=" "," ",VLOOKUP('Hide - Control'!A$3,'All practice data'!A:CA,C28+30,FALSE))</f>
        <v>327.7920861624912</v>
      </c>
      <c r="I28" s="123">
        <f>IF(LEFT(G28,1)=" "," n/a",IF(G28&lt;5,100000*VLOOKUP(G28,'Hide - Calculation'!AQ:AR,2,FALSE)/$E$8,100000*(G28*(1-1/(9*G28)-1.96/(3*SQRT(G28)))^3)/$E$8))</f>
        <v>179.05503747937723</v>
      </c>
      <c r="J28" s="123">
        <f>IF(LEFT(G28,1)=" "," n/a",IF(G28&lt;5,100000*VLOOKUP(G28,'Hide - Calculation'!AQ:AS,3,FALSE)/$E$8,100000*((G28+1)*(1-1/(9*(G28+1))+1.96/(3*SQRT(G28+1)))^3)/$E$8))</f>
        <v>550.0160591763697</v>
      </c>
      <c r="K28" s="122">
        <f>IF('Hide - Calculation'!N22="","",'Hide - Calculation'!N22)</f>
        <v>304.77640342530924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783.4442138671875</v>
      </c>
      <c r="AB28" s="234" t="s">
        <v>26</v>
      </c>
      <c r="AC28" s="131" t="s">
        <v>558</v>
      </c>
    </row>
    <row r="29" spans="2:29" s="63" customFormat="1" ht="33.75" customHeight="1">
      <c r="B29" s="306"/>
      <c r="C29" s="137">
        <v>17</v>
      </c>
      <c r="D29" s="147" t="s">
        <v>514</v>
      </c>
      <c r="E29" s="85"/>
      <c r="F29" s="85"/>
      <c r="G29" s="121">
        <f>IF(VLOOKUP('Hide - Control'!A$3,'All practice data'!A:CA,C29+4,FALSE)=" "," ",VLOOKUP('Hide - Control'!A$3,'All practice data'!A:CA,C29+4,FALSE))</f>
        <v>8</v>
      </c>
      <c r="H29" s="122">
        <f>IF(VLOOKUP('Hide - Control'!A$3,'All practice data'!A:CA,C29+30,FALSE)=" "," ",VLOOKUP('Hide - Control'!A$3,'All practice data'!A:CA,C29+30,FALSE))</f>
        <v>187.30976352142355</v>
      </c>
      <c r="I29" s="123">
        <f>IF(LEFT(G29,1)=" "," n/a",IF(G29&lt;5,100000*VLOOKUP(G29,'Hide - Calculation'!AQ:AR,2,FALSE)/$E$8,100000*(G29*(1-1/(9*G29)-1.96/(3*SQRT(G29)))^3)/$E$8))</f>
        <v>80.651663864662</v>
      </c>
      <c r="J29" s="123">
        <f>IF(LEFT(G29,1)=" "," n/a",IF(G29&lt;5,100000*VLOOKUP(G29,'Hide - Calculation'!AQ:AS,3,FALSE)/$E$8,100000*((G29+1)*(1-1/(9*(G29+1))+1.96/(3*SQRT(G29+1)))^3)/$E$8))</f>
        <v>369.0975764921854</v>
      </c>
      <c r="K29" s="122">
        <f>IF('Hide - Calculation'!N23="","",'Hide - Calculation'!N23)</f>
        <v>87.23120837297812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266.9039001464844</v>
      </c>
      <c r="AB29" s="234" t="s">
        <v>26</v>
      </c>
      <c r="AC29" s="131" t="s">
        <v>558</v>
      </c>
    </row>
    <row r="30" spans="2:29" s="63" customFormat="1" ht="33.75" customHeight="1" thickBot="1">
      <c r="B30" s="309"/>
      <c r="C30" s="180">
        <v>18</v>
      </c>
      <c r="D30" s="181" t="s">
        <v>515</v>
      </c>
      <c r="E30" s="182"/>
      <c r="F30" s="182"/>
      <c r="G30" s="183">
        <f>IF(VLOOKUP('Hide - Control'!A$3,'All practice data'!A:CA,C30+4,FALSE)=" "," ",VLOOKUP('Hide - Control'!A$3,'All practice data'!A:CA,C30+4,FALSE))</f>
        <v>11</v>
      </c>
      <c r="H30" s="184">
        <f>IF(VLOOKUP('Hide - Control'!A$3,'All practice data'!A:CA,C30+30,FALSE)=" "," ",VLOOKUP('Hide - Control'!A$3,'All practice data'!A:CA,C30+30,FALSE))</f>
        <v>257.5509248419574</v>
      </c>
      <c r="I30" s="185">
        <f>IF(LEFT(G30,1)=" "," n/a",IF(G30&lt;5,100000*VLOOKUP(G30,'Hide - Calculation'!AQ:AR,2,FALSE)/$E$8,100000*(G30*(1-1/(9*G30)-1.96/(3*SQRT(G30)))^3)/$E$8))</f>
        <v>128.39183092930895</v>
      </c>
      <c r="J30" s="185">
        <f>IF(LEFT(G30,1)=" "," n/a",IF(G30&lt;5,100000*VLOOKUP(G30,'Hide - Calculation'!AQ:AS,3,FALSE)/$E$8,100000*((G30+1)*(1-1/(9*(G30+1))+1.96/(3*SQRT(G30+1)))^3)/$E$8))</f>
        <v>460.86187402045954</v>
      </c>
      <c r="K30" s="184">
        <f>IF('Hide - Calculation'!N24="","",'Hide - Calculation'!N24)</f>
        <v>492.3311132254995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2050.78125</v>
      </c>
      <c r="AB30" s="235" t="s">
        <v>26</v>
      </c>
      <c r="AC30" s="189" t="s">
        <v>558</v>
      </c>
    </row>
    <row r="31" spans="2:29" s="63" customFormat="1" ht="33.75" customHeight="1">
      <c r="B31" s="304" t="s">
        <v>384</v>
      </c>
      <c r="C31" s="163">
        <v>19</v>
      </c>
      <c r="D31" s="164" t="s">
        <v>388</v>
      </c>
      <c r="E31" s="165"/>
      <c r="F31" s="165"/>
      <c r="G31" s="166">
        <f>IF(VLOOKUP('Hide - Control'!A$3,'All practice data'!A:CA,C31+4,FALSE)=" "," ",VLOOKUP('Hide - Control'!A$3,'All practice data'!A:CA,C31+4,FALSE))</f>
        <v>17</v>
      </c>
      <c r="H31" s="167">
        <f>IF(VLOOKUP('Hide - Control'!A$3,'All practice data'!A:CA,C31+30,FALSE)=" "," ",VLOOKUP('Hide - Control'!A$3,'All practice data'!A:CA,C31+30,FALSE))</f>
        <v>398.03324748302504</v>
      </c>
      <c r="I31" s="168">
        <f>IF(LEFT(G31,1)=" "," n/a",IF(G31&lt;5,100000*VLOOKUP(G31,'Hide - Calculation'!AQ:AR,2,FALSE)/$E$8,100000*(G31*(1-1/(9*G31)-1.96/(3*SQRT(G31)))^3)/$E$8))</f>
        <v>231.7343379109507</v>
      </c>
      <c r="J31" s="168">
        <f>IF(LEFT(G31,1)=" "," n/a",IF(G31&lt;5,100000*VLOOKUP(G31,'Hide - Calculation'!AQ:AS,3,FALSE)/$E$8,100000*((G31+1)*(1-1/(9*(G31+1))+1.96/(3*SQRT(G31+1)))^3)/$E$8))</f>
        <v>637.3287454370148</v>
      </c>
      <c r="K31" s="167">
        <f>IF('Hide - Calculation'!N25="","",'Hide - Calculation'!N25)</f>
        <v>616.86013320647</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927.5655517578125</v>
      </c>
      <c r="AB31" s="233" t="s">
        <v>47</v>
      </c>
      <c r="AC31" s="175" t="s">
        <v>558</v>
      </c>
    </row>
    <row r="32" spans="2:29" s="63" customFormat="1" ht="33.75" customHeight="1">
      <c r="B32" s="305"/>
      <c r="C32" s="137">
        <v>20</v>
      </c>
      <c r="D32" s="132" t="s">
        <v>389</v>
      </c>
      <c r="E32" s="85"/>
      <c r="F32" s="85"/>
      <c r="G32" s="121">
        <f>IF(VLOOKUP('Hide - Control'!A$3,'All practice data'!A:CA,C32+4,FALSE)=" "," ",VLOOKUP('Hide - Control'!A$3,'All practice data'!A:CA,C32+4,FALSE))</f>
        <v>17</v>
      </c>
      <c r="H32" s="122">
        <f>IF(VLOOKUP('Hide - Control'!A$3,'All practice data'!A:CA,C32+30,FALSE)=" "," ",VLOOKUP('Hide - Control'!A$3,'All practice data'!A:CA,C32+30,FALSE))</f>
        <v>398.03324748302504</v>
      </c>
      <c r="I32" s="123">
        <f>IF(LEFT(G32,1)=" "," n/a",IF(G32&lt;5,100000*VLOOKUP(G32,'Hide - Calculation'!AQ:AR,2,FALSE)/$E$8,100000*(G32*(1-1/(9*G32)-1.96/(3*SQRT(G32)))^3)/$E$8))</f>
        <v>231.7343379109507</v>
      </c>
      <c r="J32" s="123">
        <f>IF(LEFT(G32,1)=" "," n/a",IF(G32&lt;5,100000*VLOOKUP(G32,'Hide - Calculation'!AQ:AS,3,FALSE)/$E$8,100000*((G32+1)*(1-1/(9*(G32+1))+1.96/(3*SQRT(G32+1)))^3)/$E$8))</f>
        <v>637.3287454370148</v>
      </c>
      <c r="K32" s="122">
        <f>IF('Hide - Calculation'!N26="","",'Hide - Calculation'!N26)</f>
        <v>437.3739295908658</v>
      </c>
      <c r="L32" s="156">
        <f>'Hide - Calculation'!O26</f>
        <v>405.57105879375996</v>
      </c>
      <c r="M32" s="148">
        <f>IF(ISBLANK('Hide - Calculation'!K26),"",'Hide - Calculation'!U26)</f>
        <v>132.6846466064453</v>
      </c>
      <c r="N32" s="86"/>
      <c r="O32" s="87"/>
      <c r="P32" s="87"/>
      <c r="Q32" s="87"/>
      <c r="R32" s="84"/>
      <c r="S32" s="84"/>
      <c r="T32" s="84"/>
      <c r="U32" s="84"/>
      <c r="V32" s="84"/>
      <c r="W32" s="84"/>
      <c r="X32" s="84"/>
      <c r="Y32" s="84"/>
      <c r="Z32" s="88"/>
      <c r="AA32" s="148">
        <f>IF(ISBLANK('Hide - Calculation'!K26),"",'Hide - Calculation'!T26)</f>
        <v>931.9500732421875</v>
      </c>
      <c r="AB32" s="234" t="s">
        <v>47</v>
      </c>
      <c r="AC32" s="131" t="s">
        <v>558</v>
      </c>
    </row>
    <row r="33" spans="2:29" s="63" customFormat="1" ht="33.75" customHeight="1">
      <c r="B33" s="305"/>
      <c r="C33" s="137">
        <v>21</v>
      </c>
      <c r="D33" s="132" t="s">
        <v>391</v>
      </c>
      <c r="E33" s="85"/>
      <c r="F33" s="85"/>
      <c r="G33" s="121">
        <f>IF(VLOOKUP('Hide - Control'!A$3,'All practice data'!A:CA,C33+4,FALSE)=" "," ",VLOOKUP('Hide - Control'!A$3,'All practice data'!A:CA,C33+4,FALSE))</f>
        <v>61</v>
      </c>
      <c r="H33" s="122">
        <f>IF(VLOOKUP('Hide - Control'!A$3,'All practice data'!A:CA,C33+30,FALSE)=" "," ",VLOOKUP('Hide - Control'!A$3,'All practice data'!A:CA,C33+30,FALSE))</f>
        <v>1428.2369468508546</v>
      </c>
      <c r="I33" s="123">
        <f>IF(LEFT(G33,1)=" "," n/a",IF(G33&lt;5,100000*VLOOKUP(G33,'Hide - Calculation'!AQ:AR,2,FALSE)/$E$8,100000*(G33*(1-1/(9*G33)-1.96/(3*SQRT(G33)))^3)/$E$8))</f>
        <v>1092.423213991184</v>
      </c>
      <c r="J33" s="123">
        <f>IF(LEFT(G33,1)=" "," n/a",IF(G33&lt;5,100000*VLOOKUP(G33,'Hide - Calculation'!AQ:AS,3,FALSE)/$E$8,100000*((G33+1)*(1-1/(9*(G33+1))+1.96/(3*SQRT(G33+1)))^3)/$E$8))</f>
        <v>1834.6688897692918</v>
      </c>
      <c r="K33" s="122">
        <f>IF('Hide - Calculation'!N27="","",'Hide - Calculation'!N27)</f>
        <v>954.2150333016175</v>
      </c>
      <c r="L33" s="156">
        <f>'Hide - Calculation'!O27</f>
        <v>1059.3522061277838</v>
      </c>
      <c r="M33" s="148">
        <f>IF(ISBLANK('Hide - Calculation'!K27),"",'Hide - Calculation'!U27)</f>
        <v>476.4522705078125</v>
      </c>
      <c r="N33" s="86"/>
      <c r="O33" s="87"/>
      <c r="P33" s="87"/>
      <c r="Q33" s="87"/>
      <c r="R33" s="84"/>
      <c r="S33" s="84"/>
      <c r="T33" s="84"/>
      <c r="U33" s="84"/>
      <c r="V33" s="84"/>
      <c r="W33" s="84"/>
      <c r="X33" s="84"/>
      <c r="Y33" s="84"/>
      <c r="Z33" s="88"/>
      <c r="AA33" s="148">
        <f>IF(ISBLANK('Hide - Calculation'!K27),"",'Hide - Calculation'!T27)</f>
        <v>1777.6097412109375</v>
      </c>
      <c r="AB33" s="234" t="s">
        <v>47</v>
      </c>
      <c r="AC33" s="131" t="s">
        <v>558</v>
      </c>
    </row>
    <row r="34" spans="2:29" s="63" customFormat="1" ht="33.75" customHeight="1">
      <c r="B34" s="305"/>
      <c r="C34" s="137">
        <v>22</v>
      </c>
      <c r="D34" s="132" t="s">
        <v>390</v>
      </c>
      <c r="E34" s="85"/>
      <c r="F34" s="85"/>
      <c r="G34" s="118">
        <f>IF(VLOOKUP('Hide - Control'!A$3,'All practice data'!A:CA,C34+4,FALSE)=" "," ",VLOOKUP('Hide - Control'!A$3,'All practice data'!A:CA,C34+4,FALSE))</f>
        <v>25</v>
      </c>
      <c r="H34" s="122">
        <f>IF(VLOOKUP('Hide - Control'!A$3,'All practice data'!A:CA,C34+30,FALSE)=" "," ",VLOOKUP('Hide - Control'!A$3,'All practice data'!A:CA,C34+30,FALSE))</f>
        <v>585.3430110044486</v>
      </c>
      <c r="I34" s="123">
        <f>IF(LEFT(G34,1)=" "," n/a",IF(G34&lt;5,100000*VLOOKUP(G34,'Hide - Calculation'!AQ:AR,2,FALSE)/$E$8,100000*(G34*(1-1/(9*G34)-1.96/(3*SQRT(G34)))^3)/$E$8))</f>
        <v>378.6965866906649</v>
      </c>
      <c r="J34" s="123">
        <f>IF(LEFT(G34,1)=" "," n/a",IF(G34&lt;5,100000*VLOOKUP(G34,'Hide - Calculation'!AQ:AS,3,FALSE)/$E$8,100000*((G34+1)*(1-1/(9*(G34+1))+1.96/(3*SQRT(G34+1)))^3)/$E$8))</f>
        <v>864.1227497767659</v>
      </c>
      <c r="K34" s="122">
        <f>IF('Hide - Calculation'!N28="","",'Hide - Calculation'!N28)</f>
        <v>677.7545195052331</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1485.36474609375</v>
      </c>
      <c r="AB34" s="234" t="s">
        <v>47</v>
      </c>
      <c r="AC34" s="131" t="s">
        <v>558</v>
      </c>
    </row>
    <row r="35" spans="2:29" s="63" customFormat="1" ht="33.75" customHeight="1">
      <c r="B35" s="305"/>
      <c r="C35" s="137">
        <v>23</v>
      </c>
      <c r="D35" s="138" t="s">
        <v>516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376</v>
      </c>
      <c r="AC35" s="131">
        <v>2008</v>
      </c>
    </row>
    <row r="36" spans="2:29" ht="33.75" customHeight="1">
      <c r="B36" s="306"/>
      <c r="C36" s="137">
        <v>24</v>
      </c>
      <c r="D36" s="224" t="s">
        <v>517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376</v>
      </c>
      <c r="AC36" s="131">
        <v>2008</v>
      </c>
    </row>
    <row r="37" spans="2:29" ht="33.75" customHeight="1" thickBot="1">
      <c r="B37" s="307"/>
      <c r="C37" s="176">
        <v>25</v>
      </c>
      <c r="D37" s="177" t="s">
        <v>392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376</v>
      </c>
      <c r="AC37" s="149">
        <v>2008</v>
      </c>
    </row>
    <row r="38" spans="2:29" ht="16.5" customHeight="1">
      <c r="B38" s="69"/>
      <c r="C38" s="69"/>
      <c r="D38" s="65" t="s">
        <v>374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657</v>
      </c>
      <c r="C39" s="244"/>
      <c r="D39" s="244"/>
      <c r="E39" s="303" t="s">
        <v>661</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541</v>
      </c>
      <c r="BE2" s="341"/>
      <c r="BF2" s="341"/>
      <c r="BG2" s="341"/>
      <c r="BH2" s="341"/>
      <c r="BI2" s="341"/>
      <c r="BJ2" s="342"/>
    </row>
    <row r="3" spans="1:82" s="72" customFormat="1" ht="76.5" customHeight="1">
      <c r="A3" s="266" t="s">
        <v>276</v>
      </c>
      <c r="B3" s="275" t="s">
        <v>277</v>
      </c>
      <c r="C3" s="276" t="s">
        <v>49</v>
      </c>
      <c r="D3" s="274" t="s">
        <v>526</v>
      </c>
      <c r="E3" s="267" t="s">
        <v>398</v>
      </c>
      <c r="F3" s="267" t="s">
        <v>509</v>
      </c>
      <c r="G3" s="267" t="s">
        <v>400</v>
      </c>
      <c r="H3" s="267" t="s">
        <v>401</v>
      </c>
      <c r="I3" s="267" t="s">
        <v>402</v>
      </c>
      <c r="J3" s="267" t="s">
        <v>550</v>
      </c>
      <c r="K3" s="267" t="s">
        <v>551</v>
      </c>
      <c r="L3" s="267" t="s">
        <v>552</v>
      </c>
      <c r="M3" s="267" t="s">
        <v>403</v>
      </c>
      <c r="N3" s="267" t="s">
        <v>404</v>
      </c>
      <c r="O3" s="267" t="s">
        <v>405</v>
      </c>
      <c r="P3" s="267" t="s">
        <v>540</v>
      </c>
      <c r="Q3" s="267" t="s">
        <v>406</v>
      </c>
      <c r="R3" s="267" t="s">
        <v>407</v>
      </c>
      <c r="S3" s="267" t="s">
        <v>408</v>
      </c>
      <c r="T3" s="267" t="s">
        <v>409</v>
      </c>
      <c r="U3" s="267" t="s">
        <v>410</v>
      </c>
      <c r="V3" s="267" t="s">
        <v>411</v>
      </c>
      <c r="W3" s="267" t="s">
        <v>412</v>
      </c>
      <c r="X3" s="267" t="s">
        <v>413</v>
      </c>
      <c r="Y3" s="267" t="s">
        <v>414</v>
      </c>
      <c r="Z3" s="267" t="s">
        <v>415</v>
      </c>
      <c r="AA3" s="267" t="s">
        <v>416</v>
      </c>
      <c r="AB3" s="267" t="s">
        <v>417</v>
      </c>
      <c r="AC3" s="267" t="s">
        <v>418</v>
      </c>
      <c r="AD3" s="268" t="s">
        <v>419</v>
      </c>
      <c r="AE3" s="268" t="s">
        <v>398</v>
      </c>
      <c r="AF3" s="269" t="s">
        <v>399</v>
      </c>
      <c r="AG3" s="268" t="s">
        <v>400</v>
      </c>
      <c r="AH3" s="268" t="s">
        <v>401</v>
      </c>
      <c r="AI3" s="268" t="s">
        <v>402</v>
      </c>
      <c r="AJ3" s="268" t="s">
        <v>550</v>
      </c>
      <c r="AK3" s="268" t="s">
        <v>551</v>
      </c>
      <c r="AL3" s="268" t="s">
        <v>552</v>
      </c>
      <c r="AM3" s="268" t="s">
        <v>403</v>
      </c>
      <c r="AN3" s="268" t="s">
        <v>404</v>
      </c>
      <c r="AO3" s="268" t="s">
        <v>405</v>
      </c>
      <c r="AP3" s="268" t="s">
        <v>540</v>
      </c>
      <c r="AQ3" s="268" t="s">
        <v>406</v>
      </c>
      <c r="AR3" s="268" t="s">
        <v>407</v>
      </c>
      <c r="AS3" s="268" t="s">
        <v>408</v>
      </c>
      <c r="AT3" s="268" t="s">
        <v>409</v>
      </c>
      <c r="AU3" s="268" t="s">
        <v>410</v>
      </c>
      <c r="AV3" s="268" t="s">
        <v>411</v>
      </c>
      <c r="AW3" s="268" t="s">
        <v>412</v>
      </c>
      <c r="AX3" s="268" t="s">
        <v>413</v>
      </c>
      <c r="AY3" s="270" t="s">
        <v>414</v>
      </c>
      <c r="AZ3" s="271" t="s">
        <v>415</v>
      </c>
      <c r="BA3" s="271" t="s">
        <v>416</v>
      </c>
      <c r="BB3" s="271" t="s">
        <v>417</v>
      </c>
      <c r="BC3" s="272" t="s">
        <v>418</v>
      </c>
      <c r="BD3" s="273" t="s">
        <v>538</v>
      </c>
      <c r="BE3" s="273" t="s">
        <v>539</v>
      </c>
      <c r="BF3" s="273" t="s">
        <v>546</v>
      </c>
      <c r="BG3" s="273" t="s">
        <v>547</v>
      </c>
      <c r="BH3" s="273" t="s">
        <v>545</v>
      </c>
      <c r="BI3" s="273" t="s">
        <v>548</v>
      </c>
      <c r="BJ3" s="273" t="s">
        <v>549</v>
      </c>
      <c r="BK3" s="73"/>
      <c r="BL3" s="73"/>
      <c r="BM3" s="73"/>
      <c r="BN3" s="73"/>
      <c r="BO3" s="73"/>
      <c r="BP3" s="73"/>
      <c r="BQ3" s="73"/>
      <c r="BR3" s="73"/>
      <c r="BS3" s="73"/>
      <c r="BT3" s="73"/>
      <c r="BU3" s="73"/>
      <c r="BV3" s="73"/>
      <c r="BW3" s="73"/>
      <c r="BX3" s="73"/>
      <c r="BY3" s="73"/>
      <c r="BZ3" s="73"/>
      <c r="CA3" s="73"/>
      <c r="CB3" s="73"/>
      <c r="CC3" s="73"/>
      <c r="CD3" s="73"/>
    </row>
    <row r="4" spans="1:66" ht="12.75">
      <c r="A4" s="79" t="s">
        <v>663</v>
      </c>
      <c r="B4" s="79" t="s">
        <v>352</v>
      </c>
      <c r="C4" s="79" t="s">
        <v>177</v>
      </c>
      <c r="D4" s="99">
        <v>4271</v>
      </c>
      <c r="E4" s="99">
        <v>609</v>
      </c>
      <c r="F4" s="99" t="s">
        <v>394</v>
      </c>
      <c r="G4" s="99">
        <v>22</v>
      </c>
      <c r="H4" s="99">
        <v>8</v>
      </c>
      <c r="I4" s="99">
        <v>72</v>
      </c>
      <c r="J4" s="99">
        <v>316</v>
      </c>
      <c r="K4" s="99" t="s">
        <v>660</v>
      </c>
      <c r="L4" s="99">
        <v>775</v>
      </c>
      <c r="M4" s="99">
        <v>190</v>
      </c>
      <c r="N4" s="99">
        <v>85</v>
      </c>
      <c r="O4" s="99">
        <v>79</v>
      </c>
      <c r="P4" s="159">
        <v>79</v>
      </c>
      <c r="Q4" s="99">
        <v>11</v>
      </c>
      <c r="R4" s="99">
        <v>22</v>
      </c>
      <c r="S4" s="99">
        <v>10</v>
      </c>
      <c r="T4" s="99">
        <v>14</v>
      </c>
      <c r="U4" s="99">
        <v>8</v>
      </c>
      <c r="V4" s="99">
        <v>11</v>
      </c>
      <c r="W4" s="99">
        <v>17</v>
      </c>
      <c r="X4" s="99">
        <v>17</v>
      </c>
      <c r="Y4" s="99">
        <v>61</v>
      </c>
      <c r="Z4" s="99">
        <v>25</v>
      </c>
      <c r="AA4" s="99" t="s">
        <v>660</v>
      </c>
      <c r="AB4" s="99" t="s">
        <v>660</v>
      </c>
      <c r="AC4" s="99" t="s">
        <v>660</v>
      </c>
      <c r="AD4" s="98" t="s">
        <v>374</v>
      </c>
      <c r="AE4" s="100">
        <v>0.1425895574806837</v>
      </c>
      <c r="AF4" s="100">
        <v>0.2</v>
      </c>
      <c r="AG4" s="98">
        <v>515.1018496839148</v>
      </c>
      <c r="AH4" s="98">
        <v>187.30976352142355</v>
      </c>
      <c r="AI4" s="100">
        <v>0.017</v>
      </c>
      <c r="AJ4" s="100">
        <v>0.703786</v>
      </c>
      <c r="AK4" s="100" t="s">
        <v>660</v>
      </c>
      <c r="AL4" s="100">
        <v>0.784413</v>
      </c>
      <c r="AM4" s="100">
        <v>0.447059</v>
      </c>
      <c r="AN4" s="100">
        <v>0.464481</v>
      </c>
      <c r="AO4" s="98">
        <v>1849.6839147740575</v>
      </c>
      <c r="AP4" s="158">
        <v>1.072524185</v>
      </c>
      <c r="AQ4" s="100">
        <v>0.13924050632911392</v>
      </c>
      <c r="AR4" s="100">
        <v>0.5</v>
      </c>
      <c r="AS4" s="98">
        <v>234.13720440177946</v>
      </c>
      <c r="AT4" s="98">
        <v>327.7920861624912</v>
      </c>
      <c r="AU4" s="98">
        <v>187.30976352142355</v>
      </c>
      <c r="AV4" s="98">
        <v>257.5509248419574</v>
      </c>
      <c r="AW4" s="98">
        <v>398.03324748302504</v>
      </c>
      <c r="AX4" s="98">
        <v>398.03324748302504</v>
      </c>
      <c r="AY4" s="98">
        <v>1428.2369468508546</v>
      </c>
      <c r="AZ4" s="98">
        <v>585.3430110044486</v>
      </c>
      <c r="BA4" s="100" t="s">
        <v>660</v>
      </c>
      <c r="BB4" s="100" t="s">
        <v>660</v>
      </c>
      <c r="BC4" s="100" t="s">
        <v>660</v>
      </c>
      <c r="BD4" s="158">
        <v>0.8491275023999999</v>
      </c>
      <c r="BE4" s="158">
        <v>1.336685028</v>
      </c>
      <c r="BF4" s="162">
        <v>449</v>
      </c>
      <c r="BG4" s="162" t="s">
        <v>660</v>
      </c>
      <c r="BH4" s="162">
        <v>988</v>
      </c>
      <c r="BI4" s="162">
        <v>425</v>
      </c>
      <c r="BJ4" s="162">
        <v>183</v>
      </c>
      <c r="BK4" s="97"/>
      <c r="BL4" s="97"/>
      <c r="BM4" s="97"/>
      <c r="BN4" s="97"/>
    </row>
    <row r="5" spans="1:66" ht="12.75">
      <c r="A5" s="79" t="s">
        <v>594</v>
      </c>
      <c r="B5" s="79" t="s">
        <v>315</v>
      </c>
      <c r="C5" s="79" t="s">
        <v>177</v>
      </c>
      <c r="D5" s="99">
        <v>5049</v>
      </c>
      <c r="E5" s="99">
        <v>997</v>
      </c>
      <c r="F5" s="99" t="s">
        <v>396</v>
      </c>
      <c r="G5" s="99">
        <v>33</v>
      </c>
      <c r="H5" s="99">
        <v>16</v>
      </c>
      <c r="I5" s="99">
        <v>76</v>
      </c>
      <c r="J5" s="99">
        <v>412</v>
      </c>
      <c r="K5" s="99">
        <v>8</v>
      </c>
      <c r="L5" s="99">
        <v>898</v>
      </c>
      <c r="M5" s="99">
        <v>303</v>
      </c>
      <c r="N5" s="99">
        <v>148</v>
      </c>
      <c r="O5" s="99">
        <v>91</v>
      </c>
      <c r="P5" s="159">
        <v>91</v>
      </c>
      <c r="Q5" s="99">
        <v>15</v>
      </c>
      <c r="R5" s="99">
        <v>21</v>
      </c>
      <c r="S5" s="99">
        <v>17</v>
      </c>
      <c r="T5" s="99">
        <v>9</v>
      </c>
      <c r="U5" s="99" t="s">
        <v>660</v>
      </c>
      <c r="V5" s="99">
        <v>21</v>
      </c>
      <c r="W5" s="99">
        <v>27</v>
      </c>
      <c r="X5" s="99">
        <v>18</v>
      </c>
      <c r="Y5" s="99">
        <v>62</v>
      </c>
      <c r="Z5" s="99">
        <v>29</v>
      </c>
      <c r="AA5" s="99" t="s">
        <v>660</v>
      </c>
      <c r="AB5" s="99" t="s">
        <v>660</v>
      </c>
      <c r="AC5" s="99" t="s">
        <v>660</v>
      </c>
      <c r="AD5" s="98" t="s">
        <v>374</v>
      </c>
      <c r="AE5" s="100">
        <v>0.19746484452366805</v>
      </c>
      <c r="AF5" s="100">
        <v>0.14</v>
      </c>
      <c r="AG5" s="98">
        <v>653.59477124183</v>
      </c>
      <c r="AH5" s="98">
        <v>316.89443454149335</v>
      </c>
      <c r="AI5" s="100">
        <v>0.015</v>
      </c>
      <c r="AJ5" s="100">
        <v>0.707904</v>
      </c>
      <c r="AK5" s="100">
        <v>0.8</v>
      </c>
      <c r="AL5" s="100">
        <v>0.745228</v>
      </c>
      <c r="AM5" s="100">
        <v>0.560074</v>
      </c>
      <c r="AN5" s="100">
        <v>0.59919</v>
      </c>
      <c r="AO5" s="98">
        <v>1802.3370964547435</v>
      </c>
      <c r="AP5" s="158">
        <v>0.9201016998</v>
      </c>
      <c r="AQ5" s="100">
        <v>0.16483516483516483</v>
      </c>
      <c r="AR5" s="100">
        <v>0.7142857142857143</v>
      </c>
      <c r="AS5" s="98">
        <v>336.7003367003367</v>
      </c>
      <c r="AT5" s="98">
        <v>178.25311942959001</v>
      </c>
      <c r="AU5" s="98" t="s">
        <v>660</v>
      </c>
      <c r="AV5" s="98">
        <v>415.92394533571</v>
      </c>
      <c r="AW5" s="98">
        <v>534.75935828877</v>
      </c>
      <c r="AX5" s="98">
        <v>356.50623885918003</v>
      </c>
      <c r="AY5" s="98">
        <v>1227.9659338482868</v>
      </c>
      <c r="AZ5" s="98">
        <v>574.3711626064568</v>
      </c>
      <c r="BA5" s="101" t="s">
        <v>660</v>
      </c>
      <c r="BB5" s="101" t="s">
        <v>660</v>
      </c>
      <c r="BC5" s="101" t="s">
        <v>660</v>
      </c>
      <c r="BD5" s="158">
        <v>0.7408084869</v>
      </c>
      <c r="BE5" s="158">
        <v>1.129680939</v>
      </c>
      <c r="BF5" s="162">
        <v>582</v>
      </c>
      <c r="BG5" s="162">
        <v>10</v>
      </c>
      <c r="BH5" s="162">
        <v>1205</v>
      </c>
      <c r="BI5" s="162">
        <v>541</v>
      </c>
      <c r="BJ5" s="162">
        <v>247</v>
      </c>
      <c r="BK5" s="97"/>
      <c r="BL5" s="97"/>
      <c r="BM5" s="97"/>
      <c r="BN5" s="97"/>
    </row>
    <row r="6" spans="1:66" ht="12.75">
      <c r="A6" s="79" t="s">
        <v>618</v>
      </c>
      <c r="B6" s="79" t="s">
        <v>338</v>
      </c>
      <c r="C6" s="79" t="s">
        <v>177</v>
      </c>
      <c r="D6" s="99">
        <v>3471</v>
      </c>
      <c r="E6" s="99">
        <v>902</v>
      </c>
      <c r="F6" s="99" t="s">
        <v>397</v>
      </c>
      <c r="G6" s="99">
        <v>11</v>
      </c>
      <c r="H6" s="99">
        <v>8</v>
      </c>
      <c r="I6" s="99">
        <v>57</v>
      </c>
      <c r="J6" s="99">
        <v>423</v>
      </c>
      <c r="K6" s="99" t="s">
        <v>660</v>
      </c>
      <c r="L6" s="99">
        <v>750</v>
      </c>
      <c r="M6" s="99">
        <v>379</v>
      </c>
      <c r="N6" s="99">
        <v>204</v>
      </c>
      <c r="O6" s="99">
        <v>120</v>
      </c>
      <c r="P6" s="159">
        <v>120</v>
      </c>
      <c r="Q6" s="99">
        <v>7</v>
      </c>
      <c r="R6" s="99">
        <v>15</v>
      </c>
      <c r="S6" s="99">
        <v>36</v>
      </c>
      <c r="T6" s="99">
        <v>6</v>
      </c>
      <c r="U6" s="99" t="s">
        <v>660</v>
      </c>
      <c r="V6" s="99">
        <v>37</v>
      </c>
      <c r="W6" s="99">
        <v>26</v>
      </c>
      <c r="X6" s="99">
        <v>18</v>
      </c>
      <c r="Y6" s="99">
        <v>42</v>
      </c>
      <c r="Z6" s="99">
        <v>22</v>
      </c>
      <c r="AA6" s="99" t="s">
        <v>660</v>
      </c>
      <c r="AB6" s="99" t="s">
        <v>660</v>
      </c>
      <c r="AC6" s="99" t="s">
        <v>660</v>
      </c>
      <c r="AD6" s="98" t="s">
        <v>374</v>
      </c>
      <c r="AE6" s="100">
        <v>0.25986747335061944</v>
      </c>
      <c r="AF6" s="100">
        <v>0.06</v>
      </c>
      <c r="AG6" s="98">
        <v>316.91155286660904</v>
      </c>
      <c r="AH6" s="98">
        <v>230.48112935753386</v>
      </c>
      <c r="AI6" s="100">
        <v>0.016</v>
      </c>
      <c r="AJ6" s="100">
        <v>0.760791</v>
      </c>
      <c r="AK6" s="100" t="s">
        <v>660</v>
      </c>
      <c r="AL6" s="100">
        <v>0.897129</v>
      </c>
      <c r="AM6" s="100">
        <v>0.700555</v>
      </c>
      <c r="AN6" s="100">
        <v>0.733813</v>
      </c>
      <c r="AO6" s="98">
        <v>3457.216940363008</v>
      </c>
      <c r="AP6" s="158">
        <v>1.4485903930000001</v>
      </c>
      <c r="AQ6" s="100">
        <v>0.058333333333333334</v>
      </c>
      <c r="AR6" s="100">
        <v>0.4666666666666667</v>
      </c>
      <c r="AS6" s="98">
        <v>1037.1650821089024</v>
      </c>
      <c r="AT6" s="98">
        <v>172.8608470181504</v>
      </c>
      <c r="AU6" s="98" t="s">
        <v>660</v>
      </c>
      <c r="AV6" s="98">
        <v>1065.975223278594</v>
      </c>
      <c r="AW6" s="98">
        <v>749.0636704119851</v>
      </c>
      <c r="AX6" s="98">
        <v>518.5825410544512</v>
      </c>
      <c r="AY6" s="98">
        <v>1210.0259291270527</v>
      </c>
      <c r="AZ6" s="98">
        <v>633.8231057332181</v>
      </c>
      <c r="BA6" s="100" t="s">
        <v>660</v>
      </c>
      <c r="BB6" s="100" t="s">
        <v>660</v>
      </c>
      <c r="BC6" s="100" t="s">
        <v>660</v>
      </c>
      <c r="BD6" s="158">
        <v>1.201025391</v>
      </c>
      <c r="BE6" s="158">
        <v>1.732158966</v>
      </c>
      <c r="BF6" s="162">
        <v>556</v>
      </c>
      <c r="BG6" s="162" t="s">
        <v>660</v>
      </c>
      <c r="BH6" s="162">
        <v>836</v>
      </c>
      <c r="BI6" s="162">
        <v>541</v>
      </c>
      <c r="BJ6" s="162">
        <v>278</v>
      </c>
      <c r="BK6" s="97"/>
      <c r="BL6" s="97"/>
      <c r="BM6" s="97"/>
      <c r="BN6" s="97"/>
    </row>
    <row r="7" spans="1:66" ht="12.75">
      <c r="A7" s="79" t="s">
        <v>596</v>
      </c>
      <c r="B7" s="79" t="s">
        <v>317</v>
      </c>
      <c r="C7" s="79" t="s">
        <v>177</v>
      </c>
      <c r="D7" s="99">
        <v>6219</v>
      </c>
      <c r="E7" s="99">
        <v>1404</v>
      </c>
      <c r="F7" s="99" t="s">
        <v>396</v>
      </c>
      <c r="G7" s="99">
        <v>47</v>
      </c>
      <c r="H7" s="99">
        <v>23</v>
      </c>
      <c r="I7" s="99">
        <v>132</v>
      </c>
      <c r="J7" s="99">
        <v>739</v>
      </c>
      <c r="K7" s="99">
        <v>7</v>
      </c>
      <c r="L7" s="99">
        <v>1182</v>
      </c>
      <c r="M7" s="99">
        <v>571</v>
      </c>
      <c r="N7" s="99">
        <v>290</v>
      </c>
      <c r="O7" s="99">
        <v>151</v>
      </c>
      <c r="P7" s="159">
        <v>151</v>
      </c>
      <c r="Q7" s="99">
        <v>23</v>
      </c>
      <c r="R7" s="99">
        <v>42</v>
      </c>
      <c r="S7" s="99">
        <v>25</v>
      </c>
      <c r="T7" s="99">
        <v>25</v>
      </c>
      <c r="U7" s="99">
        <v>8</v>
      </c>
      <c r="V7" s="99">
        <v>41</v>
      </c>
      <c r="W7" s="99">
        <v>32</v>
      </c>
      <c r="X7" s="99">
        <v>39</v>
      </c>
      <c r="Y7" s="99">
        <v>62</v>
      </c>
      <c r="Z7" s="99">
        <v>54</v>
      </c>
      <c r="AA7" s="99" t="s">
        <v>660</v>
      </c>
      <c r="AB7" s="99" t="s">
        <v>660</v>
      </c>
      <c r="AC7" s="99" t="s">
        <v>660</v>
      </c>
      <c r="AD7" s="98" t="s">
        <v>374</v>
      </c>
      <c r="AE7" s="100">
        <v>0.22575976845151954</v>
      </c>
      <c r="AF7" s="100">
        <v>0.14</v>
      </c>
      <c r="AG7" s="98">
        <v>755.7485126226081</v>
      </c>
      <c r="AH7" s="98">
        <v>369.8343785174465</v>
      </c>
      <c r="AI7" s="100">
        <v>0.021</v>
      </c>
      <c r="AJ7" s="100">
        <v>0.771399</v>
      </c>
      <c r="AK7" s="100">
        <v>0.875</v>
      </c>
      <c r="AL7" s="100">
        <v>0.813489</v>
      </c>
      <c r="AM7" s="100">
        <v>0.581466</v>
      </c>
      <c r="AN7" s="100">
        <v>0.647321</v>
      </c>
      <c r="AO7" s="98">
        <v>2428.043093744975</v>
      </c>
      <c r="AP7" s="158">
        <v>1.10211441</v>
      </c>
      <c r="AQ7" s="100">
        <v>0.152317880794702</v>
      </c>
      <c r="AR7" s="100">
        <v>0.5476190476190477</v>
      </c>
      <c r="AS7" s="98">
        <v>401.9938896928767</v>
      </c>
      <c r="AT7" s="98">
        <v>401.9938896928767</v>
      </c>
      <c r="AU7" s="98">
        <v>128.63804470172053</v>
      </c>
      <c r="AV7" s="98">
        <v>659.2699790963177</v>
      </c>
      <c r="AW7" s="98">
        <v>514.5521788068821</v>
      </c>
      <c r="AX7" s="98">
        <v>627.1104679208876</v>
      </c>
      <c r="AY7" s="98">
        <v>996.9448464383341</v>
      </c>
      <c r="AZ7" s="98">
        <v>868.3068017366136</v>
      </c>
      <c r="BA7" s="100" t="s">
        <v>660</v>
      </c>
      <c r="BB7" s="100" t="s">
        <v>660</v>
      </c>
      <c r="BC7" s="100" t="s">
        <v>660</v>
      </c>
      <c r="BD7" s="158">
        <v>0.9333393097</v>
      </c>
      <c r="BE7" s="158">
        <v>1.292589264</v>
      </c>
      <c r="BF7" s="162">
        <v>958</v>
      </c>
      <c r="BG7" s="162">
        <v>8</v>
      </c>
      <c r="BH7" s="162">
        <v>1453</v>
      </c>
      <c r="BI7" s="162">
        <v>982</v>
      </c>
      <c r="BJ7" s="162">
        <v>448</v>
      </c>
      <c r="BK7" s="97"/>
      <c r="BL7" s="97"/>
      <c r="BM7" s="97"/>
      <c r="BN7" s="97"/>
    </row>
    <row r="8" spans="1:66" ht="12.75">
      <c r="A8" s="79" t="s">
        <v>649</v>
      </c>
      <c r="B8" s="79" t="s">
        <v>370</v>
      </c>
      <c r="C8" s="79" t="s">
        <v>177</v>
      </c>
      <c r="D8" s="99">
        <v>2990</v>
      </c>
      <c r="E8" s="99">
        <v>380</v>
      </c>
      <c r="F8" s="99" t="s">
        <v>394</v>
      </c>
      <c r="G8" s="99" t="s">
        <v>660</v>
      </c>
      <c r="H8" s="99" t="s">
        <v>660</v>
      </c>
      <c r="I8" s="99">
        <v>22</v>
      </c>
      <c r="J8" s="99">
        <v>217</v>
      </c>
      <c r="K8" s="99" t="s">
        <v>660</v>
      </c>
      <c r="L8" s="99">
        <v>566</v>
      </c>
      <c r="M8" s="99">
        <v>120</v>
      </c>
      <c r="N8" s="99">
        <v>59</v>
      </c>
      <c r="O8" s="99">
        <v>28</v>
      </c>
      <c r="P8" s="159">
        <v>28</v>
      </c>
      <c r="Q8" s="99" t="s">
        <v>660</v>
      </c>
      <c r="R8" s="99">
        <v>6</v>
      </c>
      <c r="S8" s="99">
        <v>12</v>
      </c>
      <c r="T8" s="99" t="s">
        <v>660</v>
      </c>
      <c r="U8" s="99" t="s">
        <v>660</v>
      </c>
      <c r="V8" s="99" t="s">
        <v>660</v>
      </c>
      <c r="W8" s="99">
        <v>11</v>
      </c>
      <c r="X8" s="99">
        <v>12</v>
      </c>
      <c r="Y8" s="99">
        <v>28</v>
      </c>
      <c r="Z8" s="99">
        <v>10</v>
      </c>
      <c r="AA8" s="99" t="s">
        <v>660</v>
      </c>
      <c r="AB8" s="99" t="s">
        <v>660</v>
      </c>
      <c r="AC8" s="99" t="s">
        <v>660</v>
      </c>
      <c r="AD8" s="98" t="s">
        <v>374</v>
      </c>
      <c r="AE8" s="100">
        <v>0.12709030100334448</v>
      </c>
      <c r="AF8" s="100">
        <v>0.19</v>
      </c>
      <c r="AG8" s="98" t="s">
        <v>660</v>
      </c>
      <c r="AH8" s="98" t="s">
        <v>660</v>
      </c>
      <c r="AI8" s="100">
        <v>0.006999999999999999</v>
      </c>
      <c r="AJ8" s="100">
        <v>0.673913</v>
      </c>
      <c r="AK8" s="100" t="s">
        <v>660</v>
      </c>
      <c r="AL8" s="100">
        <v>0.746702</v>
      </c>
      <c r="AM8" s="100">
        <v>0.470588</v>
      </c>
      <c r="AN8" s="100">
        <v>0.526786</v>
      </c>
      <c r="AO8" s="98">
        <v>936.4548494983278</v>
      </c>
      <c r="AP8" s="158">
        <v>0.5688632202</v>
      </c>
      <c r="AQ8" s="100" t="s">
        <v>660</v>
      </c>
      <c r="AR8" s="100" t="s">
        <v>660</v>
      </c>
      <c r="AS8" s="98">
        <v>401.33779264214047</v>
      </c>
      <c r="AT8" s="98" t="s">
        <v>660</v>
      </c>
      <c r="AU8" s="98" t="s">
        <v>660</v>
      </c>
      <c r="AV8" s="98" t="s">
        <v>660</v>
      </c>
      <c r="AW8" s="98">
        <v>367.89297658862876</v>
      </c>
      <c r="AX8" s="98">
        <v>401.33779264214047</v>
      </c>
      <c r="AY8" s="98">
        <v>936.4548494983278</v>
      </c>
      <c r="AZ8" s="98">
        <v>334.44816053511704</v>
      </c>
      <c r="BA8" s="100" t="s">
        <v>660</v>
      </c>
      <c r="BB8" s="100" t="s">
        <v>660</v>
      </c>
      <c r="BC8" s="100" t="s">
        <v>660</v>
      </c>
      <c r="BD8" s="158">
        <v>0.3780054855</v>
      </c>
      <c r="BE8" s="158">
        <v>0.8221657562</v>
      </c>
      <c r="BF8" s="162">
        <v>322</v>
      </c>
      <c r="BG8" s="162" t="s">
        <v>660</v>
      </c>
      <c r="BH8" s="162">
        <v>758</v>
      </c>
      <c r="BI8" s="162">
        <v>255</v>
      </c>
      <c r="BJ8" s="162">
        <v>112</v>
      </c>
      <c r="BK8" s="97"/>
      <c r="BL8" s="97"/>
      <c r="BM8" s="97"/>
      <c r="BN8" s="97"/>
    </row>
    <row r="9" spans="1:66" ht="12.75">
      <c r="A9" s="79" t="s">
        <v>634</v>
      </c>
      <c r="B9" s="79" t="s">
        <v>355</v>
      </c>
      <c r="C9" s="79" t="s">
        <v>177</v>
      </c>
      <c r="D9" s="99">
        <v>4459</v>
      </c>
      <c r="E9" s="99">
        <v>623</v>
      </c>
      <c r="F9" s="99" t="s">
        <v>395</v>
      </c>
      <c r="G9" s="99">
        <v>18</v>
      </c>
      <c r="H9" s="99" t="s">
        <v>660</v>
      </c>
      <c r="I9" s="99">
        <v>52</v>
      </c>
      <c r="J9" s="99">
        <v>444</v>
      </c>
      <c r="K9" s="99">
        <v>6</v>
      </c>
      <c r="L9" s="99">
        <v>926</v>
      </c>
      <c r="M9" s="99">
        <v>342</v>
      </c>
      <c r="N9" s="99">
        <v>171</v>
      </c>
      <c r="O9" s="99">
        <v>56</v>
      </c>
      <c r="P9" s="159">
        <v>56</v>
      </c>
      <c r="Q9" s="99">
        <v>8</v>
      </c>
      <c r="R9" s="99">
        <v>14</v>
      </c>
      <c r="S9" s="99">
        <v>14</v>
      </c>
      <c r="T9" s="99">
        <v>11</v>
      </c>
      <c r="U9" s="99" t="s">
        <v>660</v>
      </c>
      <c r="V9" s="99" t="s">
        <v>660</v>
      </c>
      <c r="W9" s="99">
        <v>25</v>
      </c>
      <c r="X9" s="99">
        <v>24</v>
      </c>
      <c r="Y9" s="99">
        <v>26</v>
      </c>
      <c r="Z9" s="99">
        <v>19</v>
      </c>
      <c r="AA9" s="99" t="s">
        <v>660</v>
      </c>
      <c r="AB9" s="99" t="s">
        <v>660</v>
      </c>
      <c r="AC9" s="99" t="s">
        <v>660</v>
      </c>
      <c r="AD9" s="98" t="s">
        <v>374</v>
      </c>
      <c r="AE9" s="100">
        <v>0.13971742543171115</v>
      </c>
      <c r="AF9" s="100">
        <v>0.1</v>
      </c>
      <c r="AG9" s="98">
        <v>403.67795469836284</v>
      </c>
      <c r="AH9" s="98" t="s">
        <v>660</v>
      </c>
      <c r="AI9" s="100">
        <v>0.012</v>
      </c>
      <c r="AJ9" s="100">
        <v>0.802893</v>
      </c>
      <c r="AK9" s="100">
        <v>0.75</v>
      </c>
      <c r="AL9" s="100">
        <v>0.801732</v>
      </c>
      <c r="AM9" s="100">
        <v>0.628676</v>
      </c>
      <c r="AN9" s="100">
        <v>0.662791</v>
      </c>
      <c r="AO9" s="98">
        <v>1255.8869701726844</v>
      </c>
      <c r="AP9" s="158">
        <v>0.7139895629999999</v>
      </c>
      <c r="AQ9" s="100">
        <v>0.14285714285714285</v>
      </c>
      <c r="AR9" s="100">
        <v>0.5714285714285714</v>
      </c>
      <c r="AS9" s="98">
        <v>313.9717425431711</v>
      </c>
      <c r="AT9" s="98">
        <v>246.69208342677732</v>
      </c>
      <c r="AU9" s="98" t="s">
        <v>660</v>
      </c>
      <c r="AV9" s="98" t="s">
        <v>660</v>
      </c>
      <c r="AW9" s="98">
        <v>560.6638259699484</v>
      </c>
      <c r="AX9" s="98">
        <v>538.2372729311505</v>
      </c>
      <c r="AY9" s="98">
        <v>583.0903790087464</v>
      </c>
      <c r="AZ9" s="98">
        <v>426.1045077371608</v>
      </c>
      <c r="BA9" s="100" t="s">
        <v>660</v>
      </c>
      <c r="BB9" s="100" t="s">
        <v>660</v>
      </c>
      <c r="BC9" s="100" t="s">
        <v>660</v>
      </c>
      <c r="BD9" s="158">
        <v>0.5393400574</v>
      </c>
      <c r="BE9" s="158">
        <v>0.9271749115</v>
      </c>
      <c r="BF9" s="162">
        <v>553</v>
      </c>
      <c r="BG9" s="162">
        <v>8</v>
      </c>
      <c r="BH9" s="162">
        <v>1155</v>
      </c>
      <c r="BI9" s="162">
        <v>544</v>
      </c>
      <c r="BJ9" s="162">
        <v>258</v>
      </c>
      <c r="BK9" s="97"/>
      <c r="BL9" s="97"/>
      <c r="BM9" s="97"/>
      <c r="BN9" s="97"/>
    </row>
    <row r="10" spans="1:66" ht="12.75">
      <c r="A10" s="79" t="s">
        <v>565</v>
      </c>
      <c r="B10" s="79" t="s">
        <v>286</v>
      </c>
      <c r="C10" s="79" t="s">
        <v>177</v>
      </c>
      <c r="D10" s="99">
        <v>13171</v>
      </c>
      <c r="E10" s="99">
        <v>2378</v>
      </c>
      <c r="F10" s="99" t="s">
        <v>396</v>
      </c>
      <c r="G10" s="99">
        <v>64</v>
      </c>
      <c r="H10" s="99">
        <v>42</v>
      </c>
      <c r="I10" s="99">
        <v>190</v>
      </c>
      <c r="J10" s="99">
        <v>1323</v>
      </c>
      <c r="K10" s="99">
        <v>7</v>
      </c>
      <c r="L10" s="99">
        <v>2458</v>
      </c>
      <c r="M10" s="99">
        <v>907</v>
      </c>
      <c r="N10" s="99">
        <v>443</v>
      </c>
      <c r="O10" s="99">
        <v>206</v>
      </c>
      <c r="P10" s="159">
        <v>206</v>
      </c>
      <c r="Q10" s="99">
        <v>27</v>
      </c>
      <c r="R10" s="99">
        <v>61</v>
      </c>
      <c r="S10" s="99">
        <v>50</v>
      </c>
      <c r="T10" s="99">
        <v>34</v>
      </c>
      <c r="U10" s="99">
        <v>8</v>
      </c>
      <c r="V10" s="99">
        <v>45</v>
      </c>
      <c r="W10" s="99">
        <v>69</v>
      </c>
      <c r="X10" s="99">
        <v>72</v>
      </c>
      <c r="Y10" s="99">
        <v>92</v>
      </c>
      <c r="Z10" s="99">
        <v>87</v>
      </c>
      <c r="AA10" s="99" t="s">
        <v>660</v>
      </c>
      <c r="AB10" s="99" t="s">
        <v>660</v>
      </c>
      <c r="AC10" s="99" t="s">
        <v>660</v>
      </c>
      <c r="AD10" s="98" t="s">
        <v>374</v>
      </c>
      <c r="AE10" s="100">
        <v>0.1805481740186774</v>
      </c>
      <c r="AF10" s="100">
        <v>0.13</v>
      </c>
      <c r="AG10" s="98">
        <v>485.9160276364741</v>
      </c>
      <c r="AH10" s="98">
        <v>318.8823931364361</v>
      </c>
      <c r="AI10" s="100">
        <v>0.013999999999999999</v>
      </c>
      <c r="AJ10" s="100">
        <v>0.781453</v>
      </c>
      <c r="AK10" s="100">
        <v>0.411765</v>
      </c>
      <c r="AL10" s="100">
        <v>0.75561</v>
      </c>
      <c r="AM10" s="100">
        <v>0.588961</v>
      </c>
      <c r="AN10" s="100">
        <v>0.648609</v>
      </c>
      <c r="AO10" s="98">
        <v>1564.042213954901</v>
      </c>
      <c r="AP10" s="158">
        <v>0.8122666168000001</v>
      </c>
      <c r="AQ10" s="100">
        <v>0.13106796116504854</v>
      </c>
      <c r="AR10" s="100">
        <v>0.4426229508196721</v>
      </c>
      <c r="AS10" s="98">
        <v>379.6218965909954</v>
      </c>
      <c r="AT10" s="98">
        <v>258.14288968187685</v>
      </c>
      <c r="AU10" s="98">
        <v>60.73950345455926</v>
      </c>
      <c r="AV10" s="98">
        <v>341.6597069318958</v>
      </c>
      <c r="AW10" s="98">
        <v>523.8782172955736</v>
      </c>
      <c r="AX10" s="98">
        <v>546.6555310910334</v>
      </c>
      <c r="AY10" s="98">
        <v>698.5042897274315</v>
      </c>
      <c r="AZ10" s="98">
        <v>660.5421000683319</v>
      </c>
      <c r="BA10" s="100" t="s">
        <v>660</v>
      </c>
      <c r="BB10" s="100" t="s">
        <v>660</v>
      </c>
      <c r="BC10" s="100" t="s">
        <v>660</v>
      </c>
      <c r="BD10" s="158">
        <v>0.7051263428</v>
      </c>
      <c r="BE10" s="158">
        <v>0.9310857391</v>
      </c>
      <c r="BF10" s="162">
        <v>1693</v>
      </c>
      <c r="BG10" s="162">
        <v>17</v>
      </c>
      <c r="BH10" s="162">
        <v>3253</v>
      </c>
      <c r="BI10" s="162">
        <v>1540</v>
      </c>
      <c r="BJ10" s="162">
        <v>683</v>
      </c>
      <c r="BK10" s="97"/>
      <c r="BL10" s="97"/>
      <c r="BM10" s="97"/>
      <c r="BN10" s="97"/>
    </row>
    <row r="11" spans="1:66" ht="12.75">
      <c r="A11" s="79" t="s">
        <v>569</v>
      </c>
      <c r="B11" s="79" t="s">
        <v>290</v>
      </c>
      <c r="C11" s="79" t="s">
        <v>177</v>
      </c>
      <c r="D11" s="99">
        <v>22811</v>
      </c>
      <c r="E11" s="99">
        <v>4145</v>
      </c>
      <c r="F11" s="99" t="s">
        <v>397</v>
      </c>
      <c r="G11" s="99">
        <v>128</v>
      </c>
      <c r="H11" s="99">
        <v>61</v>
      </c>
      <c r="I11" s="99">
        <v>431</v>
      </c>
      <c r="J11" s="99">
        <v>2613</v>
      </c>
      <c r="K11" s="99">
        <v>559</v>
      </c>
      <c r="L11" s="99">
        <v>4935</v>
      </c>
      <c r="M11" s="99">
        <v>1807</v>
      </c>
      <c r="N11" s="99">
        <v>957</v>
      </c>
      <c r="O11" s="99">
        <v>505</v>
      </c>
      <c r="P11" s="159">
        <v>505</v>
      </c>
      <c r="Q11" s="99">
        <v>52</v>
      </c>
      <c r="R11" s="99">
        <v>116</v>
      </c>
      <c r="S11" s="99">
        <v>125</v>
      </c>
      <c r="T11" s="99">
        <v>52</v>
      </c>
      <c r="U11" s="99">
        <v>18</v>
      </c>
      <c r="V11" s="99">
        <v>99</v>
      </c>
      <c r="W11" s="99">
        <v>187</v>
      </c>
      <c r="X11" s="99">
        <v>91</v>
      </c>
      <c r="Y11" s="99">
        <v>214</v>
      </c>
      <c r="Z11" s="99">
        <v>187</v>
      </c>
      <c r="AA11" s="99" t="s">
        <v>660</v>
      </c>
      <c r="AB11" s="99" t="s">
        <v>660</v>
      </c>
      <c r="AC11" s="99" t="s">
        <v>660</v>
      </c>
      <c r="AD11" s="98" t="s">
        <v>374</v>
      </c>
      <c r="AE11" s="100">
        <v>0.1817105782298014</v>
      </c>
      <c r="AF11" s="100">
        <v>0.08</v>
      </c>
      <c r="AG11" s="98">
        <v>561.1327868133795</v>
      </c>
      <c r="AH11" s="98">
        <v>267.41484371575115</v>
      </c>
      <c r="AI11" s="100">
        <v>0.019</v>
      </c>
      <c r="AJ11" s="100">
        <v>0.811491</v>
      </c>
      <c r="AK11" s="100">
        <v>0.764706</v>
      </c>
      <c r="AL11" s="100">
        <v>0.857515</v>
      </c>
      <c r="AM11" s="100">
        <v>0.61192</v>
      </c>
      <c r="AN11" s="100">
        <v>0.654583</v>
      </c>
      <c r="AO11" s="98">
        <v>2213.8441979746613</v>
      </c>
      <c r="AP11" s="158">
        <v>1.107309189</v>
      </c>
      <c r="AQ11" s="100">
        <v>0.10297029702970296</v>
      </c>
      <c r="AR11" s="100">
        <v>0.4482758620689655</v>
      </c>
      <c r="AS11" s="98">
        <v>547.9812371224409</v>
      </c>
      <c r="AT11" s="98">
        <v>227.96019464293542</v>
      </c>
      <c r="AU11" s="98">
        <v>78.9092981456315</v>
      </c>
      <c r="AV11" s="98">
        <v>434.0011398009732</v>
      </c>
      <c r="AW11" s="98">
        <v>819.7799307351717</v>
      </c>
      <c r="AX11" s="98">
        <v>398.930340625137</v>
      </c>
      <c r="AY11" s="98">
        <v>938.1438779536188</v>
      </c>
      <c r="AZ11" s="98">
        <v>819.7799307351717</v>
      </c>
      <c r="BA11" s="100" t="s">
        <v>660</v>
      </c>
      <c r="BB11" s="100" t="s">
        <v>660</v>
      </c>
      <c r="BC11" s="100" t="s">
        <v>660</v>
      </c>
      <c r="BD11" s="158">
        <v>1.012824326</v>
      </c>
      <c r="BE11" s="158">
        <v>1.2082349399999999</v>
      </c>
      <c r="BF11" s="162">
        <v>3220</v>
      </c>
      <c r="BG11" s="162">
        <v>731</v>
      </c>
      <c r="BH11" s="162">
        <v>5755</v>
      </c>
      <c r="BI11" s="162">
        <v>2953</v>
      </c>
      <c r="BJ11" s="162">
        <v>1462</v>
      </c>
      <c r="BK11" s="97"/>
      <c r="BL11" s="97"/>
      <c r="BM11" s="97"/>
      <c r="BN11" s="97"/>
    </row>
    <row r="12" spans="1:66" ht="12.75">
      <c r="A12" s="79" t="s">
        <v>616</v>
      </c>
      <c r="B12" s="79" t="s">
        <v>337</v>
      </c>
      <c r="C12" s="79" t="s">
        <v>177</v>
      </c>
      <c r="D12" s="99">
        <v>3071</v>
      </c>
      <c r="E12" s="99">
        <v>567</v>
      </c>
      <c r="F12" s="99" t="s">
        <v>396</v>
      </c>
      <c r="G12" s="99">
        <v>21</v>
      </c>
      <c r="H12" s="99">
        <v>9</v>
      </c>
      <c r="I12" s="99">
        <v>52</v>
      </c>
      <c r="J12" s="99">
        <v>345</v>
      </c>
      <c r="K12" s="99">
        <v>263</v>
      </c>
      <c r="L12" s="99">
        <v>565</v>
      </c>
      <c r="M12" s="99">
        <v>263</v>
      </c>
      <c r="N12" s="99">
        <v>132</v>
      </c>
      <c r="O12" s="99">
        <v>26</v>
      </c>
      <c r="P12" s="159">
        <v>26</v>
      </c>
      <c r="Q12" s="99" t="s">
        <v>660</v>
      </c>
      <c r="R12" s="99">
        <v>24</v>
      </c>
      <c r="S12" s="99" t="s">
        <v>660</v>
      </c>
      <c r="T12" s="99">
        <v>6</v>
      </c>
      <c r="U12" s="99" t="s">
        <v>660</v>
      </c>
      <c r="V12" s="99" t="s">
        <v>660</v>
      </c>
      <c r="W12" s="99">
        <v>15</v>
      </c>
      <c r="X12" s="99">
        <v>12</v>
      </c>
      <c r="Y12" s="99">
        <v>29</v>
      </c>
      <c r="Z12" s="99">
        <v>35</v>
      </c>
      <c r="AA12" s="99" t="s">
        <v>660</v>
      </c>
      <c r="AB12" s="99" t="s">
        <v>660</v>
      </c>
      <c r="AC12" s="99" t="s">
        <v>660</v>
      </c>
      <c r="AD12" s="98" t="s">
        <v>374</v>
      </c>
      <c r="AE12" s="100">
        <v>0.1846304135460762</v>
      </c>
      <c r="AF12" s="100">
        <v>0.14</v>
      </c>
      <c r="AG12" s="98">
        <v>683.8163464669489</v>
      </c>
      <c r="AH12" s="98">
        <v>293.06414848583523</v>
      </c>
      <c r="AI12" s="100">
        <v>0.017</v>
      </c>
      <c r="AJ12" s="100">
        <v>0.815603</v>
      </c>
      <c r="AK12" s="100">
        <v>0.819315</v>
      </c>
      <c r="AL12" s="100">
        <v>0.823615</v>
      </c>
      <c r="AM12" s="100">
        <v>0.591011</v>
      </c>
      <c r="AN12" s="100">
        <v>0.656716</v>
      </c>
      <c r="AO12" s="98">
        <v>846.6297622924129</v>
      </c>
      <c r="AP12" s="158">
        <v>0.42890728</v>
      </c>
      <c r="AQ12" s="100" t="s">
        <v>660</v>
      </c>
      <c r="AR12" s="100" t="s">
        <v>660</v>
      </c>
      <c r="AS12" s="98" t="s">
        <v>660</v>
      </c>
      <c r="AT12" s="98">
        <v>195.3760989905568</v>
      </c>
      <c r="AU12" s="98" t="s">
        <v>660</v>
      </c>
      <c r="AV12" s="98" t="s">
        <v>660</v>
      </c>
      <c r="AW12" s="98">
        <v>488.4402474763921</v>
      </c>
      <c r="AX12" s="98">
        <v>390.7521979811136</v>
      </c>
      <c r="AY12" s="98">
        <v>944.3178117876913</v>
      </c>
      <c r="AZ12" s="98">
        <v>1139.6939107782482</v>
      </c>
      <c r="BA12" s="100" t="s">
        <v>660</v>
      </c>
      <c r="BB12" s="100" t="s">
        <v>660</v>
      </c>
      <c r="BC12" s="100" t="s">
        <v>660</v>
      </c>
      <c r="BD12" s="158">
        <v>0.2801764679</v>
      </c>
      <c r="BE12" s="158">
        <v>0.6284485245</v>
      </c>
      <c r="BF12" s="162">
        <v>423</v>
      </c>
      <c r="BG12" s="162">
        <v>321</v>
      </c>
      <c r="BH12" s="162">
        <v>686</v>
      </c>
      <c r="BI12" s="162">
        <v>445</v>
      </c>
      <c r="BJ12" s="162">
        <v>201</v>
      </c>
      <c r="BK12" s="97"/>
      <c r="BL12" s="97"/>
      <c r="BM12" s="97"/>
      <c r="BN12" s="97"/>
    </row>
    <row r="13" spans="1:66" ht="12.75">
      <c r="A13" s="79" t="s">
        <v>582</v>
      </c>
      <c r="B13" s="79" t="s">
        <v>303</v>
      </c>
      <c r="C13" s="79" t="s">
        <v>177</v>
      </c>
      <c r="D13" s="99">
        <v>11674</v>
      </c>
      <c r="E13" s="99">
        <v>2393</v>
      </c>
      <c r="F13" s="99" t="s">
        <v>395</v>
      </c>
      <c r="G13" s="99">
        <v>56</v>
      </c>
      <c r="H13" s="99">
        <v>33</v>
      </c>
      <c r="I13" s="99">
        <v>180</v>
      </c>
      <c r="J13" s="99">
        <v>1383</v>
      </c>
      <c r="K13" s="99">
        <v>7</v>
      </c>
      <c r="L13" s="99">
        <v>2439</v>
      </c>
      <c r="M13" s="99">
        <v>1030</v>
      </c>
      <c r="N13" s="99">
        <v>514</v>
      </c>
      <c r="O13" s="99">
        <v>381</v>
      </c>
      <c r="P13" s="159">
        <v>381</v>
      </c>
      <c r="Q13" s="99">
        <v>31</v>
      </c>
      <c r="R13" s="99">
        <v>66</v>
      </c>
      <c r="S13" s="99">
        <v>85</v>
      </c>
      <c r="T13" s="99">
        <v>37</v>
      </c>
      <c r="U13" s="99">
        <v>6</v>
      </c>
      <c r="V13" s="99">
        <v>119</v>
      </c>
      <c r="W13" s="99">
        <v>66</v>
      </c>
      <c r="X13" s="99">
        <v>60</v>
      </c>
      <c r="Y13" s="99">
        <v>98</v>
      </c>
      <c r="Z13" s="99">
        <v>59</v>
      </c>
      <c r="AA13" s="99" t="s">
        <v>660</v>
      </c>
      <c r="AB13" s="99" t="s">
        <v>660</v>
      </c>
      <c r="AC13" s="99" t="s">
        <v>660</v>
      </c>
      <c r="AD13" s="98" t="s">
        <v>374</v>
      </c>
      <c r="AE13" s="100">
        <v>0.20498543772485867</v>
      </c>
      <c r="AF13" s="100">
        <v>0.1</v>
      </c>
      <c r="AG13" s="98">
        <v>479.6984752441323</v>
      </c>
      <c r="AH13" s="98">
        <v>282.6794586260065</v>
      </c>
      <c r="AI13" s="100">
        <v>0.015</v>
      </c>
      <c r="AJ13" s="100">
        <v>0.803603</v>
      </c>
      <c r="AK13" s="100">
        <v>0.466667</v>
      </c>
      <c r="AL13" s="100">
        <v>0.858803</v>
      </c>
      <c r="AM13" s="100">
        <v>0.616766</v>
      </c>
      <c r="AN13" s="100">
        <v>0.673657</v>
      </c>
      <c r="AO13" s="98">
        <v>3263.662840500257</v>
      </c>
      <c r="AP13" s="158">
        <v>1.5362985230000001</v>
      </c>
      <c r="AQ13" s="100">
        <v>0.08136482939632546</v>
      </c>
      <c r="AR13" s="100">
        <v>0.4696969696969697</v>
      </c>
      <c r="AS13" s="98">
        <v>728.1137570669864</v>
      </c>
      <c r="AT13" s="98">
        <v>316.9436354291588</v>
      </c>
      <c r="AU13" s="98">
        <v>51.39626520472846</v>
      </c>
      <c r="AV13" s="98">
        <v>1019.3592598937811</v>
      </c>
      <c r="AW13" s="98">
        <v>565.358917252013</v>
      </c>
      <c r="AX13" s="98">
        <v>513.9626520472846</v>
      </c>
      <c r="AY13" s="98">
        <v>839.4723316772314</v>
      </c>
      <c r="AZ13" s="98">
        <v>505.39660784649647</v>
      </c>
      <c r="BA13" s="100" t="s">
        <v>660</v>
      </c>
      <c r="BB13" s="100" t="s">
        <v>660</v>
      </c>
      <c r="BC13" s="100" t="s">
        <v>660</v>
      </c>
      <c r="BD13" s="158">
        <v>1.38588974</v>
      </c>
      <c r="BE13" s="158">
        <v>1.6985789489999998</v>
      </c>
      <c r="BF13" s="162">
        <v>1721</v>
      </c>
      <c r="BG13" s="162">
        <v>15</v>
      </c>
      <c r="BH13" s="162">
        <v>2840</v>
      </c>
      <c r="BI13" s="162">
        <v>1670</v>
      </c>
      <c r="BJ13" s="162">
        <v>763</v>
      </c>
      <c r="BK13" s="97"/>
      <c r="BL13" s="97"/>
      <c r="BM13" s="97"/>
      <c r="BN13" s="97"/>
    </row>
    <row r="14" spans="1:66" ht="12.75">
      <c r="A14" s="79" t="s">
        <v>610</v>
      </c>
      <c r="B14" s="79" t="s">
        <v>331</v>
      </c>
      <c r="C14" s="79" t="s">
        <v>177</v>
      </c>
      <c r="D14" s="99">
        <v>3232</v>
      </c>
      <c r="E14" s="99">
        <v>657</v>
      </c>
      <c r="F14" s="99" t="s">
        <v>397</v>
      </c>
      <c r="G14" s="99">
        <v>18</v>
      </c>
      <c r="H14" s="99">
        <v>7</v>
      </c>
      <c r="I14" s="99">
        <v>72</v>
      </c>
      <c r="J14" s="99">
        <v>324</v>
      </c>
      <c r="K14" s="99" t="s">
        <v>660</v>
      </c>
      <c r="L14" s="99">
        <v>683</v>
      </c>
      <c r="M14" s="99">
        <v>275</v>
      </c>
      <c r="N14" s="99">
        <v>153</v>
      </c>
      <c r="O14" s="99">
        <v>66</v>
      </c>
      <c r="P14" s="159">
        <v>66</v>
      </c>
      <c r="Q14" s="99">
        <v>9</v>
      </c>
      <c r="R14" s="99">
        <v>16</v>
      </c>
      <c r="S14" s="99">
        <v>17</v>
      </c>
      <c r="T14" s="99">
        <v>7</v>
      </c>
      <c r="U14" s="99" t="s">
        <v>660</v>
      </c>
      <c r="V14" s="99">
        <v>17</v>
      </c>
      <c r="W14" s="99">
        <v>16</v>
      </c>
      <c r="X14" s="99">
        <v>11</v>
      </c>
      <c r="Y14" s="99">
        <v>20</v>
      </c>
      <c r="Z14" s="99">
        <v>19</v>
      </c>
      <c r="AA14" s="99" t="s">
        <v>660</v>
      </c>
      <c r="AB14" s="99" t="s">
        <v>660</v>
      </c>
      <c r="AC14" s="99" t="s">
        <v>660</v>
      </c>
      <c r="AD14" s="98" t="s">
        <v>374</v>
      </c>
      <c r="AE14" s="100">
        <v>0.20327970297029702</v>
      </c>
      <c r="AF14" s="100">
        <v>0.07</v>
      </c>
      <c r="AG14" s="98">
        <v>556.9306930693069</v>
      </c>
      <c r="AH14" s="98">
        <v>216.58415841584159</v>
      </c>
      <c r="AI14" s="100">
        <v>0.022000000000000002</v>
      </c>
      <c r="AJ14" s="100">
        <v>0.746544</v>
      </c>
      <c r="AK14" s="100" t="s">
        <v>660</v>
      </c>
      <c r="AL14" s="100">
        <v>0.84217</v>
      </c>
      <c r="AM14" s="100">
        <v>0.679012</v>
      </c>
      <c r="AN14" s="100">
        <v>0.714953</v>
      </c>
      <c r="AO14" s="98">
        <v>2042.079207920792</v>
      </c>
      <c r="AP14" s="158">
        <v>0.9558472442999999</v>
      </c>
      <c r="AQ14" s="100">
        <v>0.13636363636363635</v>
      </c>
      <c r="AR14" s="100">
        <v>0.5625</v>
      </c>
      <c r="AS14" s="98">
        <v>525.990099009901</v>
      </c>
      <c r="AT14" s="98">
        <v>216.58415841584159</v>
      </c>
      <c r="AU14" s="98" t="s">
        <v>660</v>
      </c>
      <c r="AV14" s="98">
        <v>525.990099009901</v>
      </c>
      <c r="AW14" s="98">
        <v>495.0495049504951</v>
      </c>
      <c r="AX14" s="98">
        <v>340.34653465346537</v>
      </c>
      <c r="AY14" s="98">
        <v>618.8118811881188</v>
      </c>
      <c r="AZ14" s="98">
        <v>587.8712871287129</v>
      </c>
      <c r="BA14" s="100" t="s">
        <v>660</v>
      </c>
      <c r="BB14" s="100" t="s">
        <v>660</v>
      </c>
      <c r="BC14" s="100" t="s">
        <v>660</v>
      </c>
      <c r="BD14" s="158">
        <v>0.7392521666999999</v>
      </c>
      <c r="BE14" s="158">
        <v>1.216072006</v>
      </c>
      <c r="BF14" s="162">
        <v>434</v>
      </c>
      <c r="BG14" s="162" t="s">
        <v>660</v>
      </c>
      <c r="BH14" s="162">
        <v>811</v>
      </c>
      <c r="BI14" s="162">
        <v>405</v>
      </c>
      <c r="BJ14" s="162">
        <v>214</v>
      </c>
      <c r="BK14" s="97"/>
      <c r="BL14" s="97"/>
      <c r="BM14" s="97"/>
      <c r="BN14" s="97"/>
    </row>
    <row r="15" spans="1:66" ht="12.75">
      <c r="A15" s="79" t="s">
        <v>648</v>
      </c>
      <c r="B15" s="79" t="s">
        <v>369</v>
      </c>
      <c r="C15" s="79" t="s">
        <v>177</v>
      </c>
      <c r="D15" s="99">
        <v>3109</v>
      </c>
      <c r="E15" s="99">
        <v>568</v>
      </c>
      <c r="F15" s="99" t="s">
        <v>394</v>
      </c>
      <c r="G15" s="99">
        <v>18</v>
      </c>
      <c r="H15" s="99">
        <v>10</v>
      </c>
      <c r="I15" s="99">
        <v>49</v>
      </c>
      <c r="J15" s="99">
        <v>273</v>
      </c>
      <c r="K15" s="99">
        <v>20</v>
      </c>
      <c r="L15" s="99">
        <v>524</v>
      </c>
      <c r="M15" s="99">
        <v>198</v>
      </c>
      <c r="N15" s="99">
        <v>107</v>
      </c>
      <c r="O15" s="99">
        <v>66</v>
      </c>
      <c r="P15" s="159">
        <v>66</v>
      </c>
      <c r="Q15" s="99">
        <v>8</v>
      </c>
      <c r="R15" s="99">
        <v>20</v>
      </c>
      <c r="S15" s="99">
        <v>6</v>
      </c>
      <c r="T15" s="99">
        <v>11</v>
      </c>
      <c r="U15" s="99" t="s">
        <v>660</v>
      </c>
      <c r="V15" s="99">
        <v>12</v>
      </c>
      <c r="W15" s="99">
        <v>21</v>
      </c>
      <c r="X15" s="99">
        <v>20</v>
      </c>
      <c r="Y15" s="99">
        <v>30</v>
      </c>
      <c r="Z15" s="99">
        <v>20</v>
      </c>
      <c r="AA15" s="99" t="s">
        <v>660</v>
      </c>
      <c r="AB15" s="99" t="s">
        <v>660</v>
      </c>
      <c r="AC15" s="99" t="s">
        <v>660</v>
      </c>
      <c r="AD15" s="98" t="s">
        <v>374</v>
      </c>
      <c r="AE15" s="100">
        <v>0.18269540045030555</v>
      </c>
      <c r="AF15" s="100">
        <v>0.22</v>
      </c>
      <c r="AG15" s="98">
        <v>578.9642972016726</v>
      </c>
      <c r="AH15" s="98">
        <v>321.646831778707</v>
      </c>
      <c r="AI15" s="100">
        <v>0.016</v>
      </c>
      <c r="AJ15" s="100">
        <v>0.741848</v>
      </c>
      <c r="AK15" s="100">
        <v>0.769231</v>
      </c>
      <c r="AL15" s="100">
        <v>0.783259</v>
      </c>
      <c r="AM15" s="100">
        <v>0.543956</v>
      </c>
      <c r="AN15" s="100">
        <v>0.584699</v>
      </c>
      <c r="AO15" s="98">
        <v>2122.8690897394663</v>
      </c>
      <c r="AP15" s="158">
        <v>1.107012787</v>
      </c>
      <c r="AQ15" s="100">
        <v>0.12121212121212122</v>
      </c>
      <c r="AR15" s="100">
        <v>0.4</v>
      </c>
      <c r="AS15" s="98">
        <v>192.9880990672242</v>
      </c>
      <c r="AT15" s="98">
        <v>353.8115149565777</v>
      </c>
      <c r="AU15" s="98" t="s">
        <v>660</v>
      </c>
      <c r="AV15" s="98">
        <v>385.9761981344484</v>
      </c>
      <c r="AW15" s="98">
        <v>675.4583467352846</v>
      </c>
      <c r="AX15" s="98">
        <v>643.293663557414</v>
      </c>
      <c r="AY15" s="98">
        <v>964.940495336121</v>
      </c>
      <c r="AZ15" s="98">
        <v>643.293663557414</v>
      </c>
      <c r="BA15" s="100" t="s">
        <v>660</v>
      </c>
      <c r="BB15" s="100" t="s">
        <v>660</v>
      </c>
      <c r="BC15" s="100" t="s">
        <v>660</v>
      </c>
      <c r="BD15" s="158">
        <v>0.8561636353000001</v>
      </c>
      <c r="BE15" s="158">
        <v>1.408391724</v>
      </c>
      <c r="BF15" s="162">
        <v>368</v>
      </c>
      <c r="BG15" s="162">
        <v>26</v>
      </c>
      <c r="BH15" s="162">
        <v>669</v>
      </c>
      <c r="BI15" s="162">
        <v>364</v>
      </c>
      <c r="BJ15" s="162">
        <v>183</v>
      </c>
      <c r="BK15" s="97"/>
      <c r="BL15" s="97"/>
      <c r="BM15" s="97"/>
      <c r="BN15" s="97"/>
    </row>
    <row r="16" spans="1:66" ht="12.75">
      <c r="A16" s="79" t="s">
        <v>579</v>
      </c>
      <c r="B16" s="79" t="s">
        <v>300</v>
      </c>
      <c r="C16" s="79" t="s">
        <v>177</v>
      </c>
      <c r="D16" s="99">
        <v>8427</v>
      </c>
      <c r="E16" s="99">
        <v>1719</v>
      </c>
      <c r="F16" s="99" t="s">
        <v>396</v>
      </c>
      <c r="G16" s="99">
        <v>45</v>
      </c>
      <c r="H16" s="99">
        <v>29</v>
      </c>
      <c r="I16" s="99">
        <v>147</v>
      </c>
      <c r="J16" s="99">
        <v>1107</v>
      </c>
      <c r="K16" s="99">
        <v>1034</v>
      </c>
      <c r="L16" s="99">
        <v>1772</v>
      </c>
      <c r="M16" s="99">
        <v>763</v>
      </c>
      <c r="N16" s="99">
        <v>370</v>
      </c>
      <c r="O16" s="99">
        <v>242</v>
      </c>
      <c r="P16" s="159">
        <v>242</v>
      </c>
      <c r="Q16" s="99">
        <v>22</v>
      </c>
      <c r="R16" s="99">
        <v>42</v>
      </c>
      <c r="S16" s="99">
        <v>47</v>
      </c>
      <c r="T16" s="99">
        <v>37</v>
      </c>
      <c r="U16" s="99" t="s">
        <v>660</v>
      </c>
      <c r="V16" s="99">
        <v>47</v>
      </c>
      <c r="W16" s="99">
        <v>54</v>
      </c>
      <c r="X16" s="99">
        <v>37</v>
      </c>
      <c r="Y16" s="99">
        <v>94</v>
      </c>
      <c r="Z16" s="99">
        <v>60</v>
      </c>
      <c r="AA16" s="99" t="s">
        <v>660</v>
      </c>
      <c r="AB16" s="99" t="s">
        <v>660</v>
      </c>
      <c r="AC16" s="99" t="s">
        <v>660</v>
      </c>
      <c r="AD16" s="98" t="s">
        <v>374</v>
      </c>
      <c r="AE16" s="100">
        <v>0.2039871840512638</v>
      </c>
      <c r="AF16" s="100">
        <v>0.13</v>
      </c>
      <c r="AG16" s="98">
        <v>533.997864008544</v>
      </c>
      <c r="AH16" s="98">
        <v>344.1319568055061</v>
      </c>
      <c r="AI16" s="100">
        <v>0.017</v>
      </c>
      <c r="AJ16" s="100">
        <v>0.831081</v>
      </c>
      <c r="AK16" s="100">
        <v>0.83657</v>
      </c>
      <c r="AL16" s="100">
        <v>0.845017</v>
      </c>
      <c r="AM16" s="100">
        <v>0.614827</v>
      </c>
      <c r="AN16" s="100">
        <v>0.643478</v>
      </c>
      <c r="AO16" s="98">
        <v>2871.7218464459474</v>
      </c>
      <c r="AP16" s="158">
        <v>1.352488098</v>
      </c>
      <c r="AQ16" s="100">
        <v>0.09090909090909091</v>
      </c>
      <c r="AR16" s="100">
        <v>0.5238095238095238</v>
      </c>
      <c r="AS16" s="98">
        <v>557.7311024089237</v>
      </c>
      <c r="AT16" s="98">
        <v>439.064910407025</v>
      </c>
      <c r="AU16" s="98" t="s">
        <v>660</v>
      </c>
      <c r="AV16" s="98">
        <v>557.7311024089237</v>
      </c>
      <c r="AW16" s="98">
        <v>640.7974368102527</v>
      </c>
      <c r="AX16" s="98">
        <v>439.064910407025</v>
      </c>
      <c r="AY16" s="98">
        <v>1115.4622048178474</v>
      </c>
      <c r="AZ16" s="98">
        <v>711.9971520113919</v>
      </c>
      <c r="BA16" s="100" t="s">
        <v>660</v>
      </c>
      <c r="BB16" s="100" t="s">
        <v>660</v>
      </c>
      <c r="BC16" s="100" t="s">
        <v>660</v>
      </c>
      <c r="BD16" s="158">
        <v>1.1874400330000001</v>
      </c>
      <c r="BE16" s="158">
        <v>1.534060669</v>
      </c>
      <c r="BF16" s="162">
        <v>1332</v>
      </c>
      <c r="BG16" s="162">
        <v>1236</v>
      </c>
      <c r="BH16" s="162">
        <v>2097</v>
      </c>
      <c r="BI16" s="162">
        <v>1241</v>
      </c>
      <c r="BJ16" s="162">
        <v>575</v>
      </c>
      <c r="BK16" s="97"/>
      <c r="BL16" s="97"/>
      <c r="BM16" s="97"/>
      <c r="BN16" s="97"/>
    </row>
    <row r="17" spans="1:66" ht="12.75">
      <c r="A17" s="79" t="s">
        <v>562</v>
      </c>
      <c r="B17" s="79" t="s">
        <v>283</v>
      </c>
      <c r="C17" s="79" t="s">
        <v>177</v>
      </c>
      <c r="D17" s="99">
        <v>11287</v>
      </c>
      <c r="E17" s="99">
        <v>2489</v>
      </c>
      <c r="F17" s="99" t="s">
        <v>396</v>
      </c>
      <c r="G17" s="99">
        <v>74</v>
      </c>
      <c r="H17" s="99">
        <v>42</v>
      </c>
      <c r="I17" s="99">
        <v>176</v>
      </c>
      <c r="J17" s="99">
        <v>1310</v>
      </c>
      <c r="K17" s="99">
        <v>38</v>
      </c>
      <c r="L17" s="99">
        <v>2215</v>
      </c>
      <c r="M17" s="99">
        <v>1055</v>
      </c>
      <c r="N17" s="99">
        <v>548</v>
      </c>
      <c r="O17" s="99">
        <v>197</v>
      </c>
      <c r="P17" s="159">
        <v>197</v>
      </c>
      <c r="Q17" s="99">
        <v>41</v>
      </c>
      <c r="R17" s="99">
        <v>62</v>
      </c>
      <c r="S17" s="99">
        <v>45</v>
      </c>
      <c r="T17" s="99">
        <v>24</v>
      </c>
      <c r="U17" s="99">
        <v>9</v>
      </c>
      <c r="V17" s="99">
        <v>32</v>
      </c>
      <c r="W17" s="99">
        <v>79</v>
      </c>
      <c r="X17" s="99">
        <v>43</v>
      </c>
      <c r="Y17" s="99">
        <v>89</v>
      </c>
      <c r="Z17" s="99">
        <v>91</v>
      </c>
      <c r="AA17" s="99" t="s">
        <v>660</v>
      </c>
      <c r="AB17" s="99" t="s">
        <v>660</v>
      </c>
      <c r="AC17" s="99" t="s">
        <v>660</v>
      </c>
      <c r="AD17" s="98" t="s">
        <v>374</v>
      </c>
      <c r="AE17" s="100">
        <v>0.2205191813590857</v>
      </c>
      <c r="AF17" s="100">
        <v>0.13</v>
      </c>
      <c r="AG17" s="98">
        <v>655.6215114733765</v>
      </c>
      <c r="AH17" s="98">
        <v>372.1095065119164</v>
      </c>
      <c r="AI17" s="100">
        <v>0.016</v>
      </c>
      <c r="AJ17" s="100">
        <v>0.746439</v>
      </c>
      <c r="AK17" s="100">
        <v>0.791667</v>
      </c>
      <c r="AL17" s="100">
        <v>0.828657</v>
      </c>
      <c r="AM17" s="100">
        <v>0.590045</v>
      </c>
      <c r="AN17" s="100">
        <v>0.627002</v>
      </c>
      <c r="AO17" s="98">
        <v>1745.3707805439888</v>
      </c>
      <c r="AP17" s="158">
        <v>0.8017005157</v>
      </c>
      <c r="AQ17" s="100">
        <v>0.20812182741116753</v>
      </c>
      <c r="AR17" s="100">
        <v>0.6612903225806451</v>
      </c>
      <c r="AS17" s="98">
        <v>398.68875697705323</v>
      </c>
      <c r="AT17" s="98">
        <v>212.63400372109507</v>
      </c>
      <c r="AU17" s="98">
        <v>79.73775139541065</v>
      </c>
      <c r="AV17" s="98">
        <v>283.5120049614601</v>
      </c>
      <c r="AW17" s="98">
        <v>699.9202622486046</v>
      </c>
      <c r="AX17" s="98">
        <v>380.969256666962</v>
      </c>
      <c r="AY17" s="98">
        <v>788.5177637990608</v>
      </c>
      <c r="AZ17" s="98">
        <v>806.2372641091521</v>
      </c>
      <c r="BA17" s="100" t="s">
        <v>660</v>
      </c>
      <c r="BB17" s="100" t="s">
        <v>660</v>
      </c>
      <c r="BC17" s="100" t="s">
        <v>660</v>
      </c>
      <c r="BD17" s="158">
        <v>0.6936526489000001</v>
      </c>
      <c r="BE17" s="158">
        <v>0.9218080139</v>
      </c>
      <c r="BF17" s="162">
        <v>1755</v>
      </c>
      <c r="BG17" s="162">
        <v>48</v>
      </c>
      <c r="BH17" s="162">
        <v>2673</v>
      </c>
      <c r="BI17" s="162">
        <v>1788</v>
      </c>
      <c r="BJ17" s="162">
        <v>874</v>
      </c>
      <c r="BK17" s="97"/>
      <c r="BL17" s="97"/>
      <c r="BM17" s="97"/>
      <c r="BN17" s="97"/>
    </row>
    <row r="18" spans="1:66" ht="12.75">
      <c r="A18" s="79" t="s">
        <v>571</v>
      </c>
      <c r="B18" s="79" t="s">
        <v>292</v>
      </c>
      <c r="C18" s="79" t="s">
        <v>177</v>
      </c>
      <c r="D18" s="99">
        <v>4648</v>
      </c>
      <c r="E18" s="99">
        <v>959</v>
      </c>
      <c r="F18" s="99" t="s">
        <v>394</v>
      </c>
      <c r="G18" s="99">
        <v>44</v>
      </c>
      <c r="H18" s="99">
        <v>17</v>
      </c>
      <c r="I18" s="99">
        <v>79</v>
      </c>
      <c r="J18" s="99">
        <v>426</v>
      </c>
      <c r="K18" s="99">
        <v>9</v>
      </c>
      <c r="L18" s="99">
        <v>899</v>
      </c>
      <c r="M18" s="99">
        <v>293</v>
      </c>
      <c r="N18" s="99">
        <v>135</v>
      </c>
      <c r="O18" s="99">
        <v>107</v>
      </c>
      <c r="P18" s="159">
        <v>107</v>
      </c>
      <c r="Q18" s="99">
        <v>8</v>
      </c>
      <c r="R18" s="99">
        <v>24</v>
      </c>
      <c r="S18" s="99">
        <v>17</v>
      </c>
      <c r="T18" s="99">
        <v>23</v>
      </c>
      <c r="U18" s="99" t="s">
        <v>660</v>
      </c>
      <c r="V18" s="99">
        <v>21</v>
      </c>
      <c r="W18" s="99">
        <v>32</v>
      </c>
      <c r="X18" s="99">
        <v>37</v>
      </c>
      <c r="Y18" s="99">
        <v>71</v>
      </c>
      <c r="Z18" s="99">
        <v>33</v>
      </c>
      <c r="AA18" s="99" t="s">
        <v>660</v>
      </c>
      <c r="AB18" s="99" t="s">
        <v>660</v>
      </c>
      <c r="AC18" s="99" t="s">
        <v>660</v>
      </c>
      <c r="AD18" s="98" t="s">
        <v>374</v>
      </c>
      <c r="AE18" s="100">
        <v>0.2063253012048193</v>
      </c>
      <c r="AF18" s="100">
        <v>0.17</v>
      </c>
      <c r="AG18" s="98">
        <v>946.6437177280551</v>
      </c>
      <c r="AH18" s="98">
        <v>365.7487091222031</v>
      </c>
      <c r="AI18" s="100">
        <v>0.017</v>
      </c>
      <c r="AJ18" s="100">
        <v>0.714765</v>
      </c>
      <c r="AK18" s="100">
        <v>0.692308</v>
      </c>
      <c r="AL18" s="100">
        <v>0.783784</v>
      </c>
      <c r="AM18" s="100">
        <v>0.57115</v>
      </c>
      <c r="AN18" s="100">
        <v>0.592105</v>
      </c>
      <c r="AO18" s="98">
        <v>2302.065404475043</v>
      </c>
      <c r="AP18" s="158">
        <v>1.095796204</v>
      </c>
      <c r="AQ18" s="100">
        <v>0.07476635514018691</v>
      </c>
      <c r="AR18" s="100">
        <v>0.3333333333333333</v>
      </c>
      <c r="AS18" s="98">
        <v>365.7487091222031</v>
      </c>
      <c r="AT18" s="98">
        <v>494.8364888123924</v>
      </c>
      <c r="AU18" s="98" t="s">
        <v>660</v>
      </c>
      <c r="AV18" s="98">
        <v>451.8072289156627</v>
      </c>
      <c r="AW18" s="98">
        <v>688.4681583476764</v>
      </c>
      <c r="AX18" s="98">
        <v>796.0413080895008</v>
      </c>
      <c r="AY18" s="98">
        <v>1527.538726333907</v>
      </c>
      <c r="AZ18" s="98">
        <v>709.9827882960413</v>
      </c>
      <c r="BA18" s="100" t="s">
        <v>660</v>
      </c>
      <c r="BB18" s="100" t="s">
        <v>660</v>
      </c>
      <c r="BC18" s="100" t="s">
        <v>660</v>
      </c>
      <c r="BD18" s="158">
        <v>0.8980314636</v>
      </c>
      <c r="BE18" s="158">
        <v>1.3241575620000001</v>
      </c>
      <c r="BF18" s="162">
        <v>596</v>
      </c>
      <c r="BG18" s="162">
        <v>13</v>
      </c>
      <c r="BH18" s="162">
        <v>1147</v>
      </c>
      <c r="BI18" s="162">
        <v>513</v>
      </c>
      <c r="BJ18" s="162">
        <v>228</v>
      </c>
      <c r="BK18" s="97"/>
      <c r="BL18" s="97"/>
      <c r="BM18" s="97"/>
      <c r="BN18" s="97"/>
    </row>
    <row r="19" spans="1:66" ht="12.75">
      <c r="A19" s="79" t="s">
        <v>592</v>
      </c>
      <c r="B19" s="79" t="s">
        <v>313</v>
      </c>
      <c r="C19" s="79" t="s">
        <v>177</v>
      </c>
      <c r="D19" s="99">
        <v>9315</v>
      </c>
      <c r="E19" s="99">
        <v>1376</v>
      </c>
      <c r="F19" s="99" t="s">
        <v>396</v>
      </c>
      <c r="G19" s="99">
        <v>28</v>
      </c>
      <c r="H19" s="99">
        <v>28</v>
      </c>
      <c r="I19" s="99">
        <v>136</v>
      </c>
      <c r="J19" s="99">
        <v>770</v>
      </c>
      <c r="K19" s="99">
        <v>759</v>
      </c>
      <c r="L19" s="99">
        <v>1668</v>
      </c>
      <c r="M19" s="99">
        <v>480</v>
      </c>
      <c r="N19" s="99">
        <v>219</v>
      </c>
      <c r="O19" s="99">
        <v>241</v>
      </c>
      <c r="P19" s="159">
        <v>241</v>
      </c>
      <c r="Q19" s="99">
        <v>39</v>
      </c>
      <c r="R19" s="99">
        <v>69</v>
      </c>
      <c r="S19" s="99">
        <v>54</v>
      </c>
      <c r="T19" s="99">
        <v>22</v>
      </c>
      <c r="U19" s="99">
        <v>15</v>
      </c>
      <c r="V19" s="99">
        <v>23</v>
      </c>
      <c r="W19" s="99">
        <v>58</v>
      </c>
      <c r="X19" s="99">
        <v>43</v>
      </c>
      <c r="Y19" s="99">
        <v>116</v>
      </c>
      <c r="Z19" s="99">
        <v>71</v>
      </c>
      <c r="AA19" s="99" t="s">
        <v>660</v>
      </c>
      <c r="AB19" s="99" t="s">
        <v>660</v>
      </c>
      <c r="AC19" s="99" t="s">
        <v>660</v>
      </c>
      <c r="AD19" s="98" t="s">
        <v>374</v>
      </c>
      <c r="AE19" s="100">
        <v>0.14771873322597961</v>
      </c>
      <c r="AF19" s="100">
        <v>0.15</v>
      </c>
      <c r="AG19" s="98">
        <v>300.5904455179818</v>
      </c>
      <c r="AH19" s="98">
        <v>300.5904455179818</v>
      </c>
      <c r="AI19" s="100">
        <v>0.015</v>
      </c>
      <c r="AJ19" s="100">
        <v>0.779352</v>
      </c>
      <c r="AK19" s="100">
        <v>0.798107</v>
      </c>
      <c r="AL19" s="100">
        <v>0.759563</v>
      </c>
      <c r="AM19" s="100">
        <v>0.566706</v>
      </c>
      <c r="AN19" s="100">
        <v>0.606648</v>
      </c>
      <c r="AO19" s="98">
        <v>2587.224906065486</v>
      </c>
      <c r="AP19" s="158">
        <v>1.467169037</v>
      </c>
      <c r="AQ19" s="100">
        <v>0.16182572614107885</v>
      </c>
      <c r="AR19" s="100">
        <v>0.5652173913043478</v>
      </c>
      <c r="AS19" s="98">
        <v>579.7101449275362</v>
      </c>
      <c r="AT19" s="98">
        <v>236.17820719269994</v>
      </c>
      <c r="AU19" s="98">
        <v>161.0305958132045</v>
      </c>
      <c r="AV19" s="98">
        <v>246.91358024691357</v>
      </c>
      <c r="AW19" s="98">
        <v>622.6516371443907</v>
      </c>
      <c r="AX19" s="98">
        <v>461.62104133118623</v>
      </c>
      <c r="AY19" s="98">
        <v>1245.3032742887815</v>
      </c>
      <c r="AZ19" s="98">
        <v>762.211486849168</v>
      </c>
      <c r="BA19" s="100" t="s">
        <v>660</v>
      </c>
      <c r="BB19" s="100" t="s">
        <v>660</v>
      </c>
      <c r="BC19" s="100" t="s">
        <v>660</v>
      </c>
      <c r="BD19" s="158">
        <v>1.2877673340000002</v>
      </c>
      <c r="BE19" s="158">
        <v>1.664571533</v>
      </c>
      <c r="BF19" s="162">
        <v>988</v>
      </c>
      <c r="BG19" s="162">
        <v>951</v>
      </c>
      <c r="BH19" s="162">
        <v>2196</v>
      </c>
      <c r="BI19" s="162">
        <v>847</v>
      </c>
      <c r="BJ19" s="162">
        <v>361</v>
      </c>
      <c r="BK19" s="97"/>
      <c r="BL19" s="97"/>
      <c r="BM19" s="97"/>
      <c r="BN19" s="97"/>
    </row>
    <row r="20" spans="1:66" ht="12.75">
      <c r="A20" s="79" t="s">
        <v>584</v>
      </c>
      <c r="B20" s="79" t="s">
        <v>305</v>
      </c>
      <c r="C20" s="79" t="s">
        <v>177</v>
      </c>
      <c r="D20" s="99">
        <v>6765</v>
      </c>
      <c r="E20" s="99">
        <v>1631</v>
      </c>
      <c r="F20" s="99" t="s">
        <v>397</v>
      </c>
      <c r="G20" s="99">
        <v>52</v>
      </c>
      <c r="H20" s="99">
        <v>23</v>
      </c>
      <c r="I20" s="99">
        <v>168</v>
      </c>
      <c r="J20" s="99">
        <v>873</v>
      </c>
      <c r="K20" s="99">
        <v>22</v>
      </c>
      <c r="L20" s="99">
        <v>1351</v>
      </c>
      <c r="M20" s="99">
        <v>728</v>
      </c>
      <c r="N20" s="99">
        <v>359</v>
      </c>
      <c r="O20" s="99">
        <v>235</v>
      </c>
      <c r="P20" s="159">
        <v>235</v>
      </c>
      <c r="Q20" s="99">
        <v>24</v>
      </c>
      <c r="R20" s="99">
        <v>48</v>
      </c>
      <c r="S20" s="99">
        <v>44</v>
      </c>
      <c r="T20" s="99">
        <v>53</v>
      </c>
      <c r="U20" s="99">
        <v>12</v>
      </c>
      <c r="V20" s="99">
        <v>21</v>
      </c>
      <c r="W20" s="99">
        <v>46</v>
      </c>
      <c r="X20" s="99">
        <v>57</v>
      </c>
      <c r="Y20" s="99">
        <v>64</v>
      </c>
      <c r="Z20" s="99">
        <v>47</v>
      </c>
      <c r="AA20" s="99" t="s">
        <v>660</v>
      </c>
      <c r="AB20" s="99" t="s">
        <v>660</v>
      </c>
      <c r="AC20" s="99" t="s">
        <v>660</v>
      </c>
      <c r="AD20" s="98" t="s">
        <v>374</v>
      </c>
      <c r="AE20" s="100">
        <v>0.24109386548410938</v>
      </c>
      <c r="AF20" s="100">
        <v>0.08</v>
      </c>
      <c r="AG20" s="98">
        <v>768.6622320768662</v>
      </c>
      <c r="AH20" s="98">
        <v>339.98521803399854</v>
      </c>
      <c r="AI20" s="100">
        <v>0.025</v>
      </c>
      <c r="AJ20" s="100">
        <v>0.773251</v>
      </c>
      <c r="AK20" s="100">
        <v>0.785714</v>
      </c>
      <c r="AL20" s="100">
        <v>0.829343</v>
      </c>
      <c r="AM20" s="100">
        <v>0.625967</v>
      </c>
      <c r="AN20" s="100">
        <v>0.661142</v>
      </c>
      <c r="AO20" s="98">
        <v>3473.7620103473764</v>
      </c>
      <c r="AP20" s="158">
        <v>1.491734009</v>
      </c>
      <c r="AQ20" s="100">
        <v>0.10212765957446808</v>
      </c>
      <c r="AR20" s="100">
        <v>0.5</v>
      </c>
      <c r="AS20" s="98">
        <v>650.4065040650406</v>
      </c>
      <c r="AT20" s="98">
        <v>783.4441980783445</v>
      </c>
      <c r="AU20" s="98">
        <v>177.38359201773835</v>
      </c>
      <c r="AV20" s="98">
        <v>310.42128603104214</v>
      </c>
      <c r="AW20" s="98">
        <v>679.9704360679971</v>
      </c>
      <c r="AX20" s="98">
        <v>842.5720620842573</v>
      </c>
      <c r="AY20" s="98">
        <v>946.0458240946045</v>
      </c>
      <c r="AZ20" s="98">
        <v>694.7524020694752</v>
      </c>
      <c r="BA20" s="100" t="s">
        <v>660</v>
      </c>
      <c r="BB20" s="100" t="s">
        <v>660</v>
      </c>
      <c r="BC20" s="100" t="s">
        <v>660</v>
      </c>
      <c r="BD20" s="158">
        <v>1.3070916750000001</v>
      </c>
      <c r="BE20" s="158">
        <v>1.6951509089999999</v>
      </c>
      <c r="BF20" s="162">
        <v>1129</v>
      </c>
      <c r="BG20" s="162">
        <v>28</v>
      </c>
      <c r="BH20" s="162">
        <v>1629</v>
      </c>
      <c r="BI20" s="162">
        <v>1163</v>
      </c>
      <c r="BJ20" s="162">
        <v>543</v>
      </c>
      <c r="BK20" s="97"/>
      <c r="BL20" s="97"/>
      <c r="BM20" s="97"/>
      <c r="BN20" s="97"/>
    </row>
    <row r="21" spans="1:66" ht="12.75">
      <c r="A21" s="79" t="s">
        <v>639</v>
      </c>
      <c r="B21" s="79" t="s">
        <v>360</v>
      </c>
      <c r="C21" s="79" t="s">
        <v>177</v>
      </c>
      <c r="D21" s="99">
        <v>3753</v>
      </c>
      <c r="E21" s="99">
        <v>407</v>
      </c>
      <c r="F21" s="99" t="s">
        <v>397</v>
      </c>
      <c r="G21" s="99">
        <v>8</v>
      </c>
      <c r="H21" s="99">
        <v>6</v>
      </c>
      <c r="I21" s="99">
        <v>34</v>
      </c>
      <c r="J21" s="99">
        <v>291</v>
      </c>
      <c r="K21" s="99">
        <v>274</v>
      </c>
      <c r="L21" s="99">
        <v>786</v>
      </c>
      <c r="M21" s="99">
        <v>169</v>
      </c>
      <c r="N21" s="99">
        <v>94</v>
      </c>
      <c r="O21" s="99">
        <v>81</v>
      </c>
      <c r="P21" s="159">
        <v>81</v>
      </c>
      <c r="Q21" s="99" t="s">
        <v>660</v>
      </c>
      <c r="R21" s="99">
        <v>9</v>
      </c>
      <c r="S21" s="99">
        <v>20</v>
      </c>
      <c r="T21" s="99" t="s">
        <v>660</v>
      </c>
      <c r="U21" s="99" t="s">
        <v>660</v>
      </c>
      <c r="V21" s="99">
        <v>19</v>
      </c>
      <c r="W21" s="99">
        <v>21</v>
      </c>
      <c r="X21" s="99">
        <v>15</v>
      </c>
      <c r="Y21" s="99">
        <v>25</v>
      </c>
      <c r="Z21" s="99">
        <v>19</v>
      </c>
      <c r="AA21" s="99" t="s">
        <v>660</v>
      </c>
      <c r="AB21" s="99" t="s">
        <v>660</v>
      </c>
      <c r="AC21" s="99" t="s">
        <v>660</v>
      </c>
      <c r="AD21" s="98" t="s">
        <v>374</v>
      </c>
      <c r="AE21" s="100">
        <v>0.10844657607247535</v>
      </c>
      <c r="AF21" s="100">
        <v>0.06</v>
      </c>
      <c r="AG21" s="98">
        <v>213.16280309086065</v>
      </c>
      <c r="AH21" s="98">
        <v>159.8721023181455</v>
      </c>
      <c r="AI21" s="100">
        <v>0.009000000000000001</v>
      </c>
      <c r="AJ21" s="100">
        <v>0.76781</v>
      </c>
      <c r="AK21" s="100">
        <v>0.759003</v>
      </c>
      <c r="AL21" s="100">
        <v>0.80286</v>
      </c>
      <c r="AM21" s="100">
        <v>0.599291</v>
      </c>
      <c r="AN21" s="100">
        <v>0.648276</v>
      </c>
      <c r="AO21" s="98">
        <v>2158.273381294964</v>
      </c>
      <c r="AP21" s="158">
        <v>1.350747986</v>
      </c>
      <c r="AQ21" s="100" t="s">
        <v>660</v>
      </c>
      <c r="AR21" s="100" t="s">
        <v>660</v>
      </c>
      <c r="AS21" s="98">
        <v>532.9070077271516</v>
      </c>
      <c r="AT21" s="98" t="s">
        <v>660</v>
      </c>
      <c r="AU21" s="98" t="s">
        <v>660</v>
      </c>
      <c r="AV21" s="98">
        <v>506.26165734079405</v>
      </c>
      <c r="AW21" s="98">
        <v>559.5523581135092</v>
      </c>
      <c r="AX21" s="98">
        <v>399.68025579536373</v>
      </c>
      <c r="AY21" s="98">
        <v>666.1337596589395</v>
      </c>
      <c r="AZ21" s="98">
        <v>506.26165734079405</v>
      </c>
      <c r="BA21" s="100" t="s">
        <v>660</v>
      </c>
      <c r="BB21" s="100" t="s">
        <v>660</v>
      </c>
      <c r="BC21" s="100" t="s">
        <v>660</v>
      </c>
      <c r="BD21" s="158">
        <v>1.072688828</v>
      </c>
      <c r="BE21" s="158">
        <v>1.678856354</v>
      </c>
      <c r="BF21" s="162">
        <v>379</v>
      </c>
      <c r="BG21" s="162">
        <v>361</v>
      </c>
      <c r="BH21" s="162">
        <v>979</v>
      </c>
      <c r="BI21" s="162">
        <v>282</v>
      </c>
      <c r="BJ21" s="162">
        <v>145</v>
      </c>
      <c r="BK21" s="97"/>
      <c r="BL21" s="97"/>
      <c r="BM21" s="97"/>
      <c r="BN21" s="97"/>
    </row>
    <row r="22" spans="1:66" ht="12.75">
      <c r="A22" s="79" t="s">
        <v>595</v>
      </c>
      <c r="B22" s="79" t="s">
        <v>316</v>
      </c>
      <c r="C22" s="79" t="s">
        <v>177</v>
      </c>
      <c r="D22" s="99">
        <v>9051</v>
      </c>
      <c r="E22" s="99">
        <v>1621</v>
      </c>
      <c r="F22" s="99" t="s">
        <v>396</v>
      </c>
      <c r="G22" s="99">
        <v>59</v>
      </c>
      <c r="H22" s="99">
        <v>30</v>
      </c>
      <c r="I22" s="99">
        <v>118</v>
      </c>
      <c r="J22" s="99">
        <v>895</v>
      </c>
      <c r="K22" s="99">
        <v>8</v>
      </c>
      <c r="L22" s="99">
        <v>1808</v>
      </c>
      <c r="M22" s="99">
        <v>612</v>
      </c>
      <c r="N22" s="99">
        <v>328</v>
      </c>
      <c r="O22" s="99">
        <v>277</v>
      </c>
      <c r="P22" s="159">
        <v>277</v>
      </c>
      <c r="Q22" s="99">
        <v>22</v>
      </c>
      <c r="R22" s="99">
        <v>41</v>
      </c>
      <c r="S22" s="99">
        <v>62</v>
      </c>
      <c r="T22" s="99">
        <v>46</v>
      </c>
      <c r="U22" s="99">
        <v>10</v>
      </c>
      <c r="V22" s="99">
        <v>58</v>
      </c>
      <c r="W22" s="99">
        <v>82</v>
      </c>
      <c r="X22" s="99">
        <v>39</v>
      </c>
      <c r="Y22" s="99">
        <v>101</v>
      </c>
      <c r="Z22" s="99">
        <v>95</v>
      </c>
      <c r="AA22" s="99" t="s">
        <v>660</v>
      </c>
      <c r="AB22" s="99" t="s">
        <v>660</v>
      </c>
      <c r="AC22" s="99" t="s">
        <v>660</v>
      </c>
      <c r="AD22" s="98" t="s">
        <v>374</v>
      </c>
      <c r="AE22" s="100">
        <v>0.1790962324605016</v>
      </c>
      <c r="AF22" s="100">
        <v>0.15</v>
      </c>
      <c r="AG22" s="98">
        <v>651.8616727433433</v>
      </c>
      <c r="AH22" s="98">
        <v>331.45508783559825</v>
      </c>
      <c r="AI22" s="100">
        <v>0.013000000000000001</v>
      </c>
      <c r="AJ22" s="100">
        <v>0.749581</v>
      </c>
      <c r="AK22" s="100">
        <v>0.615385</v>
      </c>
      <c r="AL22" s="100">
        <v>0.81773</v>
      </c>
      <c r="AM22" s="100">
        <v>0.566142</v>
      </c>
      <c r="AN22" s="100">
        <v>0.621212</v>
      </c>
      <c r="AO22" s="98">
        <v>3060.4353110153575</v>
      </c>
      <c r="AP22" s="158">
        <v>1.5681773380000001</v>
      </c>
      <c r="AQ22" s="100">
        <v>0.07942238267148015</v>
      </c>
      <c r="AR22" s="100">
        <v>0.5365853658536586</v>
      </c>
      <c r="AS22" s="98">
        <v>685.0071815269031</v>
      </c>
      <c r="AT22" s="98">
        <v>508.2311346812507</v>
      </c>
      <c r="AU22" s="98">
        <v>110.48502927853276</v>
      </c>
      <c r="AV22" s="98">
        <v>640.81316981549</v>
      </c>
      <c r="AW22" s="98">
        <v>905.9772400839686</v>
      </c>
      <c r="AX22" s="98">
        <v>430.89161418627776</v>
      </c>
      <c r="AY22" s="98">
        <v>1115.8987957131808</v>
      </c>
      <c r="AZ22" s="98">
        <v>1049.6077781460613</v>
      </c>
      <c r="BA22" s="100" t="s">
        <v>660</v>
      </c>
      <c r="BB22" s="100" t="s">
        <v>660</v>
      </c>
      <c r="BC22" s="100" t="s">
        <v>660</v>
      </c>
      <c r="BD22" s="158">
        <v>1.3889234920000002</v>
      </c>
      <c r="BE22" s="158">
        <v>1.764147034</v>
      </c>
      <c r="BF22" s="162">
        <v>1194</v>
      </c>
      <c r="BG22" s="162">
        <v>13</v>
      </c>
      <c r="BH22" s="162">
        <v>2211</v>
      </c>
      <c r="BI22" s="162">
        <v>1081</v>
      </c>
      <c r="BJ22" s="162">
        <v>528</v>
      </c>
      <c r="BK22" s="97"/>
      <c r="BL22" s="97"/>
      <c r="BM22" s="97"/>
      <c r="BN22" s="97"/>
    </row>
    <row r="23" spans="1:66" ht="12.75">
      <c r="A23" s="79" t="s">
        <v>643</v>
      </c>
      <c r="B23" s="79" t="s">
        <v>364</v>
      </c>
      <c r="C23" s="79" t="s">
        <v>177</v>
      </c>
      <c r="D23" s="99">
        <v>2644</v>
      </c>
      <c r="E23" s="99">
        <v>274</v>
      </c>
      <c r="F23" s="99" t="s">
        <v>394</v>
      </c>
      <c r="G23" s="99">
        <v>6</v>
      </c>
      <c r="H23" s="99" t="s">
        <v>660</v>
      </c>
      <c r="I23" s="99">
        <v>33</v>
      </c>
      <c r="J23" s="99">
        <v>142</v>
      </c>
      <c r="K23" s="99" t="s">
        <v>660</v>
      </c>
      <c r="L23" s="99">
        <v>478</v>
      </c>
      <c r="M23" s="99">
        <v>97</v>
      </c>
      <c r="N23" s="99">
        <v>44</v>
      </c>
      <c r="O23" s="99">
        <v>71</v>
      </c>
      <c r="P23" s="159">
        <v>71</v>
      </c>
      <c r="Q23" s="99">
        <v>6</v>
      </c>
      <c r="R23" s="99">
        <v>15</v>
      </c>
      <c r="S23" s="99">
        <v>21</v>
      </c>
      <c r="T23" s="99" t="s">
        <v>660</v>
      </c>
      <c r="U23" s="99">
        <v>6</v>
      </c>
      <c r="V23" s="99">
        <v>7</v>
      </c>
      <c r="W23" s="99">
        <v>18</v>
      </c>
      <c r="X23" s="99">
        <v>20</v>
      </c>
      <c r="Y23" s="99">
        <v>47</v>
      </c>
      <c r="Z23" s="99" t="s">
        <v>660</v>
      </c>
      <c r="AA23" s="99" t="s">
        <v>660</v>
      </c>
      <c r="AB23" s="99" t="s">
        <v>660</v>
      </c>
      <c r="AC23" s="99" t="s">
        <v>660</v>
      </c>
      <c r="AD23" s="98" t="s">
        <v>374</v>
      </c>
      <c r="AE23" s="100">
        <v>0.10363086232980333</v>
      </c>
      <c r="AF23" s="100">
        <v>0.21</v>
      </c>
      <c r="AG23" s="98">
        <v>226.928895612708</v>
      </c>
      <c r="AH23" s="98" t="s">
        <v>660</v>
      </c>
      <c r="AI23" s="100">
        <v>0.012</v>
      </c>
      <c r="AJ23" s="100">
        <v>0.622807</v>
      </c>
      <c r="AK23" s="100" t="s">
        <v>660</v>
      </c>
      <c r="AL23" s="100">
        <v>0.802013</v>
      </c>
      <c r="AM23" s="100">
        <v>0.434978</v>
      </c>
      <c r="AN23" s="100">
        <v>0.478261</v>
      </c>
      <c r="AO23" s="98">
        <v>2685.325264750378</v>
      </c>
      <c r="AP23" s="158">
        <v>1.7689739990000002</v>
      </c>
      <c r="AQ23" s="100">
        <v>0.08450704225352113</v>
      </c>
      <c r="AR23" s="100">
        <v>0.4</v>
      </c>
      <c r="AS23" s="98">
        <v>794.251134644478</v>
      </c>
      <c r="AT23" s="98" t="s">
        <v>660</v>
      </c>
      <c r="AU23" s="98">
        <v>226.928895612708</v>
      </c>
      <c r="AV23" s="98">
        <v>264.750378214826</v>
      </c>
      <c r="AW23" s="98">
        <v>680.7866868381241</v>
      </c>
      <c r="AX23" s="98">
        <v>756.4296520423601</v>
      </c>
      <c r="AY23" s="98">
        <v>1777.6096822995462</v>
      </c>
      <c r="AZ23" s="98" t="s">
        <v>660</v>
      </c>
      <c r="BA23" s="100" t="s">
        <v>660</v>
      </c>
      <c r="BB23" s="100" t="s">
        <v>660</v>
      </c>
      <c r="BC23" s="100" t="s">
        <v>660</v>
      </c>
      <c r="BD23" s="158">
        <v>1.381583405</v>
      </c>
      <c r="BE23" s="158">
        <v>2.2313200380000002</v>
      </c>
      <c r="BF23" s="162">
        <v>228</v>
      </c>
      <c r="BG23" s="162" t="s">
        <v>660</v>
      </c>
      <c r="BH23" s="162">
        <v>596</v>
      </c>
      <c r="BI23" s="162">
        <v>223</v>
      </c>
      <c r="BJ23" s="162">
        <v>92</v>
      </c>
      <c r="BK23" s="97"/>
      <c r="BL23" s="97"/>
      <c r="BM23" s="97"/>
      <c r="BN23" s="97"/>
    </row>
    <row r="24" spans="1:66" ht="12.75">
      <c r="A24" s="79" t="s">
        <v>619</v>
      </c>
      <c r="B24" s="79" t="s">
        <v>339</v>
      </c>
      <c r="C24" s="79" t="s">
        <v>177</v>
      </c>
      <c r="D24" s="99">
        <v>4121</v>
      </c>
      <c r="E24" s="99">
        <v>740</v>
      </c>
      <c r="F24" s="99" t="s">
        <v>394</v>
      </c>
      <c r="G24" s="99">
        <v>14</v>
      </c>
      <c r="H24" s="99">
        <v>11</v>
      </c>
      <c r="I24" s="99">
        <v>81</v>
      </c>
      <c r="J24" s="99">
        <v>387</v>
      </c>
      <c r="K24" s="99">
        <v>366</v>
      </c>
      <c r="L24" s="99">
        <v>760</v>
      </c>
      <c r="M24" s="99">
        <v>229</v>
      </c>
      <c r="N24" s="99">
        <v>104</v>
      </c>
      <c r="O24" s="99">
        <v>77</v>
      </c>
      <c r="P24" s="159">
        <v>77</v>
      </c>
      <c r="Q24" s="99">
        <v>7</v>
      </c>
      <c r="R24" s="99">
        <v>22</v>
      </c>
      <c r="S24" s="99">
        <v>31</v>
      </c>
      <c r="T24" s="99">
        <v>7</v>
      </c>
      <c r="U24" s="99">
        <v>6</v>
      </c>
      <c r="V24" s="99">
        <v>12</v>
      </c>
      <c r="W24" s="99">
        <v>20</v>
      </c>
      <c r="X24" s="99">
        <v>33</v>
      </c>
      <c r="Y24" s="99">
        <v>48</v>
      </c>
      <c r="Z24" s="99">
        <v>27</v>
      </c>
      <c r="AA24" s="99" t="s">
        <v>660</v>
      </c>
      <c r="AB24" s="99" t="s">
        <v>660</v>
      </c>
      <c r="AC24" s="99" t="s">
        <v>660</v>
      </c>
      <c r="AD24" s="98" t="s">
        <v>374</v>
      </c>
      <c r="AE24" s="100">
        <v>0.17956806600339723</v>
      </c>
      <c r="AF24" s="100">
        <v>0.18</v>
      </c>
      <c r="AG24" s="98">
        <v>339.72336811453533</v>
      </c>
      <c r="AH24" s="98">
        <v>266.92550351856346</v>
      </c>
      <c r="AI24" s="100">
        <v>0.02</v>
      </c>
      <c r="AJ24" s="100">
        <v>0.772455</v>
      </c>
      <c r="AK24" s="100">
        <v>0.770526</v>
      </c>
      <c r="AL24" s="100">
        <v>0.783505</v>
      </c>
      <c r="AM24" s="100">
        <v>0.511161</v>
      </c>
      <c r="AN24" s="100">
        <v>0.568306</v>
      </c>
      <c r="AO24" s="98">
        <v>1868.478524629944</v>
      </c>
      <c r="AP24" s="158">
        <v>0.9765100861</v>
      </c>
      <c r="AQ24" s="100">
        <v>0.09090909090909091</v>
      </c>
      <c r="AR24" s="100">
        <v>0.3181818181818182</v>
      </c>
      <c r="AS24" s="98">
        <v>752.2446008250424</v>
      </c>
      <c r="AT24" s="98">
        <v>169.86168405726767</v>
      </c>
      <c r="AU24" s="98">
        <v>145.5957291919437</v>
      </c>
      <c r="AV24" s="98">
        <v>291.1914583838874</v>
      </c>
      <c r="AW24" s="98">
        <v>485.319097306479</v>
      </c>
      <c r="AX24" s="98">
        <v>800.7765105556904</v>
      </c>
      <c r="AY24" s="98">
        <v>1164.7658335355495</v>
      </c>
      <c r="AZ24" s="98">
        <v>655.1807813637466</v>
      </c>
      <c r="BA24" s="100" t="s">
        <v>660</v>
      </c>
      <c r="BB24" s="100" t="s">
        <v>660</v>
      </c>
      <c r="BC24" s="100" t="s">
        <v>660</v>
      </c>
      <c r="BD24" s="158">
        <v>0.7706465149</v>
      </c>
      <c r="BE24" s="158">
        <v>1.2204701230000001</v>
      </c>
      <c r="BF24" s="162">
        <v>501</v>
      </c>
      <c r="BG24" s="162">
        <v>475</v>
      </c>
      <c r="BH24" s="162">
        <v>970</v>
      </c>
      <c r="BI24" s="162">
        <v>448</v>
      </c>
      <c r="BJ24" s="162">
        <v>183</v>
      </c>
      <c r="BK24" s="97"/>
      <c r="BL24" s="97"/>
      <c r="BM24" s="97"/>
      <c r="BN24" s="97"/>
    </row>
    <row r="25" spans="1:66" ht="12.75">
      <c r="A25" s="79" t="s">
        <v>578</v>
      </c>
      <c r="B25" s="79" t="s">
        <v>299</v>
      </c>
      <c r="C25" s="79" t="s">
        <v>177</v>
      </c>
      <c r="D25" s="99">
        <v>2696</v>
      </c>
      <c r="E25" s="99">
        <v>464</v>
      </c>
      <c r="F25" s="99" t="s">
        <v>394</v>
      </c>
      <c r="G25" s="99">
        <v>6</v>
      </c>
      <c r="H25" s="99" t="s">
        <v>660</v>
      </c>
      <c r="I25" s="99">
        <v>25</v>
      </c>
      <c r="J25" s="99">
        <v>252</v>
      </c>
      <c r="K25" s="99" t="s">
        <v>660</v>
      </c>
      <c r="L25" s="99">
        <v>510</v>
      </c>
      <c r="M25" s="99">
        <v>199</v>
      </c>
      <c r="N25" s="99">
        <v>90</v>
      </c>
      <c r="O25" s="99">
        <v>17</v>
      </c>
      <c r="P25" s="159">
        <v>17</v>
      </c>
      <c r="Q25" s="99" t="s">
        <v>660</v>
      </c>
      <c r="R25" s="99">
        <v>9</v>
      </c>
      <c r="S25" s="99" t="s">
        <v>660</v>
      </c>
      <c r="T25" s="99" t="s">
        <v>660</v>
      </c>
      <c r="U25" s="99" t="s">
        <v>660</v>
      </c>
      <c r="V25" s="99" t="s">
        <v>660</v>
      </c>
      <c r="W25" s="99">
        <v>9</v>
      </c>
      <c r="X25" s="99">
        <v>9</v>
      </c>
      <c r="Y25" s="99">
        <v>17</v>
      </c>
      <c r="Z25" s="99">
        <v>17</v>
      </c>
      <c r="AA25" s="99" t="s">
        <v>660</v>
      </c>
      <c r="AB25" s="99" t="s">
        <v>660</v>
      </c>
      <c r="AC25" s="99" t="s">
        <v>660</v>
      </c>
      <c r="AD25" s="98" t="s">
        <v>374</v>
      </c>
      <c r="AE25" s="100">
        <v>0.17210682492581603</v>
      </c>
      <c r="AF25" s="100">
        <v>0.19</v>
      </c>
      <c r="AG25" s="98">
        <v>222.55192878338278</v>
      </c>
      <c r="AH25" s="98" t="s">
        <v>660</v>
      </c>
      <c r="AI25" s="100">
        <v>0.009000000000000001</v>
      </c>
      <c r="AJ25" s="100">
        <v>0.713881</v>
      </c>
      <c r="AK25" s="100" t="s">
        <v>660</v>
      </c>
      <c r="AL25" s="100">
        <v>0.81862</v>
      </c>
      <c r="AM25" s="100">
        <v>0.548209</v>
      </c>
      <c r="AN25" s="100">
        <v>0.542169</v>
      </c>
      <c r="AO25" s="98">
        <v>630.5637982195846</v>
      </c>
      <c r="AP25" s="158">
        <v>0.33067234040000004</v>
      </c>
      <c r="AQ25" s="100" t="s">
        <v>660</v>
      </c>
      <c r="AR25" s="100" t="s">
        <v>660</v>
      </c>
      <c r="AS25" s="98" t="s">
        <v>660</v>
      </c>
      <c r="AT25" s="98" t="s">
        <v>660</v>
      </c>
      <c r="AU25" s="98" t="s">
        <v>660</v>
      </c>
      <c r="AV25" s="98" t="s">
        <v>660</v>
      </c>
      <c r="AW25" s="98">
        <v>333.82789317507417</v>
      </c>
      <c r="AX25" s="98">
        <v>333.82789317507417</v>
      </c>
      <c r="AY25" s="98">
        <v>630.5637982195846</v>
      </c>
      <c r="AZ25" s="98">
        <v>630.5637982195846</v>
      </c>
      <c r="BA25" s="100" t="s">
        <v>660</v>
      </c>
      <c r="BB25" s="100" t="s">
        <v>660</v>
      </c>
      <c r="BC25" s="100" t="s">
        <v>660</v>
      </c>
      <c r="BD25" s="158">
        <v>0.1926288223</v>
      </c>
      <c r="BE25" s="158">
        <v>0.5294384766</v>
      </c>
      <c r="BF25" s="162">
        <v>353</v>
      </c>
      <c r="BG25" s="162" t="s">
        <v>660</v>
      </c>
      <c r="BH25" s="162">
        <v>623</v>
      </c>
      <c r="BI25" s="162">
        <v>363</v>
      </c>
      <c r="BJ25" s="162">
        <v>166</v>
      </c>
      <c r="BK25" s="97"/>
      <c r="BL25" s="97"/>
      <c r="BM25" s="97"/>
      <c r="BN25" s="97"/>
    </row>
    <row r="26" spans="1:66" ht="12.75">
      <c r="A26" s="79" t="s">
        <v>664</v>
      </c>
      <c r="B26" s="79" t="s">
        <v>557</v>
      </c>
      <c r="C26" s="79" t="s">
        <v>177</v>
      </c>
      <c r="D26" s="99">
        <v>4140</v>
      </c>
      <c r="E26" s="99">
        <v>451</v>
      </c>
      <c r="F26" s="99" t="s">
        <v>394</v>
      </c>
      <c r="G26" s="99" t="s">
        <v>660</v>
      </c>
      <c r="H26" s="99">
        <v>10</v>
      </c>
      <c r="I26" s="99">
        <v>35</v>
      </c>
      <c r="J26" s="99">
        <v>275</v>
      </c>
      <c r="K26" s="99">
        <v>10</v>
      </c>
      <c r="L26" s="99">
        <v>834</v>
      </c>
      <c r="M26" s="99">
        <v>160</v>
      </c>
      <c r="N26" s="99">
        <v>77</v>
      </c>
      <c r="O26" s="99">
        <v>55</v>
      </c>
      <c r="P26" s="159">
        <v>55</v>
      </c>
      <c r="Q26" s="99" t="s">
        <v>660</v>
      </c>
      <c r="R26" s="99">
        <v>9</v>
      </c>
      <c r="S26" s="99">
        <v>11</v>
      </c>
      <c r="T26" s="99">
        <v>15</v>
      </c>
      <c r="U26" s="99" t="s">
        <v>660</v>
      </c>
      <c r="V26" s="99" t="s">
        <v>660</v>
      </c>
      <c r="W26" s="99">
        <v>20</v>
      </c>
      <c r="X26" s="99">
        <v>19</v>
      </c>
      <c r="Y26" s="99">
        <v>34</v>
      </c>
      <c r="Z26" s="99">
        <v>15</v>
      </c>
      <c r="AA26" s="99" t="s">
        <v>660</v>
      </c>
      <c r="AB26" s="99" t="s">
        <v>660</v>
      </c>
      <c r="AC26" s="99" t="s">
        <v>660</v>
      </c>
      <c r="AD26" s="98" t="s">
        <v>374</v>
      </c>
      <c r="AE26" s="100">
        <v>0.10893719806763286</v>
      </c>
      <c r="AF26" s="100">
        <v>0.17</v>
      </c>
      <c r="AG26" s="98" t="s">
        <v>660</v>
      </c>
      <c r="AH26" s="98">
        <v>241.54589371980677</v>
      </c>
      <c r="AI26" s="100">
        <v>0.008</v>
      </c>
      <c r="AJ26" s="100">
        <v>0.685786</v>
      </c>
      <c r="AK26" s="100">
        <v>0.909091</v>
      </c>
      <c r="AL26" s="100">
        <v>0.77726</v>
      </c>
      <c r="AM26" s="100">
        <v>0.528053</v>
      </c>
      <c r="AN26" s="100">
        <v>0.611111</v>
      </c>
      <c r="AO26" s="98">
        <v>1328.502415458937</v>
      </c>
      <c r="AP26" s="158">
        <v>0.8889219666</v>
      </c>
      <c r="AQ26" s="100" t="s">
        <v>660</v>
      </c>
      <c r="AR26" s="100" t="s">
        <v>660</v>
      </c>
      <c r="AS26" s="98">
        <v>265.7004830917874</v>
      </c>
      <c r="AT26" s="98">
        <v>362.3188405797101</v>
      </c>
      <c r="AU26" s="98" t="s">
        <v>660</v>
      </c>
      <c r="AV26" s="98" t="s">
        <v>660</v>
      </c>
      <c r="AW26" s="98">
        <v>483.09178743961354</v>
      </c>
      <c r="AX26" s="98">
        <v>458.93719806763283</v>
      </c>
      <c r="AY26" s="98">
        <v>821.256038647343</v>
      </c>
      <c r="AZ26" s="98">
        <v>362.3188405797101</v>
      </c>
      <c r="BA26" s="100" t="s">
        <v>660</v>
      </c>
      <c r="BB26" s="100" t="s">
        <v>660</v>
      </c>
      <c r="BC26" s="100" t="s">
        <v>660</v>
      </c>
      <c r="BD26" s="158">
        <v>0.6696576691</v>
      </c>
      <c r="BE26" s="158">
        <v>1.1570541380000001</v>
      </c>
      <c r="BF26" s="162">
        <v>401</v>
      </c>
      <c r="BG26" s="162">
        <v>11</v>
      </c>
      <c r="BH26" s="162">
        <v>1073</v>
      </c>
      <c r="BI26" s="162">
        <v>303</v>
      </c>
      <c r="BJ26" s="162">
        <v>126</v>
      </c>
      <c r="BK26" s="97"/>
      <c r="BL26" s="97"/>
      <c r="BM26" s="97"/>
      <c r="BN26" s="97"/>
    </row>
    <row r="27" spans="1:66" ht="12.75">
      <c r="A27" s="79" t="s">
        <v>573</v>
      </c>
      <c r="B27" s="79" t="s">
        <v>294</v>
      </c>
      <c r="C27" s="79" t="s">
        <v>177</v>
      </c>
      <c r="D27" s="99">
        <v>6499</v>
      </c>
      <c r="E27" s="99">
        <v>1333</v>
      </c>
      <c r="F27" s="99" t="s">
        <v>397</v>
      </c>
      <c r="G27" s="99">
        <v>15</v>
      </c>
      <c r="H27" s="99">
        <v>11</v>
      </c>
      <c r="I27" s="99">
        <v>106</v>
      </c>
      <c r="J27" s="99">
        <v>834</v>
      </c>
      <c r="K27" s="99">
        <v>798</v>
      </c>
      <c r="L27" s="99">
        <v>1425</v>
      </c>
      <c r="M27" s="99">
        <v>656</v>
      </c>
      <c r="N27" s="99">
        <v>338</v>
      </c>
      <c r="O27" s="99">
        <v>173</v>
      </c>
      <c r="P27" s="159">
        <v>173</v>
      </c>
      <c r="Q27" s="99">
        <v>17</v>
      </c>
      <c r="R27" s="99">
        <v>37</v>
      </c>
      <c r="S27" s="99">
        <v>38</v>
      </c>
      <c r="T27" s="99">
        <v>15</v>
      </c>
      <c r="U27" s="99" t="s">
        <v>660</v>
      </c>
      <c r="V27" s="99">
        <v>47</v>
      </c>
      <c r="W27" s="99">
        <v>48</v>
      </c>
      <c r="X27" s="99">
        <v>21</v>
      </c>
      <c r="Y27" s="99">
        <v>37</v>
      </c>
      <c r="Z27" s="99">
        <v>33</v>
      </c>
      <c r="AA27" s="99" t="s">
        <v>660</v>
      </c>
      <c r="AB27" s="99" t="s">
        <v>660</v>
      </c>
      <c r="AC27" s="99" t="s">
        <v>660</v>
      </c>
      <c r="AD27" s="98" t="s">
        <v>374</v>
      </c>
      <c r="AE27" s="100">
        <v>0.2051084782274196</v>
      </c>
      <c r="AF27" s="100">
        <v>0.05</v>
      </c>
      <c r="AG27" s="98">
        <v>230.8047391906447</v>
      </c>
      <c r="AH27" s="98">
        <v>169.25680873980613</v>
      </c>
      <c r="AI27" s="100">
        <v>0.016</v>
      </c>
      <c r="AJ27" s="100">
        <v>0.831505</v>
      </c>
      <c r="AK27" s="100">
        <v>0.83125</v>
      </c>
      <c r="AL27" s="100">
        <v>0.899621</v>
      </c>
      <c r="AM27" s="100">
        <v>0.668705</v>
      </c>
      <c r="AN27" s="100">
        <v>0.702703</v>
      </c>
      <c r="AO27" s="98">
        <v>2661.947991998769</v>
      </c>
      <c r="AP27" s="158">
        <v>1.231489105</v>
      </c>
      <c r="AQ27" s="100">
        <v>0.09826589595375723</v>
      </c>
      <c r="AR27" s="100">
        <v>0.4594594594594595</v>
      </c>
      <c r="AS27" s="98">
        <v>584.7053392829666</v>
      </c>
      <c r="AT27" s="98">
        <v>230.8047391906447</v>
      </c>
      <c r="AU27" s="98" t="s">
        <v>660</v>
      </c>
      <c r="AV27" s="98">
        <v>723.1881827973534</v>
      </c>
      <c r="AW27" s="98">
        <v>738.575165410063</v>
      </c>
      <c r="AX27" s="98">
        <v>323.1266348669026</v>
      </c>
      <c r="AY27" s="98">
        <v>569.318356670257</v>
      </c>
      <c r="AZ27" s="98">
        <v>507.77042621941837</v>
      </c>
      <c r="BA27" s="100" t="s">
        <v>660</v>
      </c>
      <c r="BB27" s="100" t="s">
        <v>660</v>
      </c>
      <c r="BC27" s="100" t="s">
        <v>660</v>
      </c>
      <c r="BD27" s="158">
        <v>1.054813232</v>
      </c>
      <c r="BE27" s="158">
        <v>1.429292145</v>
      </c>
      <c r="BF27" s="162">
        <v>1003</v>
      </c>
      <c r="BG27" s="162">
        <v>960</v>
      </c>
      <c r="BH27" s="162">
        <v>1584</v>
      </c>
      <c r="BI27" s="162">
        <v>981</v>
      </c>
      <c r="BJ27" s="162">
        <v>481</v>
      </c>
      <c r="BK27" s="97"/>
      <c r="BL27" s="97"/>
      <c r="BM27" s="97"/>
      <c r="BN27" s="97"/>
    </row>
    <row r="28" spans="1:66" ht="12.75">
      <c r="A28" s="79" t="s">
        <v>564</v>
      </c>
      <c r="B28" s="79" t="s">
        <v>285</v>
      </c>
      <c r="C28" s="79" t="s">
        <v>177</v>
      </c>
      <c r="D28" s="99">
        <v>11142</v>
      </c>
      <c r="E28" s="99">
        <v>2342</v>
      </c>
      <c r="F28" s="99" t="s">
        <v>397</v>
      </c>
      <c r="G28" s="99">
        <v>83</v>
      </c>
      <c r="H28" s="99">
        <v>28</v>
      </c>
      <c r="I28" s="99">
        <v>263</v>
      </c>
      <c r="J28" s="99">
        <v>1464</v>
      </c>
      <c r="K28" s="99">
        <v>1416</v>
      </c>
      <c r="L28" s="99">
        <v>2492</v>
      </c>
      <c r="M28" s="99">
        <v>1075</v>
      </c>
      <c r="N28" s="99">
        <v>570</v>
      </c>
      <c r="O28" s="99">
        <v>315</v>
      </c>
      <c r="P28" s="159">
        <v>315</v>
      </c>
      <c r="Q28" s="99">
        <v>38</v>
      </c>
      <c r="R28" s="99">
        <v>73</v>
      </c>
      <c r="S28" s="99">
        <v>80</v>
      </c>
      <c r="T28" s="99">
        <v>44</v>
      </c>
      <c r="U28" s="99">
        <v>7</v>
      </c>
      <c r="V28" s="99">
        <v>58</v>
      </c>
      <c r="W28" s="99">
        <v>72</v>
      </c>
      <c r="X28" s="99">
        <v>45</v>
      </c>
      <c r="Y28" s="99">
        <v>100</v>
      </c>
      <c r="Z28" s="99">
        <v>81</v>
      </c>
      <c r="AA28" s="99" t="s">
        <v>660</v>
      </c>
      <c r="AB28" s="99" t="s">
        <v>660</v>
      </c>
      <c r="AC28" s="99" t="s">
        <v>660</v>
      </c>
      <c r="AD28" s="98" t="s">
        <v>374</v>
      </c>
      <c r="AE28" s="100">
        <v>0.2101956560761084</v>
      </c>
      <c r="AF28" s="100">
        <v>0.06</v>
      </c>
      <c r="AG28" s="98">
        <v>744.9290971100341</v>
      </c>
      <c r="AH28" s="98">
        <v>251.30138215760186</v>
      </c>
      <c r="AI28" s="100">
        <v>0.024</v>
      </c>
      <c r="AJ28" s="100">
        <v>0.851658</v>
      </c>
      <c r="AK28" s="100">
        <v>0.841855</v>
      </c>
      <c r="AL28" s="100">
        <v>0.886833</v>
      </c>
      <c r="AM28" s="100">
        <v>0.650726</v>
      </c>
      <c r="AN28" s="100">
        <v>0.698529</v>
      </c>
      <c r="AO28" s="98">
        <v>2827.140549273021</v>
      </c>
      <c r="AP28" s="158">
        <v>1.331061859</v>
      </c>
      <c r="AQ28" s="100">
        <v>0.12063492063492064</v>
      </c>
      <c r="AR28" s="100">
        <v>0.5205479452054794</v>
      </c>
      <c r="AS28" s="98">
        <v>718.0039490217196</v>
      </c>
      <c r="AT28" s="98">
        <v>394.9021719619458</v>
      </c>
      <c r="AU28" s="98">
        <v>62.825345539400466</v>
      </c>
      <c r="AV28" s="98">
        <v>520.5528630407467</v>
      </c>
      <c r="AW28" s="98">
        <v>646.2035541195477</v>
      </c>
      <c r="AX28" s="98">
        <v>403.8772213247173</v>
      </c>
      <c r="AY28" s="98">
        <v>897.5049362771496</v>
      </c>
      <c r="AZ28" s="98">
        <v>726.9789983844911</v>
      </c>
      <c r="BA28" s="100" t="s">
        <v>660</v>
      </c>
      <c r="BB28" s="100" t="s">
        <v>660</v>
      </c>
      <c r="BC28" s="100" t="s">
        <v>660</v>
      </c>
      <c r="BD28" s="158">
        <v>1.188112946</v>
      </c>
      <c r="BE28" s="158">
        <v>1.486472168</v>
      </c>
      <c r="BF28" s="162">
        <v>1719</v>
      </c>
      <c r="BG28" s="162">
        <v>1682</v>
      </c>
      <c r="BH28" s="162">
        <v>2810</v>
      </c>
      <c r="BI28" s="162">
        <v>1652</v>
      </c>
      <c r="BJ28" s="162">
        <v>816</v>
      </c>
      <c r="BK28" s="97"/>
      <c r="BL28" s="97"/>
      <c r="BM28" s="97"/>
      <c r="BN28" s="97"/>
    </row>
    <row r="29" spans="1:66" ht="12.75">
      <c r="A29" s="79" t="s">
        <v>598</v>
      </c>
      <c r="B29" s="79" t="s">
        <v>319</v>
      </c>
      <c r="C29" s="79" t="s">
        <v>177</v>
      </c>
      <c r="D29" s="99">
        <v>3549</v>
      </c>
      <c r="E29" s="99">
        <v>695</v>
      </c>
      <c r="F29" s="99" t="s">
        <v>394</v>
      </c>
      <c r="G29" s="99">
        <v>30</v>
      </c>
      <c r="H29" s="99">
        <v>13</v>
      </c>
      <c r="I29" s="99">
        <v>50</v>
      </c>
      <c r="J29" s="99">
        <v>340</v>
      </c>
      <c r="K29" s="99" t="s">
        <v>660</v>
      </c>
      <c r="L29" s="99">
        <v>690</v>
      </c>
      <c r="M29" s="99">
        <v>221</v>
      </c>
      <c r="N29" s="99">
        <v>105</v>
      </c>
      <c r="O29" s="99">
        <v>78</v>
      </c>
      <c r="P29" s="159">
        <v>78</v>
      </c>
      <c r="Q29" s="99">
        <v>7</v>
      </c>
      <c r="R29" s="99">
        <v>24</v>
      </c>
      <c r="S29" s="99">
        <v>29</v>
      </c>
      <c r="T29" s="99">
        <v>8</v>
      </c>
      <c r="U29" s="99" t="s">
        <v>660</v>
      </c>
      <c r="V29" s="99">
        <v>10</v>
      </c>
      <c r="W29" s="99">
        <v>23</v>
      </c>
      <c r="X29" s="99">
        <v>14</v>
      </c>
      <c r="Y29" s="99">
        <v>36</v>
      </c>
      <c r="Z29" s="99">
        <v>26</v>
      </c>
      <c r="AA29" s="99" t="s">
        <v>660</v>
      </c>
      <c r="AB29" s="99" t="s">
        <v>660</v>
      </c>
      <c r="AC29" s="99" t="s">
        <v>660</v>
      </c>
      <c r="AD29" s="98" t="s">
        <v>374</v>
      </c>
      <c r="AE29" s="100">
        <v>0.1958298112144266</v>
      </c>
      <c r="AF29" s="100">
        <v>0.17</v>
      </c>
      <c r="AG29" s="98">
        <v>845.30853761623</v>
      </c>
      <c r="AH29" s="98">
        <v>366.3003663003663</v>
      </c>
      <c r="AI29" s="100">
        <v>0.013999999999999999</v>
      </c>
      <c r="AJ29" s="100">
        <v>0.714286</v>
      </c>
      <c r="AK29" s="100" t="s">
        <v>660</v>
      </c>
      <c r="AL29" s="100">
        <v>0.824373</v>
      </c>
      <c r="AM29" s="100">
        <v>0.495516</v>
      </c>
      <c r="AN29" s="100">
        <v>0.583333</v>
      </c>
      <c r="AO29" s="98">
        <v>2197.802197802198</v>
      </c>
      <c r="AP29" s="158">
        <v>1.079808426</v>
      </c>
      <c r="AQ29" s="100">
        <v>0.08974358974358974</v>
      </c>
      <c r="AR29" s="100">
        <v>0.2916666666666667</v>
      </c>
      <c r="AS29" s="98">
        <v>817.1315863623556</v>
      </c>
      <c r="AT29" s="98">
        <v>225.41561003099466</v>
      </c>
      <c r="AU29" s="98" t="s">
        <v>660</v>
      </c>
      <c r="AV29" s="98">
        <v>281.7695125387433</v>
      </c>
      <c r="AW29" s="98">
        <v>648.0698788391096</v>
      </c>
      <c r="AX29" s="98">
        <v>394.47731755424064</v>
      </c>
      <c r="AY29" s="98">
        <v>1014.3702451394759</v>
      </c>
      <c r="AZ29" s="98">
        <v>732.6007326007326</v>
      </c>
      <c r="BA29" s="100" t="s">
        <v>660</v>
      </c>
      <c r="BB29" s="100" t="s">
        <v>660</v>
      </c>
      <c r="BC29" s="100" t="s">
        <v>660</v>
      </c>
      <c r="BD29" s="158">
        <v>0.8535437775</v>
      </c>
      <c r="BE29" s="158">
        <v>1.347649841</v>
      </c>
      <c r="BF29" s="162">
        <v>476</v>
      </c>
      <c r="BG29" s="162" t="s">
        <v>660</v>
      </c>
      <c r="BH29" s="162">
        <v>837</v>
      </c>
      <c r="BI29" s="162">
        <v>446</v>
      </c>
      <c r="BJ29" s="162">
        <v>180</v>
      </c>
      <c r="BK29" s="97"/>
      <c r="BL29" s="97"/>
      <c r="BM29" s="97"/>
      <c r="BN29" s="97"/>
    </row>
    <row r="30" spans="1:66" ht="12.75">
      <c r="A30" s="79" t="s">
        <v>642</v>
      </c>
      <c r="B30" s="79" t="s">
        <v>363</v>
      </c>
      <c r="C30" s="79" t="s">
        <v>177</v>
      </c>
      <c r="D30" s="99">
        <v>4574</v>
      </c>
      <c r="E30" s="99">
        <v>924</v>
      </c>
      <c r="F30" s="99" t="s">
        <v>397</v>
      </c>
      <c r="G30" s="99">
        <v>36</v>
      </c>
      <c r="H30" s="99">
        <v>11</v>
      </c>
      <c r="I30" s="99">
        <v>81</v>
      </c>
      <c r="J30" s="99">
        <v>580</v>
      </c>
      <c r="K30" s="99">
        <v>551</v>
      </c>
      <c r="L30" s="99">
        <v>950</v>
      </c>
      <c r="M30" s="99">
        <v>407</v>
      </c>
      <c r="N30" s="99">
        <v>190</v>
      </c>
      <c r="O30" s="99">
        <v>116</v>
      </c>
      <c r="P30" s="159">
        <v>116</v>
      </c>
      <c r="Q30" s="99">
        <v>17</v>
      </c>
      <c r="R30" s="99">
        <v>34</v>
      </c>
      <c r="S30" s="99">
        <v>23</v>
      </c>
      <c r="T30" s="99">
        <v>10</v>
      </c>
      <c r="U30" s="99" t="s">
        <v>660</v>
      </c>
      <c r="V30" s="99">
        <v>21</v>
      </c>
      <c r="W30" s="99">
        <v>29</v>
      </c>
      <c r="X30" s="99">
        <v>20</v>
      </c>
      <c r="Y30" s="99">
        <v>30</v>
      </c>
      <c r="Z30" s="99">
        <v>23</v>
      </c>
      <c r="AA30" s="99" t="s">
        <v>660</v>
      </c>
      <c r="AB30" s="99" t="s">
        <v>660</v>
      </c>
      <c r="AC30" s="99" t="s">
        <v>660</v>
      </c>
      <c r="AD30" s="98" t="s">
        <v>374</v>
      </c>
      <c r="AE30" s="100">
        <v>0.20201136860515959</v>
      </c>
      <c r="AF30" s="100">
        <v>0.07</v>
      </c>
      <c r="AG30" s="98">
        <v>787.0572802798426</v>
      </c>
      <c r="AH30" s="98">
        <v>240.4897245299519</v>
      </c>
      <c r="AI30" s="100">
        <v>0.018000000000000002</v>
      </c>
      <c r="AJ30" s="100">
        <v>0.85044</v>
      </c>
      <c r="AK30" s="100">
        <v>0.851623</v>
      </c>
      <c r="AL30" s="100">
        <v>0.865209</v>
      </c>
      <c r="AM30" s="100">
        <v>0.640945</v>
      </c>
      <c r="AN30" s="100">
        <v>0.690909</v>
      </c>
      <c r="AO30" s="98">
        <v>2536.073458679493</v>
      </c>
      <c r="AP30" s="158">
        <v>1.209668427</v>
      </c>
      <c r="AQ30" s="100">
        <v>0.14655172413793102</v>
      </c>
      <c r="AR30" s="100">
        <v>0.5</v>
      </c>
      <c r="AS30" s="98">
        <v>502.84215128989945</v>
      </c>
      <c r="AT30" s="98">
        <v>218.62702229995628</v>
      </c>
      <c r="AU30" s="98" t="s">
        <v>660</v>
      </c>
      <c r="AV30" s="98">
        <v>459.11674682990815</v>
      </c>
      <c r="AW30" s="98">
        <v>634.0183646698732</v>
      </c>
      <c r="AX30" s="98">
        <v>437.25404459991256</v>
      </c>
      <c r="AY30" s="98">
        <v>655.8810668998689</v>
      </c>
      <c r="AZ30" s="98">
        <v>502.84215128989945</v>
      </c>
      <c r="BA30" s="100" t="s">
        <v>660</v>
      </c>
      <c r="BB30" s="100" t="s">
        <v>660</v>
      </c>
      <c r="BC30" s="100" t="s">
        <v>660</v>
      </c>
      <c r="BD30" s="158">
        <v>0.9995723724</v>
      </c>
      <c r="BE30" s="158">
        <v>1.4508819579999999</v>
      </c>
      <c r="BF30" s="162">
        <v>682</v>
      </c>
      <c r="BG30" s="162">
        <v>647</v>
      </c>
      <c r="BH30" s="162">
        <v>1098</v>
      </c>
      <c r="BI30" s="162">
        <v>635</v>
      </c>
      <c r="BJ30" s="162">
        <v>275</v>
      </c>
      <c r="BK30" s="97"/>
      <c r="BL30" s="97"/>
      <c r="BM30" s="97"/>
      <c r="BN30" s="97"/>
    </row>
    <row r="31" spans="1:66" ht="12.75">
      <c r="A31" s="79" t="s">
        <v>570</v>
      </c>
      <c r="B31" s="79" t="s">
        <v>291</v>
      </c>
      <c r="C31" s="79" t="s">
        <v>177</v>
      </c>
      <c r="D31" s="99">
        <v>13916</v>
      </c>
      <c r="E31" s="99">
        <v>2711</v>
      </c>
      <c r="F31" s="99" t="s">
        <v>396</v>
      </c>
      <c r="G31" s="99">
        <v>86</v>
      </c>
      <c r="H31" s="99">
        <v>28</v>
      </c>
      <c r="I31" s="99">
        <v>176</v>
      </c>
      <c r="J31" s="99">
        <v>1394</v>
      </c>
      <c r="K31" s="99">
        <v>12</v>
      </c>
      <c r="L31" s="99">
        <v>2596</v>
      </c>
      <c r="M31" s="99">
        <v>984</v>
      </c>
      <c r="N31" s="99">
        <v>475</v>
      </c>
      <c r="O31" s="99">
        <v>290</v>
      </c>
      <c r="P31" s="159">
        <v>290</v>
      </c>
      <c r="Q31" s="99">
        <v>38</v>
      </c>
      <c r="R31" s="99">
        <v>71</v>
      </c>
      <c r="S31" s="99">
        <v>61</v>
      </c>
      <c r="T31" s="99">
        <v>38</v>
      </c>
      <c r="U31" s="99">
        <v>14</v>
      </c>
      <c r="V31" s="99">
        <v>55</v>
      </c>
      <c r="W31" s="99">
        <v>61</v>
      </c>
      <c r="X31" s="99">
        <v>63</v>
      </c>
      <c r="Y31" s="99">
        <v>109</v>
      </c>
      <c r="Z31" s="99">
        <v>74</v>
      </c>
      <c r="AA31" s="99" t="s">
        <v>660</v>
      </c>
      <c r="AB31" s="99" t="s">
        <v>660</v>
      </c>
      <c r="AC31" s="99" t="s">
        <v>660</v>
      </c>
      <c r="AD31" s="98" t="s">
        <v>374</v>
      </c>
      <c r="AE31" s="100">
        <v>0.19481172750790457</v>
      </c>
      <c r="AF31" s="100">
        <v>0.14</v>
      </c>
      <c r="AG31" s="98">
        <v>617.993676343777</v>
      </c>
      <c r="AH31" s="98">
        <v>201.2072434607646</v>
      </c>
      <c r="AI31" s="100">
        <v>0.013000000000000001</v>
      </c>
      <c r="AJ31" s="100">
        <v>0.757197</v>
      </c>
      <c r="AK31" s="100">
        <v>0.6</v>
      </c>
      <c r="AL31" s="100">
        <v>0.77354</v>
      </c>
      <c r="AM31" s="100">
        <v>0.575775</v>
      </c>
      <c r="AN31" s="100">
        <v>0.625823</v>
      </c>
      <c r="AO31" s="98">
        <v>2083.932164415062</v>
      </c>
      <c r="AP31" s="158">
        <v>1.03447525</v>
      </c>
      <c r="AQ31" s="100">
        <v>0.1310344827586207</v>
      </c>
      <c r="AR31" s="100">
        <v>0.5352112676056338</v>
      </c>
      <c r="AS31" s="98">
        <v>438.34435182523714</v>
      </c>
      <c r="AT31" s="98">
        <v>273.0669732681805</v>
      </c>
      <c r="AU31" s="98">
        <v>100.6036217303823</v>
      </c>
      <c r="AV31" s="98">
        <v>395.2285139407876</v>
      </c>
      <c r="AW31" s="98">
        <v>438.34435182523714</v>
      </c>
      <c r="AX31" s="98">
        <v>452.7162977867203</v>
      </c>
      <c r="AY31" s="98">
        <v>783.2710549008335</v>
      </c>
      <c r="AZ31" s="98">
        <v>531.7620005748778</v>
      </c>
      <c r="BA31" s="100" t="s">
        <v>660</v>
      </c>
      <c r="BB31" s="100" t="s">
        <v>660</v>
      </c>
      <c r="BC31" s="100" t="s">
        <v>660</v>
      </c>
      <c r="BD31" s="158">
        <v>0.918828125</v>
      </c>
      <c r="BE31" s="158">
        <v>1.16065033</v>
      </c>
      <c r="BF31" s="162">
        <v>1841</v>
      </c>
      <c r="BG31" s="162">
        <v>20</v>
      </c>
      <c r="BH31" s="162">
        <v>3356</v>
      </c>
      <c r="BI31" s="162">
        <v>1709</v>
      </c>
      <c r="BJ31" s="162">
        <v>759</v>
      </c>
      <c r="BK31" s="97"/>
      <c r="BL31" s="97"/>
      <c r="BM31" s="97"/>
      <c r="BN31" s="97"/>
    </row>
    <row r="32" spans="1:66" ht="12.75">
      <c r="A32" s="79" t="s">
        <v>640</v>
      </c>
      <c r="B32" s="79" t="s">
        <v>361</v>
      </c>
      <c r="C32" s="79" t="s">
        <v>177</v>
      </c>
      <c r="D32" s="99">
        <v>3787</v>
      </c>
      <c r="E32" s="99">
        <v>697</v>
      </c>
      <c r="F32" s="99" t="s">
        <v>395</v>
      </c>
      <c r="G32" s="99">
        <v>24</v>
      </c>
      <c r="H32" s="99">
        <v>11</v>
      </c>
      <c r="I32" s="99">
        <v>30</v>
      </c>
      <c r="J32" s="99">
        <v>359</v>
      </c>
      <c r="K32" s="99" t="s">
        <v>660</v>
      </c>
      <c r="L32" s="99">
        <v>744</v>
      </c>
      <c r="M32" s="99">
        <v>312</v>
      </c>
      <c r="N32" s="99">
        <v>167</v>
      </c>
      <c r="O32" s="99">
        <v>82</v>
      </c>
      <c r="P32" s="159">
        <v>82</v>
      </c>
      <c r="Q32" s="99">
        <v>10</v>
      </c>
      <c r="R32" s="99">
        <v>15</v>
      </c>
      <c r="S32" s="99">
        <v>17</v>
      </c>
      <c r="T32" s="99">
        <v>13</v>
      </c>
      <c r="U32" s="99" t="s">
        <v>660</v>
      </c>
      <c r="V32" s="99">
        <v>15</v>
      </c>
      <c r="W32" s="99">
        <v>17</v>
      </c>
      <c r="X32" s="99">
        <v>14</v>
      </c>
      <c r="Y32" s="99">
        <v>35</v>
      </c>
      <c r="Z32" s="99">
        <v>29</v>
      </c>
      <c r="AA32" s="99" t="s">
        <v>660</v>
      </c>
      <c r="AB32" s="99" t="s">
        <v>660</v>
      </c>
      <c r="AC32" s="99" t="s">
        <v>660</v>
      </c>
      <c r="AD32" s="98" t="s">
        <v>374</v>
      </c>
      <c r="AE32" s="100">
        <v>0.18405069976234487</v>
      </c>
      <c r="AF32" s="100">
        <v>0.09</v>
      </c>
      <c r="AG32" s="98">
        <v>633.7470293108001</v>
      </c>
      <c r="AH32" s="98">
        <v>290.46738843411674</v>
      </c>
      <c r="AI32" s="100">
        <v>0.008</v>
      </c>
      <c r="AJ32" s="100">
        <v>0.72379</v>
      </c>
      <c r="AK32" s="100" t="s">
        <v>660</v>
      </c>
      <c r="AL32" s="100">
        <v>0.822099</v>
      </c>
      <c r="AM32" s="100">
        <v>0.602317</v>
      </c>
      <c r="AN32" s="100">
        <v>0.647287</v>
      </c>
      <c r="AO32" s="98">
        <v>2165.3023501452335</v>
      </c>
      <c r="AP32" s="158">
        <v>1.081500397</v>
      </c>
      <c r="AQ32" s="100">
        <v>0.12195121951219512</v>
      </c>
      <c r="AR32" s="100">
        <v>0.6666666666666666</v>
      </c>
      <c r="AS32" s="98">
        <v>448.9041457618167</v>
      </c>
      <c r="AT32" s="98">
        <v>343.2796408766834</v>
      </c>
      <c r="AU32" s="98" t="s">
        <v>660</v>
      </c>
      <c r="AV32" s="98">
        <v>396.09189331925006</v>
      </c>
      <c r="AW32" s="98">
        <v>448.9041457618167</v>
      </c>
      <c r="AX32" s="98">
        <v>369.68576709796673</v>
      </c>
      <c r="AY32" s="98">
        <v>924.2144177449168</v>
      </c>
      <c r="AZ32" s="98">
        <v>765.7776604172168</v>
      </c>
      <c r="BA32" s="100" t="s">
        <v>660</v>
      </c>
      <c r="BB32" s="100" t="s">
        <v>660</v>
      </c>
      <c r="BC32" s="100" t="s">
        <v>660</v>
      </c>
      <c r="BD32" s="158">
        <v>0.8601493834999999</v>
      </c>
      <c r="BE32" s="158">
        <v>1.3424272160000001</v>
      </c>
      <c r="BF32" s="162">
        <v>496</v>
      </c>
      <c r="BG32" s="162" t="s">
        <v>660</v>
      </c>
      <c r="BH32" s="162">
        <v>905</v>
      </c>
      <c r="BI32" s="162">
        <v>518</v>
      </c>
      <c r="BJ32" s="162">
        <v>258</v>
      </c>
      <c r="BK32" s="97"/>
      <c r="BL32" s="97"/>
      <c r="BM32" s="97"/>
      <c r="BN32" s="97"/>
    </row>
    <row r="33" spans="1:66" ht="12.75">
      <c r="A33" s="79" t="s">
        <v>631</v>
      </c>
      <c r="B33" s="79" t="s">
        <v>351</v>
      </c>
      <c r="C33" s="79" t="s">
        <v>177</v>
      </c>
      <c r="D33" s="99">
        <v>5457</v>
      </c>
      <c r="E33" s="99">
        <v>748</v>
      </c>
      <c r="F33" s="99" t="s">
        <v>395</v>
      </c>
      <c r="G33" s="99">
        <v>16</v>
      </c>
      <c r="H33" s="99">
        <v>11</v>
      </c>
      <c r="I33" s="99">
        <v>33</v>
      </c>
      <c r="J33" s="99">
        <v>477</v>
      </c>
      <c r="K33" s="99">
        <v>8</v>
      </c>
      <c r="L33" s="99">
        <v>1254</v>
      </c>
      <c r="M33" s="99">
        <v>352</v>
      </c>
      <c r="N33" s="99">
        <v>190</v>
      </c>
      <c r="O33" s="99">
        <v>42</v>
      </c>
      <c r="P33" s="159">
        <v>42</v>
      </c>
      <c r="Q33" s="99">
        <v>6</v>
      </c>
      <c r="R33" s="99">
        <v>19</v>
      </c>
      <c r="S33" s="99">
        <v>12</v>
      </c>
      <c r="T33" s="99" t="s">
        <v>660</v>
      </c>
      <c r="U33" s="99" t="s">
        <v>660</v>
      </c>
      <c r="V33" s="99">
        <v>7</v>
      </c>
      <c r="W33" s="99">
        <v>21</v>
      </c>
      <c r="X33" s="99">
        <v>16</v>
      </c>
      <c r="Y33" s="99">
        <v>26</v>
      </c>
      <c r="Z33" s="99">
        <v>39</v>
      </c>
      <c r="AA33" s="99" t="s">
        <v>660</v>
      </c>
      <c r="AB33" s="99" t="s">
        <v>660</v>
      </c>
      <c r="AC33" s="99" t="s">
        <v>660</v>
      </c>
      <c r="AD33" s="98" t="s">
        <v>374</v>
      </c>
      <c r="AE33" s="100">
        <v>0.13707165109034267</v>
      </c>
      <c r="AF33" s="100">
        <v>0.1</v>
      </c>
      <c r="AG33" s="98">
        <v>293.20139270661537</v>
      </c>
      <c r="AH33" s="98">
        <v>201.57595748579806</v>
      </c>
      <c r="AI33" s="100">
        <v>0.006</v>
      </c>
      <c r="AJ33" s="100">
        <v>0.723824</v>
      </c>
      <c r="AK33" s="100">
        <v>1</v>
      </c>
      <c r="AL33" s="100">
        <v>0.846725</v>
      </c>
      <c r="AM33" s="100">
        <v>0.585691</v>
      </c>
      <c r="AN33" s="100">
        <v>0.631229</v>
      </c>
      <c r="AO33" s="98">
        <v>769.6536558548653</v>
      </c>
      <c r="AP33" s="158">
        <v>0.4210535049</v>
      </c>
      <c r="AQ33" s="100">
        <v>0.14285714285714285</v>
      </c>
      <c r="AR33" s="100">
        <v>0.3157894736842105</v>
      </c>
      <c r="AS33" s="98">
        <v>219.90104452996152</v>
      </c>
      <c r="AT33" s="98" t="s">
        <v>660</v>
      </c>
      <c r="AU33" s="98" t="s">
        <v>660</v>
      </c>
      <c r="AV33" s="98">
        <v>128.27560930914422</v>
      </c>
      <c r="AW33" s="98">
        <v>384.82682792743265</v>
      </c>
      <c r="AX33" s="98">
        <v>293.20139270661537</v>
      </c>
      <c r="AY33" s="98">
        <v>476.4522631482499</v>
      </c>
      <c r="AZ33" s="98">
        <v>714.678394722375</v>
      </c>
      <c r="BA33" s="100" t="s">
        <v>660</v>
      </c>
      <c r="BB33" s="100" t="s">
        <v>660</v>
      </c>
      <c r="BC33" s="100" t="s">
        <v>660</v>
      </c>
      <c r="BD33" s="158">
        <v>0.3034583473</v>
      </c>
      <c r="BE33" s="158">
        <v>0.5691420363999999</v>
      </c>
      <c r="BF33" s="162">
        <v>659</v>
      </c>
      <c r="BG33" s="162">
        <v>8</v>
      </c>
      <c r="BH33" s="162">
        <v>1481</v>
      </c>
      <c r="BI33" s="162">
        <v>601</v>
      </c>
      <c r="BJ33" s="162">
        <v>301</v>
      </c>
      <c r="BK33" s="97"/>
      <c r="BL33" s="97"/>
      <c r="BM33" s="97"/>
      <c r="BN33" s="97"/>
    </row>
    <row r="34" spans="1:66" ht="12.75">
      <c r="A34" s="79" t="s">
        <v>593</v>
      </c>
      <c r="B34" s="79" t="s">
        <v>314</v>
      </c>
      <c r="C34" s="79" t="s">
        <v>177</v>
      </c>
      <c r="D34" s="99">
        <v>4496</v>
      </c>
      <c r="E34" s="99">
        <v>640</v>
      </c>
      <c r="F34" s="99" t="s">
        <v>396</v>
      </c>
      <c r="G34" s="99">
        <v>24</v>
      </c>
      <c r="H34" s="99">
        <v>14</v>
      </c>
      <c r="I34" s="99">
        <v>55</v>
      </c>
      <c r="J34" s="99">
        <v>326</v>
      </c>
      <c r="K34" s="99" t="s">
        <v>660</v>
      </c>
      <c r="L34" s="99">
        <v>880</v>
      </c>
      <c r="M34" s="99">
        <v>195</v>
      </c>
      <c r="N34" s="99">
        <v>90</v>
      </c>
      <c r="O34" s="99">
        <v>132</v>
      </c>
      <c r="P34" s="159">
        <v>132</v>
      </c>
      <c r="Q34" s="99">
        <v>8</v>
      </c>
      <c r="R34" s="99">
        <v>18</v>
      </c>
      <c r="S34" s="99">
        <v>25</v>
      </c>
      <c r="T34" s="99">
        <v>16</v>
      </c>
      <c r="U34" s="99">
        <v>12</v>
      </c>
      <c r="V34" s="99">
        <v>21</v>
      </c>
      <c r="W34" s="99">
        <v>24</v>
      </c>
      <c r="X34" s="99">
        <v>23</v>
      </c>
      <c r="Y34" s="99">
        <v>55</v>
      </c>
      <c r="Z34" s="99">
        <v>37</v>
      </c>
      <c r="AA34" s="99" t="s">
        <v>660</v>
      </c>
      <c r="AB34" s="99" t="s">
        <v>660</v>
      </c>
      <c r="AC34" s="99" t="s">
        <v>660</v>
      </c>
      <c r="AD34" s="98" t="s">
        <v>374</v>
      </c>
      <c r="AE34" s="100">
        <v>0.1423487544483986</v>
      </c>
      <c r="AF34" s="100">
        <v>0.17</v>
      </c>
      <c r="AG34" s="98">
        <v>533.8078291814946</v>
      </c>
      <c r="AH34" s="98">
        <v>311.38790035587186</v>
      </c>
      <c r="AI34" s="100">
        <v>0.012</v>
      </c>
      <c r="AJ34" s="100">
        <v>0.726058</v>
      </c>
      <c r="AK34" s="100" t="s">
        <v>660</v>
      </c>
      <c r="AL34" s="100">
        <v>0.840497</v>
      </c>
      <c r="AM34" s="100">
        <v>0.449309</v>
      </c>
      <c r="AN34" s="100">
        <v>0.491803</v>
      </c>
      <c r="AO34" s="98">
        <v>2935.943060498221</v>
      </c>
      <c r="AP34" s="158">
        <v>1.7497563170000001</v>
      </c>
      <c r="AQ34" s="100">
        <v>0.06060606060606061</v>
      </c>
      <c r="AR34" s="100">
        <v>0.4444444444444444</v>
      </c>
      <c r="AS34" s="98">
        <v>556.0498220640569</v>
      </c>
      <c r="AT34" s="98">
        <v>355.87188612099646</v>
      </c>
      <c r="AU34" s="98">
        <v>266.9039145907473</v>
      </c>
      <c r="AV34" s="98">
        <v>467.0818505338078</v>
      </c>
      <c r="AW34" s="98">
        <v>533.8078291814946</v>
      </c>
      <c r="AX34" s="98">
        <v>511.56583629893237</v>
      </c>
      <c r="AY34" s="98">
        <v>1223.3096085409252</v>
      </c>
      <c r="AZ34" s="98">
        <v>822.9537366548043</v>
      </c>
      <c r="BA34" s="100" t="s">
        <v>660</v>
      </c>
      <c r="BB34" s="100" t="s">
        <v>660</v>
      </c>
      <c r="BC34" s="100" t="s">
        <v>660</v>
      </c>
      <c r="BD34" s="158">
        <v>1.4640066529999998</v>
      </c>
      <c r="BE34" s="158">
        <v>2.074987793</v>
      </c>
      <c r="BF34" s="162">
        <v>449</v>
      </c>
      <c r="BG34" s="162" t="s">
        <v>660</v>
      </c>
      <c r="BH34" s="162">
        <v>1047</v>
      </c>
      <c r="BI34" s="162">
        <v>434</v>
      </c>
      <c r="BJ34" s="162">
        <v>183</v>
      </c>
      <c r="BK34" s="97"/>
      <c r="BL34" s="97"/>
      <c r="BM34" s="97"/>
      <c r="BN34" s="97"/>
    </row>
    <row r="35" spans="1:66" ht="12.75">
      <c r="A35" s="79" t="s">
        <v>612</v>
      </c>
      <c r="B35" s="79" t="s">
        <v>333</v>
      </c>
      <c r="C35" s="79" t="s">
        <v>177</v>
      </c>
      <c r="D35" s="99">
        <v>4371</v>
      </c>
      <c r="E35" s="99">
        <v>692</v>
      </c>
      <c r="F35" s="99" t="s">
        <v>396</v>
      </c>
      <c r="G35" s="99">
        <v>16</v>
      </c>
      <c r="H35" s="99">
        <v>10</v>
      </c>
      <c r="I35" s="99">
        <v>54</v>
      </c>
      <c r="J35" s="99">
        <v>388</v>
      </c>
      <c r="K35" s="99">
        <v>6</v>
      </c>
      <c r="L35" s="99">
        <v>867</v>
      </c>
      <c r="M35" s="99">
        <v>272</v>
      </c>
      <c r="N35" s="99">
        <v>131</v>
      </c>
      <c r="O35" s="99">
        <v>47</v>
      </c>
      <c r="P35" s="159">
        <v>47</v>
      </c>
      <c r="Q35" s="99">
        <v>7</v>
      </c>
      <c r="R35" s="99">
        <v>15</v>
      </c>
      <c r="S35" s="99">
        <v>15</v>
      </c>
      <c r="T35" s="99">
        <v>9</v>
      </c>
      <c r="U35" s="99" t="s">
        <v>660</v>
      </c>
      <c r="V35" s="99" t="s">
        <v>660</v>
      </c>
      <c r="W35" s="99">
        <v>14</v>
      </c>
      <c r="X35" s="99">
        <v>14</v>
      </c>
      <c r="Y35" s="99">
        <v>23</v>
      </c>
      <c r="Z35" s="99">
        <v>19</v>
      </c>
      <c r="AA35" s="99" t="s">
        <v>660</v>
      </c>
      <c r="AB35" s="99" t="s">
        <v>660</v>
      </c>
      <c r="AC35" s="99" t="s">
        <v>660</v>
      </c>
      <c r="AD35" s="98" t="s">
        <v>374</v>
      </c>
      <c r="AE35" s="100">
        <v>0.15831617478837795</v>
      </c>
      <c r="AF35" s="100">
        <v>0.17</v>
      </c>
      <c r="AG35" s="98">
        <v>366.0489590482727</v>
      </c>
      <c r="AH35" s="98">
        <v>228.78059940517045</v>
      </c>
      <c r="AI35" s="100">
        <v>0.012</v>
      </c>
      <c r="AJ35" s="100">
        <v>0.768317</v>
      </c>
      <c r="AK35" s="100">
        <v>0.666667</v>
      </c>
      <c r="AL35" s="100">
        <v>0.840931</v>
      </c>
      <c r="AM35" s="100">
        <v>0.53125</v>
      </c>
      <c r="AN35" s="100">
        <v>0.587444</v>
      </c>
      <c r="AO35" s="98">
        <v>1075.268817204301</v>
      </c>
      <c r="AP35" s="158">
        <v>0.5942382813</v>
      </c>
      <c r="AQ35" s="100">
        <v>0.14893617021276595</v>
      </c>
      <c r="AR35" s="100">
        <v>0.4666666666666667</v>
      </c>
      <c r="AS35" s="98">
        <v>343.17089910775564</v>
      </c>
      <c r="AT35" s="98">
        <v>205.9025394646534</v>
      </c>
      <c r="AU35" s="98" t="s">
        <v>660</v>
      </c>
      <c r="AV35" s="98" t="s">
        <v>660</v>
      </c>
      <c r="AW35" s="98">
        <v>320.29283916723864</v>
      </c>
      <c r="AX35" s="98">
        <v>320.29283916723864</v>
      </c>
      <c r="AY35" s="98">
        <v>526.195378631892</v>
      </c>
      <c r="AZ35" s="98">
        <v>434.68313886982384</v>
      </c>
      <c r="BA35" s="100" t="s">
        <v>660</v>
      </c>
      <c r="BB35" s="100" t="s">
        <v>660</v>
      </c>
      <c r="BC35" s="100" t="s">
        <v>660</v>
      </c>
      <c r="BD35" s="158">
        <v>0.4366239166</v>
      </c>
      <c r="BE35" s="158">
        <v>0.7902109528</v>
      </c>
      <c r="BF35" s="162">
        <v>505</v>
      </c>
      <c r="BG35" s="162">
        <v>9</v>
      </c>
      <c r="BH35" s="162">
        <v>1031</v>
      </c>
      <c r="BI35" s="162">
        <v>512</v>
      </c>
      <c r="BJ35" s="162">
        <v>223</v>
      </c>
      <c r="BK35" s="97"/>
      <c r="BL35" s="97"/>
      <c r="BM35" s="97"/>
      <c r="BN35" s="97"/>
    </row>
    <row r="36" spans="1:66" ht="12.75">
      <c r="A36" s="79" t="s">
        <v>646</v>
      </c>
      <c r="B36" s="79" t="s">
        <v>367</v>
      </c>
      <c r="C36" s="79" t="s">
        <v>177</v>
      </c>
      <c r="D36" s="99">
        <v>3696</v>
      </c>
      <c r="E36" s="99">
        <v>544</v>
      </c>
      <c r="F36" s="99" t="s">
        <v>396</v>
      </c>
      <c r="G36" s="99">
        <v>30</v>
      </c>
      <c r="H36" s="99">
        <v>6</v>
      </c>
      <c r="I36" s="99">
        <v>52</v>
      </c>
      <c r="J36" s="99">
        <v>313</v>
      </c>
      <c r="K36" s="99">
        <v>18</v>
      </c>
      <c r="L36" s="99">
        <v>775</v>
      </c>
      <c r="M36" s="99">
        <v>207</v>
      </c>
      <c r="N36" s="99">
        <v>106</v>
      </c>
      <c r="O36" s="99">
        <v>37</v>
      </c>
      <c r="P36" s="159">
        <v>37</v>
      </c>
      <c r="Q36" s="99" t="s">
        <v>660</v>
      </c>
      <c r="R36" s="99">
        <v>11</v>
      </c>
      <c r="S36" s="99">
        <v>9</v>
      </c>
      <c r="T36" s="99" t="s">
        <v>660</v>
      </c>
      <c r="U36" s="99" t="s">
        <v>660</v>
      </c>
      <c r="V36" s="99">
        <v>11</v>
      </c>
      <c r="W36" s="99">
        <v>17</v>
      </c>
      <c r="X36" s="99">
        <v>8</v>
      </c>
      <c r="Y36" s="99">
        <v>23</v>
      </c>
      <c r="Z36" s="99">
        <v>16</v>
      </c>
      <c r="AA36" s="99" t="s">
        <v>660</v>
      </c>
      <c r="AB36" s="99" t="s">
        <v>660</v>
      </c>
      <c r="AC36" s="99" t="s">
        <v>660</v>
      </c>
      <c r="AD36" s="98" t="s">
        <v>374</v>
      </c>
      <c r="AE36" s="100">
        <v>0.1471861471861472</v>
      </c>
      <c r="AF36" s="100">
        <v>0.14</v>
      </c>
      <c r="AG36" s="98">
        <v>811.6883116883117</v>
      </c>
      <c r="AH36" s="98">
        <v>162.33766233766235</v>
      </c>
      <c r="AI36" s="100">
        <v>0.013999999999999999</v>
      </c>
      <c r="AJ36" s="100">
        <v>0.747017</v>
      </c>
      <c r="AK36" s="100">
        <v>0.818182</v>
      </c>
      <c r="AL36" s="100">
        <v>0.862069</v>
      </c>
      <c r="AM36" s="100">
        <v>0.559459</v>
      </c>
      <c r="AN36" s="100">
        <v>0.579235</v>
      </c>
      <c r="AO36" s="98">
        <v>1001.0822510822511</v>
      </c>
      <c r="AP36" s="158">
        <v>0.567742424</v>
      </c>
      <c r="AQ36" s="100" t="s">
        <v>660</v>
      </c>
      <c r="AR36" s="100" t="s">
        <v>660</v>
      </c>
      <c r="AS36" s="98">
        <v>243.5064935064935</v>
      </c>
      <c r="AT36" s="98" t="s">
        <v>660</v>
      </c>
      <c r="AU36" s="98" t="s">
        <v>660</v>
      </c>
      <c r="AV36" s="98">
        <v>297.6190476190476</v>
      </c>
      <c r="AW36" s="98">
        <v>459.95670995671</v>
      </c>
      <c r="AX36" s="98">
        <v>216.45021645021646</v>
      </c>
      <c r="AY36" s="98">
        <v>622.2943722943722</v>
      </c>
      <c r="AZ36" s="98">
        <v>432.9004329004329</v>
      </c>
      <c r="BA36" s="100" t="s">
        <v>660</v>
      </c>
      <c r="BB36" s="100" t="s">
        <v>660</v>
      </c>
      <c r="BC36" s="100" t="s">
        <v>660</v>
      </c>
      <c r="BD36" s="158">
        <v>0.399743042</v>
      </c>
      <c r="BE36" s="158">
        <v>0.782558136</v>
      </c>
      <c r="BF36" s="162">
        <v>419</v>
      </c>
      <c r="BG36" s="162">
        <v>22</v>
      </c>
      <c r="BH36" s="162">
        <v>899</v>
      </c>
      <c r="BI36" s="162">
        <v>370</v>
      </c>
      <c r="BJ36" s="162">
        <v>183</v>
      </c>
      <c r="BK36" s="97"/>
      <c r="BL36" s="97"/>
      <c r="BM36" s="97"/>
      <c r="BN36" s="97"/>
    </row>
    <row r="37" spans="1:66" ht="12.75">
      <c r="A37" s="79" t="s">
        <v>590</v>
      </c>
      <c r="B37" s="79" t="s">
        <v>311</v>
      </c>
      <c r="C37" s="79" t="s">
        <v>177</v>
      </c>
      <c r="D37" s="99">
        <v>11636</v>
      </c>
      <c r="E37" s="99">
        <v>2428</v>
      </c>
      <c r="F37" s="99" t="s">
        <v>395</v>
      </c>
      <c r="G37" s="99">
        <v>63</v>
      </c>
      <c r="H37" s="99">
        <v>34</v>
      </c>
      <c r="I37" s="99">
        <v>167</v>
      </c>
      <c r="J37" s="99">
        <v>1128</v>
      </c>
      <c r="K37" s="99">
        <v>9</v>
      </c>
      <c r="L37" s="99">
        <v>2260</v>
      </c>
      <c r="M37" s="99">
        <v>827</v>
      </c>
      <c r="N37" s="99">
        <v>435</v>
      </c>
      <c r="O37" s="99">
        <v>289</v>
      </c>
      <c r="P37" s="159">
        <v>289</v>
      </c>
      <c r="Q37" s="99">
        <v>36</v>
      </c>
      <c r="R37" s="99">
        <v>65</v>
      </c>
      <c r="S37" s="99">
        <v>41</v>
      </c>
      <c r="T37" s="99">
        <v>44</v>
      </c>
      <c r="U37" s="99">
        <v>8</v>
      </c>
      <c r="V37" s="99">
        <v>59</v>
      </c>
      <c r="W37" s="99">
        <v>100</v>
      </c>
      <c r="X37" s="99">
        <v>53</v>
      </c>
      <c r="Y37" s="99">
        <v>153</v>
      </c>
      <c r="Z37" s="99">
        <v>70</v>
      </c>
      <c r="AA37" s="99" t="s">
        <v>660</v>
      </c>
      <c r="AB37" s="99" t="s">
        <v>660</v>
      </c>
      <c r="AC37" s="99" t="s">
        <v>660</v>
      </c>
      <c r="AD37" s="98" t="s">
        <v>374</v>
      </c>
      <c r="AE37" s="100">
        <v>0.20866277071158473</v>
      </c>
      <c r="AF37" s="100">
        <v>0.12</v>
      </c>
      <c r="AG37" s="98">
        <v>541.4231694740461</v>
      </c>
      <c r="AH37" s="98">
        <v>292.19663114472326</v>
      </c>
      <c r="AI37" s="100">
        <v>0.013999999999999999</v>
      </c>
      <c r="AJ37" s="100">
        <v>0.769966</v>
      </c>
      <c r="AK37" s="100">
        <v>0.642857</v>
      </c>
      <c r="AL37" s="100">
        <v>0.803698</v>
      </c>
      <c r="AM37" s="100">
        <v>0.608536</v>
      </c>
      <c r="AN37" s="100">
        <v>0.649254</v>
      </c>
      <c r="AO37" s="98">
        <v>2483.6713647301476</v>
      </c>
      <c r="AP37" s="158">
        <v>1.2031004330000001</v>
      </c>
      <c r="AQ37" s="100">
        <v>0.1245674740484429</v>
      </c>
      <c r="AR37" s="100">
        <v>0.5538461538461539</v>
      </c>
      <c r="AS37" s="98">
        <v>352.35476108628393</v>
      </c>
      <c r="AT37" s="98">
        <v>378.1368167755242</v>
      </c>
      <c r="AU37" s="98">
        <v>68.75214850464077</v>
      </c>
      <c r="AV37" s="98">
        <v>507.04709522172567</v>
      </c>
      <c r="AW37" s="98">
        <v>859.4018563080097</v>
      </c>
      <c r="AX37" s="98">
        <v>455.4829838432451</v>
      </c>
      <c r="AY37" s="98">
        <v>1314.8848401512548</v>
      </c>
      <c r="AZ37" s="98">
        <v>601.5812994156067</v>
      </c>
      <c r="BA37" s="100" t="s">
        <v>660</v>
      </c>
      <c r="BB37" s="100" t="s">
        <v>660</v>
      </c>
      <c r="BC37" s="100" t="s">
        <v>660</v>
      </c>
      <c r="BD37" s="158">
        <v>1.068376694</v>
      </c>
      <c r="BE37" s="158">
        <v>1.3501110840000001</v>
      </c>
      <c r="BF37" s="162">
        <v>1465</v>
      </c>
      <c r="BG37" s="162">
        <v>14</v>
      </c>
      <c r="BH37" s="162">
        <v>2812</v>
      </c>
      <c r="BI37" s="162">
        <v>1359</v>
      </c>
      <c r="BJ37" s="162">
        <v>670</v>
      </c>
      <c r="BK37" s="97"/>
      <c r="BL37" s="97"/>
      <c r="BM37" s="97"/>
      <c r="BN37" s="97"/>
    </row>
    <row r="38" spans="1:66" ht="12.75">
      <c r="A38" s="79" t="s">
        <v>636</v>
      </c>
      <c r="B38" s="79" t="s">
        <v>357</v>
      </c>
      <c r="C38" s="79" t="s">
        <v>177</v>
      </c>
      <c r="D38" s="99">
        <v>3029</v>
      </c>
      <c r="E38" s="99">
        <v>282</v>
      </c>
      <c r="F38" s="99" t="s">
        <v>396</v>
      </c>
      <c r="G38" s="99">
        <v>10</v>
      </c>
      <c r="H38" s="99">
        <v>6</v>
      </c>
      <c r="I38" s="99">
        <v>35</v>
      </c>
      <c r="J38" s="99">
        <v>257</v>
      </c>
      <c r="K38" s="99" t="s">
        <v>660</v>
      </c>
      <c r="L38" s="99">
        <v>614</v>
      </c>
      <c r="M38" s="99">
        <v>131</v>
      </c>
      <c r="N38" s="99">
        <v>64</v>
      </c>
      <c r="O38" s="99">
        <v>82</v>
      </c>
      <c r="P38" s="159">
        <v>82</v>
      </c>
      <c r="Q38" s="99" t="s">
        <v>660</v>
      </c>
      <c r="R38" s="99">
        <v>16</v>
      </c>
      <c r="S38" s="99">
        <v>28</v>
      </c>
      <c r="T38" s="99">
        <v>14</v>
      </c>
      <c r="U38" s="99" t="s">
        <v>660</v>
      </c>
      <c r="V38" s="99">
        <v>12</v>
      </c>
      <c r="W38" s="99">
        <v>20</v>
      </c>
      <c r="X38" s="99">
        <v>22</v>
      </c>
      <c r="Y38" s="99">
        <v>36</v>
      </c>
      <c r="Z38" s="99">
        <v>15</v>
      </c>
      <c r="AA38" s="99" t="s">
        <v>660</v>
      </c>
      <c r="AB38" s="99" t="s">
        <v>660</v>
      </c>
      <c r="AC38" s="99" t="s">
        <v>660</v>
      </c>
      <c r="AD38" s="98" t="s">
        <v>374</v>
      </c>
      <c r="AE38" s="100">
        <v>0.0931000330141961</v>
      </c>
      <c r="AF38" s="100">
        <v>0.15</v>
      </c>
      <c r="AG38" s="98">
        <v>330.1419610432486</v>
      </c>
      <c r="AH38" s="98">
        <v>198.08517662594915</v>
      </c>
      <c r="AI38" s="100">
        <v>0.012</v>
      </c>
      <c r="AJ38" s="100">
        <v>0.771772</v>
      </c>
      <c r="AK38" s="100" t="s">
        <v>660</v>
      </c>
      <c r="AL38" s="100">
        <v>0.82861</v>
      </c>
      <c r="AM38" s="100">
        <v>0.557447</v>
      </c>
      <c r="AN38" s="100">
        <v>0.615385</v>
      </c>
      <c r="AO38" s="98">
        <v>2707.1640805546385</v>
      </c>
      <c r="AP38" s="158">
        <v>1.721616211</v>
      </c>
      <c r="AQ38" s="100" t="s">
        <v>660</v>
      </c>
      <c r="AR38" s="100" t="s">
        <v>660</v>
      </c>
      <c r="AS38" s="98">
        <v>924.397490921096</v>
      </c>
      <c r="AT38" s="98">
        <v>462.198745460548</v>
      </c>
      <c r="AU38" s="98" t="s">
        <v>660</v>
      </c>
      <c r="AV38" s="98">
        <v>396.1703532518983</v>
      </c>
      <c r="AW38" s="98">
        <v>660.2839220864972</v>
      </c>
      <c r="AX38" s="98">
        <v>726.312314295147</v>
      </c>
      <c r="AY38" s="98">
        <v>1188.511059755695</v>
      </c>
      <c r="AZ38" s="98">
        <v>495.2129415648729</v>
      </c>
      <c r="BA38" s="100" t="s">
        <v>660</v>
      </c>
      <c r="BB38" s="100" t="s">
        <v>660</v>
      </c>
      <c r="BC38" s="100" t="s">
        <v>660</v>
      </c>
      <c r="BD38" s="158">
        <v>1.369252472</v>
      </c>
      <c r="BE38" s="158">
        <v>2.136979675</v>
      </c>
      <c r="BF38" s="162">
        <v>333</v>
      </c>
      <c r="BG38" s="162" t="s">
        <v>660</v>
      </c>
      <c r="BH38" s="162">
        <v>741</v>
      </c>
      <c r="BI38" s="162">
        <v>235</v>
      </c>
      <c r="BJ38" s="162">
        <v>104</v>
      </c>
      <c r="BK38" s="97"/>
      <c r="BL38" s="97"/>
      <c r="BM38" s="97"/>
      <c r="BN38" s="97"/>
    </row>
    <row r="39" spans="1:66" ht="12.75">
      <c r="A39" s="79" t="s">
        <v>638</v>
      </c>
      <c r="B39" s="79" t="s">
        <v>359</v>
      </c>
      <c r="C39" s="79" t="s">
        <v>177</v>
      </c>
      <c r="D39" s="99">
        <v>3572</v>
      </c>
      <c r="E39" s="99">
        <v>671</v>
      </c>
      <c r="F39" s="99" t="s">
        <v>397</v>
      </c>
      <c r="G39" s="99">
        <v>28</v>
      </c>
      <c r="H39" s="99">
        <v>7</v>
      </c>
      <c r="I39" s="99">
        <v>83</v>
      </c>
      <c r="J39" s="99">
        <v>477</v>
      </c>
      <c r="K39" s="99">
        <v>10</v>
      </c>
      <c r="L39" s="99">
        <v>809</v>
      </c>
      <c r="M39" s="99">
        <v>361</v>
      </c>
      <c r="N39" s="99">
        <v>175</v>
      </c>
      <c r="O39" s="99">
        <v>81</v>
      </c>
      <c r="P39" s="159">
        <v>81</v>
      </c>
      <c r="Q39" s="99">
        <v>8</v>
      </c>
      <c r="R39" s="99">
        <v>20</v>
      </c>
      <c r="S39" s="99">
        <v>26</v>
      </c>
      <c r="T39" s="99">
        <v>13</v>
      </c>
      <c r="U39" s="99" t="s">
        <v>660</v>
      </c>
      <c r="V39" s="99">
        <v>19</v>
      </c>
      <c r="W39" s="99">
        <v>15</v>
      </c>
      <c r="X39" s="99">
        <v>25</v>
      </c>
      <c r="Y39" s="99">
        <v>24</v>
      </c>
      <c r="Z39" s="99">
        <v>11</v>
      </c>
      <c r="AA39" s="99" t="s">
        <v>660</v>
      </c>
      <c r="AB39" s="99" t="s">
        <v>660</v>
      </c>
      <c r="AC39" s="99" t="s">
        <v>660</v>
      </c>
      <c r="AD39" s="98" t="s">
        <v>374</v>
      </c>
      <c r="AE39" s="100">
        <v>0.18784994400895857</v>
      </c>
      <c r="AF39" s="100">
        <v>0.07</v>
      </c>
      <c r="AG39" s="98">
        <v>783.8745800671893</v>
      </c>
      <c r="AH39" s="98">
        <v>195.96864501679732</v>
      </c>
      <c r="AI39" s="100">
        <v>0.023</v>
      </c>
      <c r="AJ39" s="100">
        <v>0.797659</v>
      </c>
      <c r="AK39" s="100">
        <v>0.769231</v>
      </c>
      <c r="AL39" s="100">
        <v>0.888035</v>
      </c>
      <c r="AM39" s="100">
        <v>0.633333</v>
      </c>
      <c r="AN39" s="100">
        <v>0.7</v>
      </c>
      <c r="AO39" s="98">
        <v>2267.637178051512</v>
      </c>
      <c r="AP39" s="158">
        <v>1.079645767</v>
      </c>
      <c r="AQ39" s="100">
        <v>0.09876543209876543</v>
      </c>
      <c r="AR39" s="100">
        <v>0.4</v>
      </c>
      <c r="AS39" s="98">
        <v>727.8835386338186</v>
      </c>
      <c r="AT39" s="98">
        <v>363.9417693169093</v>
      </c>
      <c r="AU39" s="98" t="s">
        <v>660</v>
      </c>
      <c r="AV39" s="98">
        <v>531.9148936170212</v>
      </c>
      <c r="AW39" s="98">
        <v>419.93281075027994</v>
      </c>
      <c r="AX39" s="98">
        <v>699.8880179171333</v>
      </c>
      <c r="AY39" s="98">
        <v>671.8924972004479</v>
      </c>
      <c r="AZ39" s="98">
        <v>307.95072788353866</v>
      </c>
      <c r="BA39" s="100" t="s">
        <v>660</v>
      </c>
      <c r="BB39" s="100" t="s">
        <v>660</v>
      </c>
      <c r="BC39" s="100" t="s">
        <v>660</v>
      </c>
      <c r="BD39" s="158">
        <v>0.8573945618000001</v>
      </c>
      <c r="BE39" s="158">
        <v>1.341901093</v>
      </c>
      <c r="BF39" s="162">
        <v>598</v>
      </c>
      <c r="BG39" s="162">
        <v>13</v>
      </c>
      <c r="BH39" s="162">
        <v>911</v>
      </c>
      <c r="BI39" s="162">
        <v>570</v>
      </c>
      <c r="BJ39" s="162">
        <v>250</v>
      </c>
      <c r="BK39" s="97"/>
      <c r="BL39" s="97"/>
      <c r="BM39" s="97"/>
      <c r="BN39" s="97"/>
    </row>
    <row r="40" spans="1:66" ht="12.75">
      <c r="A40" s="79" t="s">
        <v>600</v>
      </c>
      <c r="B40" s="79" t="s">
        <v>321</v>
      </c>
      <c r="C40" s="79" t="s">
        <v>177</v>
      </c>
      <c r="D40" s="99">
        <v>8016</v>
      </c>
      <c r="E40" s="99">
        <v>1498</v>
      </c>
      <c r="F40" s="99" t="s">
        <v>396</v>
      </c>
      <c r="G40" s="99">
        <v>58</v>
      </c>
      <c r="H40" s="99">
        <v>29</v>
      </c>
      <c r="I40" s="99">
        <v>117</v>
      </c>
      <c r="J40" s="99">
        <v>818</v>
      </c>
      <c r="K40" s="99" t="s">
        <v>660</v>
      </c>
      <c r="L40" s="99">
        <v>1639</v>
      </c>
      <c r="M40" s="99">
        <v>610</v>
      </c>
      <c r="N40" s="99">
        <v>292</v>
      </c>
      <c r="O40" s="99">
        <v>178</v>
      </c>
      <c r="P40" s="159">
        <v>178</v>
      </c>
      <c r="Q40" s="99">
        <v>21</v>
      </c>
      <c r="R40" s="99">
        <v>41</v>
      </c>
      <c r="S40" s="99">
        <v>51</v>
      </c>
      <c r="T40" s="99">
        <v>22</v>
      </c>
      <c r="U40" s="99" t="s">
        <v>660</v>
      </c>
      <c r="V40" s="99">
        <v>27</v>
      </c>
      <c r="W40" s="99">
        <v>33</v>
      </c>
      <c r="X40" s="99">
        <v>34</v>
      </c>
      <c r="Y40" s="99">
        <v>70</v>
      </c>
      <c r="Z40" s="99">
        <v>55</v>
      </c>
      <c r="AA40" s="99" t="s">
        <v>660</v>
      </c>
      <c r="AB40" s="99" t="s">
        <v>660</v>
      </c>
      <c r="AC40" s="99" t="s">
        <v>660</v>
      </c>
      <c r="AD40" s="98" t="s">
        <v>374</v>
      </c>
      <c r="AE40" s="100">
        <v>0.18687624750499002</v>
      </c>
      <c r="AF40" s="100">
        <v>0.17</v>
      </c>
      <c r="AG40" s="98">
        <v>723.5528942115768</v>
      </c>
      <c r="AH40" s="98">
        <v>361.7764471057884</v>
      </c>
      <c r="AI40" s="100">
        <v>0.015</v>
      </c>
      <c r="AJ40" s="100">
        <v>0.753917</v>
      </c>
      <c r="AK40" s="100" t="s">
        <v>660</v>
      </c>
      <c r="AL40" s="100">
        <v>0.840513</v>
      </c>
      <c r="AM40" s="100">
        <v>0.573848</v>
      </c>
      <c r="AN40" s="100">
        <v>0.622601</v>
      </c>
      <c r="AO40" s="98">
        <v>2220.558882235529</v>
      </c>
      <c r="AP40" s="158">
        <v>1.129202499</v>
      </c>
      <c r="AQ40" s="100">
        <v>0.11797752808988764</v>
      </c>
      <c r="AR40" s="100">
        <v>0.5121951219512195</v>
      </c>
      <c r="AS40" s="98">
        <v>636.2275449101796</v>
      </c>
      <c r="AT40" s="98">
        <v>274.4510978043912</v>
      </c>
      <c r="AU40" s="98" t="s">
        <v>660</v>
      </c>
      <c r="AV40" s="98">
        <v>336.8263473053892</v>
      </c>
      <c r="AW40" s="98">
        <v>411.67664670658684</v>
      </c>
      <c r="AX40" s="98">
        <v>424.1516966067864</v>
      </c>
      <c r="AY40" s="98">
        <v>873.253493013972</v>
      </c>
      <c r="AZ40" s="98">
        <v>686.127744510978</v>
      </c>
      <c r="BA40" s="100" t="s">
        <v>660</v>
      </c>
      <c r="BB40" s="100" t="s">
        <v>660</v>
      </c>
      <c r="BC40" s="100" t="s">
        <v>660</v>
      </c>
      <c r="BD40" s="158">
        <v>0.9694042206</v>
      </c>
      <c r="BE40" s="158">
        <v>1.307822418</v>
      </c>
      <c r="BF40" s="162">
        <v>1085</v>
      </c>
      <c r="BG40" s="162" t="s">
        <v>660</v>
      </c>
      <c r="BH40" s="162">
        <v>1950</v>
      </c>
      <c r="BI40" s="162">
        <v>1063</v>
      </c>
      <c r="BJ40" s="162">
        <v>469</v>
      </c>
      <c r="BK40" s="97"/>
      <c r="BL40" s="97"/>
      <c r="BM40" s="97"/>
      <c r="BN40" s="97"/>
    </row>
    <row r="41" spans="1:66" ht="12.75">
      <c r="A41" s="79" t="s">
        <v>635</v>
      </c>
      <c r="B41" s="79" t="s">
        <v>356</v>
      </c>
      <c r="C41" s="79" t="s">
        <v>177</v>
      </c>
      <c r="D41" s="99">
        <v>4213</v>
      </c>
      <c r="E41" s="99">
        <v>651</v>
      </c>
      <c r="F41" s="99" t="s">
        <v>395</v>
      </c>
      <c r="G41" s="99" t="s">
        <v>660</v>
      </c>
      <c r="H41" s="99">
        <v>7</v>
      </c>
      <c r="I41" s="99">
        <v>68</v>
      </c>
      <c r="J41" s="99">
        <v>455</v>
      </c>
      <c r="K41" s="99">
        <v>451</v>
      </c>
      <c r="L41" s="99">
        <v>943</v>
      </c>
      <c r="M41" s="99">
        <v>318</v>
      </c>
      <c r="N41" s="99">
        <v>157</v>
      </c>
      <c r="O41" s="99">
        <v>103</v>
      </c>
      <c r="P41" s="159">
        <v>103</v>
      </c>
      <c r="Q41" s="99">
        <v>7</v>
      </c>
      <c r="R41" s="99">
        <v>18</v>
      </c>
      <c r="S41" s="99">
        <v>26</v>
      </c>
      <c r="T41" s="99">
        <v>15</v>
      </c>
      <c r="U41" s="99" t="s">
        <v>660</v>
      </c>
      <c r="V41" s="99">
        <v>29</v>
      </c>
      <c r="W41" s="99">
        <v>21</v>
      </c>
      <c r="X41" s="99">
        <v>17</v>
      </c>
      <c r="Y41" s="99">
        <v>34</v>
      </c>
      <c r="Z41" s="99">
        <v>20</v>
      </c>
      <c r="AA41" s="99" t="s">
        <v>660</v>
      </c>
      <c r="AB41" s="99" t="s">
        <v>660</v>
      </c>
      <c r="AC41" s="99" t="s">
        <v>660</v>
      </c>
      <c r="AD41" s="98" t="s">
        <v>374</v>
      </c>
      <c r="AE41" s="100">
        <v>0.1545217184903869</v>
      </c>
      <c r="AF41" s="100">
        <v>0.12</v>
      </c>
      <c r="AG41" s="98" t="s">
        <v>660</v>
      </c>
      <c r="AH41" s="98">
        <v>166.1523854735343</v>
      </c>
      <c r="AI41" s="100">
        <v>0.016</v>
      </c>
      <c r="AJ41" s="100">
        <v>0.787197</v>
      </c>
      <c r="AK41" s="100">
        <v>0.826007</v>
      </c>
      <c r="AL41" s="100">
        <v>0.87558</v>
      </c>
      <c r="AM41" s="100">
        <v>0.584559</v>
      </c>
      <c r="AN41" s="100">
        <v>0.651452</v>
      </c>
      <c r="AO41" s="98">
        <v>2444.813671967719</v>
      </c>
      <c r="AP41" s="158">
        <v>1.3093067930000002</v>
      </c>
      <c r="AQ41" s="100">
        <v>0.06796116504854369</v>
      </c>
      <c r="AR41" s="100">
        <v>0.3888888888888889</v>
      </c>
      <c r="AS41" s="98">
        <v>617.1374317588417</v>
      </c>
      <c r="AT41" s="98">
        <v>356.04082601471634</v>
      </c>
      <c r="AU41" s="98" t="s">
        <v>660</v>
      </c>
      <c r="AV41" s="98">
        <v>688.345596961785</v>
      </c>
      <c r="AW41" s="98">
        <v>498.45715642060287</v>
      </c>
      <c r="AX41" s="98">
        <v>403.51293615001185</v>
      </c>
      <c r="AY41" s="98">
        <v>807.0258723000237</v>
      </c>
      <c r="AZ41" s="98">
        <v>474.72110135295515</v>
      </c>
      <c r="BA41" s="100" t="s">
        <v>660</v>
      </c>
      <c r="BB41" s="100" t="s">
        <v>660</v>
      </c>
      <c r="BC41" s="100" t="s">
        <v>660</v>
      </c>
      <c r="BD41" s="158">
        <v>1.068698578</v>
      </c>
      <c r="BE41" s="158">
        <v>1.587915192</v>
      </c>
      <c r="BF41" s="162">
        <v>578</v>
      </c>
      <c r="BG41" s="162">
        <v>546</v>
      </c>
      <c r="BH41" s="162">
        <v>1077</v>
      </c>
      <c r="BI41" s="162">
        <v>544</v>
      </c>
      <c r="BJ41" s="162">
        <v>241</v>
      </c>
      <c r="BK41" s="97"/>
      <c r="BL41" s="97"/>
      <c r="BM41" s="97"/>
      <c r="BN41" s="97"/>
    </row>
    <row r="42" spans="1:66" ht="12.75">
      <c r="A42" s="79" t="s">
        <v>586</v>
      </c>
      <c r="B42" s="79" t="s">
        <v>307</v>
      </c>
      <c r="C42" s="79" t="s">
        <v>177</v>
      </c>
      <c r="D42" s="99">
        <v>10781</v>
      </c>
      <c r="E42" s="99">
        <v>2774</v>
      </c>
      <c r="F42" s="99" t="s">
        <v>397</v>
      </c>
      <c r="G42" s="99">
        <v>49</v>
      </c>
      <c r="H42" s="99">
        <v>29</v>
      </c>
      <c r="I42" s="99">
        <v>244</v>
      </c>
      <c r="J42" s="99">
        <v>1508</v>
      </c>
      <c r="K42" s="99">
        <v>1432</v>
      </c>
      <c r="L42" s="99">
        <v>2124</v>
      </c>
      <c r="M42" s="99">
        <v>1145</v>
      </c>
      <c r="N42" s="99">
        <v>557</v>
      </c>
      <c r="O42" s="99">
        <v>291</v>
      </c>
      <c r="P42" s="159">
        <v>291</v>
      </c>
      <c r="Q42" s="99">
        <v>41</v>
      </c>
      <c r="R42" s="99">
        <v>76</v>
      </c>
      <c r="S42" s="99">
        <v>80</v>
      </c>
      <c r="T42" s="99">
        <v>22</v>
      </c>
      <c r="U42" s="99">
        <v>12</v>
      </c>
      <c r="V42" s="99">
        <v>57</v>
      </c>
      <c r="W42" s="99">
        <v>88</v>
      </c>
      <c r="X42" s="99">
        <v>40</v>
      </c>
      <c r="Y42" s="99">
        <v>86</v>
      </c>
      <c r="Z42" s="99">
        <v>74</v>
      </c>
      <c r="AA42" s="99" t="s">
        <v>660</v>
      </c>
      <c r="AB42" s="99" t="s">
        <v>660</v>
      </c>
      <c r="AC42" s="99" t="s">
        <v>660</v>
      </c>
      <c r="AD42" s="98" t="s">
        <v>374</v>
      </c>
      <c r="AE42" s="100">
        <v>0.25730451720619607</v>
      </c>
      <c r="AF42" s="100">
        <v>0.05</v>
      </c>
      <c r="AG42" s="98">
        <v>454.50329282997865</v>
      </c>
      <c r="AH42" s="98">
        <v>268.9917447361098</v>
      </c>
      <c r="AI42" s="100">
        <v>0.023</v>
      </c>
      <c r="AJ42" s="100">
        <v>0.882387</v>
      </c>
      <c r="AK42" s="100">
        <v>0.859544</v>
      </c>
      <c r="AL42" s="100">
        <v>0.853698</v>
      </c>
      <c r="AM42" s="100">
        <v>0.693519</v>
      </c>
      <c r="AN42" s="100">
        <v>0.707751</v>
      </c>
      <c r="AO42" s="98">
        <v>2699.1930247657915</v>
      </c>
      <c r="AP42" s="158">
        <v>1.145757294</v>
      </c>
      <c r="AQ42" s="100">
        <v>0.140893470790378</v>
      </c>
      <c r="AR42" s="100">
        <v>0.5394736842105263</v>
      </c>
      <c r="AS42" s="98">
        <v>742.0461923754754</v>
      </c>
      <c r="AT42" s="98">
        <v>204.06270290325574</v>
      </c>
      <c r="AU42" s="98">
        <v>111.3069288563213</v>
      </c>
      <c r="AV42" s="98">
        <v>528.7079120675262</v>
      </c>
      <c r="AW42" s="98">
        <v>816.250811613023</v>
      </c>
      <c r="AX42" s="98">
        <v>371.0230961877377</v>
      </c>
      <c r="AY42" s="98">
        <v>797.699656803636</v>
      </c>
      <c r="AZ42" s="98">
        <v>686.3927279473147</v>
      </c>
      <c r="BA42" s="100" t="s">
        <v>660</v>
      </c>
      <c r="BB42" s="100" t="s">
        <v>660</v>
      </c>
      <c r="BC42" s="100" t="s">
        <v>660</v>
      </c>
      <c r="BD42" s="158">
        <v>1.017883377</v>
      </c>
      <c r="BE42" s="158">
        <v>1.285251312</v>
      </c>
      <c r="BF42" s="162">
        <v>1709</v>
      </c>
      <c r="BG42" s="162">
        <v>1666</v>
      </c>
      <c r="BH42" s="162">
        <v>2488</v>
      </c>
      <c r="BI42" s="162">
        <v>1651</v>
      </c>
      <c r="BJ42" s="162">
        <v>787</v>
      </c>
      <c r="BK42" s="97"/>
      <c r="BL42" s="97"/>
      <c r="BM42" s="97"/>
      <c r="BN42" s="97"/>
    </row>
    <row r="43" spans="1:66" ht="12.75">
      <c r="A43" s="79" t="s">
        <v>652</v>
      </c>
      <c r="B43" s="79" t="s">
        <v>556</v>
      </c>
      <c r="C43" s="79" t="s">
        <v>177</v>
      </c>
      <c r="D43" s="99">
        <v>4110</v>
      </c>
      <c r="E43" s="99">
        <v>395</v>
      </c>
      <c r="F43" s="99" t="s">
        <v>394</v>
      </c>
      <c r="G43" s="99">
        <v>10</v>
      </c>
      <c r="H43" s="99" t="s">
        <v>660</v>
      </c>
      <c r="I43" s="99">
        <v>31</v>
      </c>
      <c r="J43" s="99">
        <v>286</v>
      </c>
      <c r="K43" s="99">
        <v>15</v>
      </c>
      <c r="L43" s="99">
        <v>924</v>
      </c>
      <c r="M43" s="99">
        <v>114</v>
      </c>
      <c r="N43" s="99">
        <v>87</v>
      </c>
      <c r="O43" s="99">
        <v>33</v>
      </c>
      <c r="P43" s="159">
        <v>33</v>
      </c>
      <c r="Q43" s="99" t="s">
        <v>660</v>
      </c>
      <c r="R43" s="99">
        <v>12</v>
      </c>
      <c r="S43" s="99">
        <v>7</v>
      </c>
      <c r="T43" s="99">
        <v>7</v>
      </c>
      <c r="U43" s="99" t="s">
        <v>660</v>
      </c>
      <c r="V43" s="99">
        <v>7</v>
      </c>
      <c r="W43" s="99">
        <v>23</v>
      </c>
      <c r="X43" s="99">
        <v>14</v>
      </c>
      <c r="Y43" s="99">
        <v>28</v>
      </c>
      <c r="Z43" s="99">
        <v>17</v>
      </c>
      <c r="AA43" s="99" t="s">
        <v>660</v>
      </c>
      <c r="AB43" s="99" t="s">
        <v>660</v>
      </c>
      <c r="AC43" s="99" t="s">
        <v>660</v>
      </c>
      <c r="AD43" s="98" t="s">
        <v>374</v>
      </c>
      <c r="AE43" s="100">
        <v>0.09610705596107055</v>
      </c>
      <c r="AF43" s="100">
        <v>0.18</v>
      </c>
      <c r="AG43" s="98">
        <v>243.30900243309003</v>
      </c>
      <c r="AH43" s="98" t="s">
        <v>660</v>
      </c>
      <c r="AI43" s="100">
        <v>0.008</v>
      </c>
      <c r="AJ43" s="100">
        <v>0.716792</v>
      </c>
      <c r="AK43" s="100">
        <v>0.652174</v>
      </c>
      <c r="AL43" s="100">
        <v>0.8287</v>
      </c>
      <c r="AM43" s="100">
        <v>0.381271</v>
      </c>
      <c r="AN43" s="100">
        <v>0.639706</v>
      </c>
      <c r="AO43" s="98">
        <v>802.9197080291971</v>
      </c>
      <c r="AP43" s="158">
        <v>0.5497059631</v>
      </c>
      <c r="AQ43" s="100" t="s">
        <v>660</v>
      </c>
      <c r="AR43" s="100" t="s">
        <v>660</v>
      </c>
      <c r="AS43" s="98">
        <v>170.31630170316302</v>
      </c>
      <c r="AT43" s="98">
        <v>170.31630170316302</v>
      </c>
      <c r="AU43" s="98" t="s">
        <v>660</v>
      </c>
      <c r="AV43" s="98">
        <v>170.31630170316302</v>
      </c>
      <c r="AW43" s="98">
        <v>559.6107055961071</v>
      </c>
      <c r="AX43" s="98">
        <v>340.63260340632604</v>
      </c>
      <c r="AY43" s="98">
        <v>681.2652068126521</v>
      </c>
      <c r="AZ43" s="98">
        <v>413.625304136253</v>
      </c>
      <c r="BA43" s="100" t="s">
        <v>660</v>
      </c>
      <c r="BB43" s="100" t="s">
        <v>660</v>
      </c>
      <c r="BC43" s="100" t="s">
        <v>660</v>
      </c>
      <c r="BD43" s="158">
        <v>0.3783922958</v>
      </c>
      <c r="BE43" s="158">
        <v>0.7719915771</v>
      </c>
      <c r="BF43" s="162">
        <v>399</v>
      </c>
      <c r="BG43" s="162">
        <v>23</v>
      </c>
      <c r="BH43" s="162">
        <v>1115</v>
      </c>
      <c r="BI43" s="162">
        <v>299</v>
      </c>
      <c r="BJ43" s="162">
        <v>136</v>
      </c>
      <c r="BK43" s="97"/>
      <c r="BL43" s="97"/>
      <c r="BM43" s="97"/>
      <c r="BN43" s="97"/>
    </row>
    <row r="44" spans="1:66" ht="12.75">
      <c r="A44" s="79" t="s">
        <v>599</v>
      </c>
      <c r="B44" s="79" t="s">
        <v>320</v>
      </c>
      <c r="C44" s="79" t="s">
        <v>177</v>
      </c>
      <c r="D44" s="99">
        <v>3675</v>
      </c>
      <c r="E44" s="99">
        <v>632</v>
      </c>
      <c r="F44" s="99" t="s">
        <v>394</v>
      </c>
      <c r="G44" s="99">
        <v>9</v>
      </c>
      <c r="H44" s="99">
        <v>6</v>
      </c>
      <c r="I44" s="99">
        <v>60</v>
      </c>
      <c r="J44" s="99">
        <v>340</v>
      </c>
      <c r="K44" s="99" t="s">
        <v>660</v>
      </c>
      <c r="L44" s="99">
        <v>785</v>
      </c>
      <c r="M44" s="99">
        <v>215</v>
      </c>
      <c r="N44" s="99">
        <v>96</v>
      </c>
      <c r="O44" s="99">
        <v>58</v>
      </c>
      <c r="P44" s="159">
        <v>58</v>
      </c>
      <c r="Q44" s="99">
        <v>18</v>
      </c>
      <c r="R44" s="99">
        <v>24</v>
      </c>
      <c r="S44" s="99">
        <v>15</v>
      </c>
      <c r="T44" s="99">
        <v>6</v>
      </c>
      <c r="U44" s="99" t="s">
        <v>660</v>
      </c>
      <c r="V44" s="99">
        <v>16</v>
      </c>
      <c r="W44" s="99">
        <v>29</v>
      </c>
      <c r="X44" s="99">
        <v>12</v>
      </c>
      <c r="Y44" s="99">
        <v>19</v>
      </c>
      <c r="Z44" s="99">
        <v>13</v>
      </c>
      <c r="AA44" s="99" t="s">
        <v>660</v>
      </c>
      <c r="AB44" s="99" t="s">
        <v>660</v>
      </c>
      <c r="AC44" s="99" t="s">
        <v>660</v>
      </c>
      <c r="AD44" s="98" t="s">
        <v>374</v>
      </c>
      <c r="AE44" s="100">
        <v>0.17197278911564626</v>
      </c>
      <c r="AF44" s="100">
        <v>0.18</v>
      </c>
      <c r="AG44" s="98">
        <v>244.89795918367346</v>
      </c>
      <c r="AH44" s="98">
        <v>163.26530612244898</v>
      </c>
      <c r="AI44" s="100">
        <v>0.016</v>
      </c>
      <c r="AJ44" s="100">
        <v>0.757238</v>
      </c>
      <c r="AK44" s="100" t="s">
        <v>660</v>
      </c>
      <c r="AL44" s="100">
        <v>0.866446</v>
      </c>
      <c r="AM44" s="100">
        <v>0.520581</v>
      </c>
      <c r="AN44" s="100">
        <v>0.533333</v>
      </c>
      <c r="AO44" s="98">
        <v>1578.2312925170068</v>
      </c>
      <c r="AP44" s="158">
        <v>0.8276208495999999</v>
      </c>
      <c r="AQ44" s="100">
        <v>0.3103448275862069</v>
      </c>
      <c r="AR44" s="100">
        <v>0.75</v>
      </c>
      <c r="AS44" s="98">
        <v>408.16326530612247</v>
      </c>
      <c r="AT44" s="98">
        <v>163.26530612244898</v>
      </c>
      <c r="AU44" s="98" t="s">
        <v>660</v>
      </c>
      <c r="AV44" s="98">
        <v>435.3741496598639</v>
      </c>
      <c r="AW44" s="98">
        <v>789.1156462585034</v>
      </c>
      <c r="AX44" s="98">
        <v>326.53061224489795</v>
      </c>
      <c r="AY44" s="98">
        <v>517.0068027210884</v>
      </c>
      <c r="AZ44" s="98">
        <v>353.74149659863946</v>
      </c>
      <c r="BA44" s="100" t="s">
        <v>660</v>
      </c>
      <c r="BB44" s="100" t="s">
        <v>660</v>
      </c>
      <c r="BC44" s="100" t="s">
        <v>660</v>
      </c>
      <c r="BD44" s="158">
        <v>0.6284472275</v>
      </c>
      <c r="BE44" s="158">
        <v>1.0698918910000002</v>
      </c>
      <c r="BF44" s="162">
        <v>449</v>
      </c>
      <c r="BG44" s="162" t="s">
        <v>660</v>
      </c>
      <c r="BH44" s="162">
        <v>906</v>
      </c>
      <c r="BI44" s="162">
        <v>413</v>
      </c>
      <c r="BJ44" s="162">
        <v>180</v>
      </c>
      <c r="BK44" s="97"/>
      <c r="BL44" s="97"/>
      <c r="BM44" s="97"/>
      <c r="BN44" s="97"/>
    </row>
    <row r="45" spans="1:66" ht="12.75">
      <c r="A45" s="79" t="s">
        <v>576</v>
      </c>
      <c r="B45" s="79" t="s">
        <v>297</v>
      </c>
      <c r="C45" s="79" t="s">
        <v>177</v>
      </c>
      <c r="D45" s="99">
        <v>17085</v>
      </c>
      <c r="E45" s="99">
        <v>2721</v>
      </c>
      <c r="F45" s="99" t="s">
        <v>396</v>
      </c>
      <c r="G45" s="99">
        <v>65</v>
      </c>
      <c r="H45" s="99">
        <v>50</v>
      </c>
      <c r="I45" s="99">
        <v>286</v>
      </c>
      <c r="J45" s="99">
        <v>1608</v>
      </c>
      <c r="K45" s="99">
        <v>1440</v>
      </c>
      <c r="L45" s="99">
        <v>2928</v>
      </c>
      <c r="M45" s="99">
        <v>1028</v>
      </c>
      <c r="N45" s="99">
        <v>501</v>
      </c>
      <c r="O45" s="99">
        <v>449</v>
      </c>
      <c r="P45" s="159">
        <v>449</v>
      </c>
      <c r="Q45" s="99">
        <v>45</v>
      </c>
      <c r="R45" s="99">
        <v>96</v>
      </c>
      <c r="S45" s="99">
        <v>107</v>
      </c>
      <c r="T45" s="99">
        <v>57</v>
      </c>
      <c r="U45" s="99">
        <v>23</v>
      </c>
      <c r="V45" s="99">
        <v>83</v>
      </c>
      <c r="W45" s="99">
        <v>81</v>
      </c>
      <c r="X45" s="99">
        <v>70</v>
      </c>
      <c r="Y45" s="99">
        <v>142</v>
      </c>
      <c r="Z45" s="99">
        <v>123</v>
      </c>
      <c r="AA45" s="99" t="s">
        <v>660</v>
      </c>
      <c r="AB45" s="99" t="s">
        <v>660</v>
      </c>
      <c r="AC45" s="99" t="s">
        <v>660</v>
      </c>
      <c r="AD45" s="98" t="s">
        <v>374</v>
      </c>
      <c r="AE45" s="100">
        <v>0.15926251097453906</v>
      </c>
      <c r="AF45" s="100">
        <v>0.16</v>
      </c>
      <c r="AG45" s="98">
        <v>380.45068773778166</v>
      </c>
      <c r="AH45" s="98">
        <v>292.654375182909</v>
      </c>
      <c r="AI45" s="100">
        <v>0.017</v>
      </c>
      <c r="AJ45" s="100">
        <v>0.778692</v>
      </c>
      <c r="AK45" s="100">
        <v>0.741122</v>
      </c>
      <c r="AL45" s="100">
        <v>0.706393</v>
      </c>
      <c r="AM45" s="100">
        <v>0.550027</v>
      </c>
      <c r="AN45" s="100">
        <v>0.597139</v>
      </c>
      <c r="AO45" s="98">
        <v>2628.0362891425225</v>
      </c>
      <c r="AP45" s="158">
        <v>1.43323349</v>
      </c>
      <c r="AQ45" s="100">
        <v>0.10022271714922049</v>
      </c>
      <c r="AR45" s="100">
        <v>0.46875</v>
      </c>
      <c r="AS45" s="98">
        <v>626.2803628914252</v>
      </c>
      <c r="AT45" s="98">
        <v>333.6259877085162</v>
      </c>
      <c r="AU45" s="98">
        <v>134.62101258413813</v>
      </c>
      <c r="AV45" s="98">
        <v>485.8062628036289</v>
      </c>
      <c r="AW45" s="98">
        <v>474.10008779631255</v>
      </c>
      <c r="AX45" s="98">
        <v>409.7161252560726</v>
      </c>
      <c r="AY45" s="98">
        <v>831.1384255194615</v>
      </c>
      <c r="AZ45" s="98">
        <v>719.9297629499561</v>
      </c>
      <c r="BA45" s="100" t="s">
        <v>660</v>
      </c>
      <c r="BB45" s="100" t="s">
        <v>660</v>
      </c>
      <c r="BC45" s="100" t="s">
        <v>660</v>
      </c>
      <c r="BD45" s="158">
        <v>1.303710632</v>
      </c>
      <c r="BE45" s="158">
        <v>1.572141113</v>
      </c>
      <c r="BF45" s="162">
        <v>2065</v>
      </c>
      <c r="BG45" s="162">
        <v>1943</v>
      </c>
      <c r="BH45" s="162">
        <v>4145</v>
      </c>
      <c r="BI45" s="162">
        <v>1869</v>
      </c>
      <c r="BJ45" s="162">
        <v>839</v>
      </c>
      <c r="BK45" s="97"/>
      <c r="BL45" s="97"/>
      <c r="BM45" s="97"/>
      <c r="BN45" s="97"/>
    </row>
    <row r="46" spans="1:66" ht="12.75">
      <c r="A46" s="79" t="s">
        <v>629</v>
      </c>
      <c r="B46" s="79" t="s">
        <v>349</v>
      </c>
      <c r="C46" s="79" t="s">
        <v>177</v>
      </c>
      <c r="D46" s="99">
        <v>2329</v>
      </c>
      <c r="E46" s="99">
        <v>556</v>
      </c>
      <c r="F46" s="99" t="s">
        <v>397</v>
      </c>
      <c r="G46" s="99">
        <v>14</v>
      </c>
      <c r="H46" s="99" t="s">
        <v>660</v>
      </c>
      <c r="I46" s="99">
        <v>34</v>
      </c>
      <c r="J46" s="99">
        <v>279</v>
      </c>
      <c r="K46" s="99" t="s">
        <v>660</v>
      </c>
      <c r="L46" s="99">
        <v>476</v>
      </c>
      <c r="M46" s="99">
        <v>230</v>
      </c>
      <c r="N46" s="99">
        <v>107</v>
      </c>
      <c r="O46" s="99">
        <v>54</v>
      </c>
      <c r="P46" s="159">
        <v>54</v>
      </c>
      <c r="Q46" s="99" t="s">
        <v>660</v>
      </c>
      <c r="R46" s="99">
        <v>11</v>
      </c>
      <c r="S46" s="99">
        <v>13</v>
      </c>
      <c r="T46" s="99">
        <v>9</v>
      </c>
      <c r="U46" s="99" t="s">
        <v>660</v>
      </c>
      <c r="V46" s="99">
        <v>11</v>
      </c>
      <c r="W46" s="99">
        <v>18</v>
      </c>
      <c r="X46" s="99">
        <v>12</v>
      </c>
      <c r="Y46" s="99">
        <v>25</v>
      </c>
      <c r="Z46" s="99">
        <v>14</v>
      </c>
      <c r="AA46" s="99" t="s">
        <v>660</v>
      </c>
      <c r="AB46" s="99" t="s">
        <v>660</v>
      </c>
      <c r="AC46" s="99" t="s">
        <v>660</v>
      </c>
      <c r="AD46" s="98" t="s">
        <v>374</v>
      </c>
      <c r="AE46" s="100">
        <v>0.23872906826964363</v>
      </c>
      <c r="AF46" s="100">
        <v>0.05</v>
      </c>
      <c r="AG46" s="98">
        <v>601.1163589523401</v>
      </c>
      <c r="AH46" s="98" t="s">
        <v>660</v>
      </c>
      <c r="AI46" s="100">
        <v>0.015</v>
      </c>
      <c r="AJ46" s="100">
        <v>0.754054</v>
      </c>
      <c r="AK46" s="100" t="s">
        <v>660</v>
      </c>
      <c r="AL46" s="100">
        <v>0.881481</v>
      </c>
      <c r="AM46" s="100">
        <v>0.644258</v>
      </c>
      <c r="AN46" s="100">
        <v>0.636905</v>
      </c>
      <c r="AO46" s="98">
        <v>2318.5916702447403</v>
      </c>
      <c r="AP46" s="158">
        <v>1.018095245</v>
      </c>
      <c r="AQ46" s="100" t="s">
        <v>660</v>
      </c>
      <c r="AR46" s="100" t="s">
        <v>660</v>
      </c>
      <c r="AS46" s="98">
        <v>558.1794761700301</v>
      </c>
      <c r="AT46" s="98">
        <v>386.43194504079</v>
      </c>
      <c r="AU46" s="98" t="s">
        <v>660</v>
      </c>
      <c r="AV46" s="98">
        <v>472.30571060541007</v>
      </c>
      <c r="AW46" s="98">
        <v>772.86389008158</v>
      </c>
      <c r="AX46" s="98">
        <v>515.24259338772</v>
      </c>
      <c r="AY46" s="98">
        <v>1073.42206955775</v>
      </c>
      <c r="AZ46" s="98">
        <v>601.1163589523401</v>
      </c>
      <c r="BA46" s="100" t="s">
        <v>660</v>
      </c>
      <c r="BB46" s="100" t="s">
        <v>660</v>
      </c>
      <c r="BC46" s="100" t="s">
        <v>660</v>
      </c>
      <c r="BD46" s="158">
        <v>0.7648244476000001</v>
      </c>
      <c r="BE46" s="158">
        <v>1.3283934020000001</v>
      </c>
      <c r="BF46" s="162">
        <v>370</v>
      </c>
      <c r="BG46" s="162" t="s">
        <v>660</v>
      </c>
      <c r="BH46" s="162">
        <v>540</v>
      </c>
      <c r="BI46" s="162">
        <v>357</v>
      </c>
      <c r="BJ46" s="162">
        <v>168</v>
      </c>
      <c r="BK46" s="97"/>
      <c r="BL46" s="97"/>
      <c r="BM46" s="97"/>
      <c r="BN46" s="97"/>
    </row>
    <row r="47" spans="1:66" ht="12.75">
      <c r="A47" s="79" t="s">
        <v>622</v>
      </c>
      <c r="B47" s="79" t="s">
        <v>342</v>
      </c>
      <c r="C47" s="79" t="s">
        <v>177</v>
      </c>
      <c r="D47" s="99">
        <v>5687</v>
      </c>
      <c r="E47" s="99">
        <v>941</v>
      </c>
      <c r="F47" s="99" t="s">
        <v>394</v>
      </c>
      <c r="G47" s="99">
        <v>36</v>
      </c>
      <c r="H47" s="99">
        <v>13</v>
      </c>
      <c r="I47" s="99">
        <v>103</v>
      </c>
      <c r="J47" s="99">
        <v>593</v>
      </c>
      <c r="K47" s="99" t="s">
        <v>660</v>
      </c>
      <c r="L47" s="99">
        <v>1065</v>
      </c>
      <c r="M47" s="99">
        <v>355</v>
      </c>
      <c r="N47" s="99">
        <v>166</v>
      </c>
      <c r="O47" s="99">
        <v>221</v>
      </c>
      <c r="P47" s="159">
        <v>221</v>
      </c>
      <c r="Q47" s="99">
        <v>7</v>
      </c>
      <c r="R47" s="99">
        <v>28</v>
      </c>
      <c r="S47" s="99">
        <v>37</v>
      </c>
      <c r="T47" s="99">
        <v>42</v>
      </c>
      <c r="U47" s="99">
        <v>10</v>
      </c>
      <c r="V47" s="99">
        <v>68</v>
      </c>
      <c r="W47" s="99">
        <v>35</v>
      </c>
      <c r="X47" s="99">
        <v>53</v>
      </c>
      <c r="Y47" s="99">
        <v>74</v>
      </c>
      <c r="Z47" s="99">
        <v>42</v>
      </c>
      <c r="AA47" s="99" t="s">
        <v>660</v>
      </c>
      <c r="AB47" s="99" t="s">
        <v>660</v>
      </c>
      <c r="AC47" s="99" t="s">
        <v>660</v>
      </c>
      <c r="AD47" s="98" t="s">
        <v>374</v>
      </c>
      <c r="AE47" s="100">
        <v>0.16546509583260066</v>
      </c>
      <c r="AF47" s="100">
        <v>0.18</v>
      </c>
      <c r="AG47" s="98">
        <v>633.0226833128187</v>
      </c>
      <c r="AH47" s="98">
        <v>228.59152452962897</v>
      </c>
      <c r="AI47" s="100">
        <v>0.018000000000000002</v>
      </c>
      <c r="AJ47" s="100">
        <v>0.74404</v>
      </c>
      <c r="AK47" s="100" t="s">
        <v>660</v>
      </c>
      <c r="AL47" s="100">
        <v>0.787722</v>
      </c>
      <c r="AM47" s="100">
        <v>0.510791</v>
      </c>
      <c r="AN47" s="100">
        <v>0.576389</v>
      </c>
      <c r="AO47" s="98">
        <v>3886.0559170036927</v>
      </c>
      <c r="AP47" s="158">
        <v>2.056283569</v>
      </c>
      <c r="AQ47" s="100">
        <v>0.03167420814479638</v>
      </c>
      <c r="AR47" s="100">
        <v>0.25</v>
      </c>
      <c r="AS47" s="98">
        <v>650.6066467381747</v>
      </c>
      <c r="AT47" s="98">
        <v>738.5264638649552</v>
      </c>
      <c r="AU47" s="98">
        <v>175.83963425356075</v>
      </c>
      <c r="AV47" s="98">
        <v>1195.7095129242132</v>
      </c>
      <c r="AW47" s="98">
        <v>615.4387198874626</v>
      </c>
      <c r="AX47" s="98">
        <v>931.950061543872</v>
      </c>
      <c r="AY47" s="98">
        <v>1301.2132934763495</v>
      </c>
      <c r="AZ47" s="98">
        <v>738.5264638649552</v>
      </c>
      <c r="BA47" s="100" t="s">
        <v>660</v>
      </c>
      <c r="BB47" s="100" t="s">
        <v>660</v>
      </c>
      <c r="BC47" s="100" t="s">
        <v>660</v>
      </c>
      <c r="BD47" s="158">
        <v>1.794097443</v>
      </c>
      <c r="BE47" s="158">
        <v>2.346006622</v>
      </c>
      <c r="BF47" s="162">
        <v>797</v>
      </c>
      <c r="BG47" s="162" t="s">
        <v>660</v>
      </c>
      <c r="BH47" s="162">
        <v>1352</v>
      </c>
      <c r="BI47" s="162">
        <v>695</v>
      </c>
      <c r="BJ47" s="162">
        <v>288</v>
      </c>
      <c r="BK47" s="97"/>
      <c r="BL47" s="97"/>
      <c r="BM47" s="97"/>
      <c r="BN47" s="97"/>
    </row>
    <row r="48" spans="1:66" ht="12.75">
      <c r="A48" s="79" t="s">
        <v>627</v>
      </c>
      <c r="B48" s="79" t="s">
        <v>347</v>
      </c>
      <c r="C48" s="79" t="s">
        <v>177</v>
      </c>
      <c r="D48" s="99">
        <v>4972</v>
      </c>
      <c r="E48" s="99">
        <v>867</v>
      </c>
      <c r="F48" s="99" t="s">
        <v>397</v>
      </c>
      <c r="G48" s="99">
        <v>33</v>
      </c>
      <c r="H48" s="99">
        <v>13</v>
      </c>
      <c r="I48" s="99">
        <v>99</v>
      </c>
      <c r="J48" s="99">
        <v>520</v>
      </c>
      <c r="K48" s="99">
        <v>505</v>
      </c>
      <c r="L48" s="99">
        <v>1120</v>
      </c>
      <c r="M48" s="99">
        <v>333</v>
      </c>
      <c r="N48" s="99">
        <v>180</v>
      </c>
      <c r="O48" s="99">
        <v>118</v>
      </c>
      <c r="P48" s="159">
        <v>118</v>
      </c>
      <c r="Q48" s="99">
        <v>8</v>
      </c>
      <c r="R48" s="99">
        <v>18</v>
      </c>
      <c r="S48" s="99">
        <v>26</v>
      </c>
      <c r="T48" s="99">
        <v>20</v>
      </c>
      <c r="U48" s="99" t="s">
        <v>660</v>
      </c>
      <c r="V48" s="99">
        <v>25</v>
      </c>
      <c r="W48" s="99">
        <v>42</v>
      </c>
      <c r="X48" s="99">
        <v>23</v>
      </c>
      <c r="Y48" s="99">
        <v>51</v>
      </c>
      <c r="Z48" s="99">
        <v>30</v>
      </c>
      <c r="AA48" s="99" t="s">
        <v>660</v>
      </c>
      <c r="AB48" s="99" t="s">
        <v>660</v>
      </c>
      <c r="AC48" s="99" t="s">
        <v>660</v>
      </c>
      <c r="AD48" s="98" t="s">
        <v>374</v>
      </c>
      <c r="AE48" s="100">
        <v>0.1743765084473049</v>
      </c>
      <c r="AF48" s="100">
        <v>0.07</v>
      </c>
      <c r="AG48" s="98">
        <v>663.7168141592921</v>
      </c>
      <c r="AH48" s="98">
        <v>261.4641995172969</v>
      </c>
      <c r="AI48" s="100">
        <v>0.02</v>
      </c>
      <c r="AJ48" s="100">
        <v>0.824089</v>
      </c>
      <c r="AK48" s="100">
        <v>0.818476</v>
      </c>
      <c r="AL48" s="100">
        <v>0.871595</v>
      </c>
      <c r="AM48" s="100">
        <v>0.57315</v>
      </c>
      <c r="AN48" s="100">
        <v>0.645161</v>
      </c>
      <c r="AO48" s="98">
        <v>2373.2904263877717</v>
      </c>
      <c r="AP48" s="158">
        <v>1.226320877</v>
      </c>
      <c r="AQ48" s="100">
        <v>0.06779661016949153</v>
      </c>
      <c r="AR48" s="100">
        <v>0.4444444444444444</v>
      </c>
      <c r="AS48" s="98">
        <v>522.9283990345938</v>
      </c>
      <c r="AT48" s="98">
        <v>402.2526146419952</v>
      </c>
      <c r="AU48" s="98" t="s">
        <v>660</v>
      </c>
      <c r="AV48" s="98">
        <v>502.81576830249395</v>
      </c>
      <c r="AW48" s="98">
        <v>844.7304907481898</v>
      </c>
      <c r="AX48" s="98">
        <v>462.59050683829446</v>
      </c>
      <c r="AY48" s="98">
        <v>1025.7441673370877</v>
      </c>
      <c r="AZ48" s="98">
        <v>603.3789219629928</v>
      </c>
      <c r="BA48" s="100" t="s">
        <v>660</v>
      </c>
      <c r="BB48" s="100" t="s">
        <v>660</v>
      </c>
      <c r="BC48" s="100" t="s">
        <v>660</v>
      </c>
      <c r="BD48" s="158">
        <v>1.015058212</v>
      </c>
      <c r="BE48" s="158">
        <v>1.4685870360000002</v>
      </c>
      <c r="BF48" s="162">
        <v>631</v>
      </c>
      <c r="BG48" s="162">
        <v>617</v>
      </c>
      <c r="BH48" s="162">
        <v>1285</v>
      </c>
      <c r="BI48" s="162">
        <v>581</v>
      </c>
      <c r="BJ48" s="162">
        <v>279</v>
      </c>
      <c r="BK48" s="97"/>
      <c r="BL48" s="97"/>
      <c r="BM48" s="97"/>
      <c r="BN48" s="97"/>
    </row>
    <row r="49" spans="1:66" ht="12.75">
      <c r="A49" s="79" t="s">
        <v>611</v>
      </c>
      <c r="B49" s="79" t="s">
        <v>332</v>
      </c>
      <c r="C49" s="79" t="s">
        <v>177</v>
      </c>
      <c r="D49" s="99">
        <v>6745</v>
      </c>
      <c r="E49" s="99">
        <v>1493</v>
      </c>
      <c r="F49" s="99" t="s">
        <v>395</v>
      </c>
      <c r="G49" s="99">
        <v>39</v>
      </c>
      <c r="H49" s="99">
        <v>33</v>
      </c>
      <c r="I49" s="99">
        <v>89</v>
      </c>
      <c r="J49" s="99">
        <v>832</v>
      </c>
      <c r="K49" s="99">
        <v>836</v>
      </c>
      <c r="L49" s="99">
        <v>1333</v>
      </c>
      <c r="M49" s="99">
        <v>624</v>
      </c>
      <c r="N49" s="99">
        <v>291</v>
      </c>
      <c r="O49" s="99">
        <v>108</v>
      </c>
      <c r="P49" s="159">
        <v>108</v>
      </c>
      <c r="Q49" s="99">
        <v>19</v>
      </c>
      <c r="R49" s="99">
        <v>39</v>
      </c>
      <c r="S49" s="99">
        <v>33</v>
      </c>
      <c r="T49" s="99">
        <v>20</v>
      </c>
      <c r="U49" s="99" t="s">
        <v>660</v>
      </c>
      <c r="V49" s="99">
        <v>17</v>
      </c>
      <c r="W49" s="99">
        <v>56</v>
      </c>
      <c r="X49" s="99">
        <v>32</v>
      </c>
      <c r="Y49" s="99">
        <v>49</v>
      </c>
      <c r="Z49" s="99">
        <v>54</v>
      </c>
      <c r="AA49" s="99" t="s">
        <v>660</v>
      </c>
      <c r="AB49" s="99" t="s">
        <v>660</v>
      </c>
      <c r="AC49" s="99" t="s">
        <v>660</v>
      </c>
      <c r="AD49" s="98" t="s">
        <v>374</v>
      </c>
      <c r="AE49" s="100">
        <v>0.22134914751667903</v>
      </c>
      <c r="AF49" s="100">
        <v>0.1</v>
      </c>
      <c r="AG49" s="98">
        <v>578.2060785767235</v>
      </c>
      <c r="AH49" s="98">
        <v>489.2512972572276</v>
      </c>
      <c r="AI49" s="100">
        <v>0.013000000000000001</v>
      </c>
      <c r="AJ49" s="100">
        <v>0.814887</v>
      </c>
      <c r="AK49" s="100">
        <v>0.841046</v>
      </c>
      <c r="AL49" s="100">
        <v>0.85067</v>
      </c>
      <c r="AM49" s="100">
        <v>0.614778</v>
      </c>
      <c r="AN49" s="100">
        <v>0.673611</v>
      </c>
      <c r="AO49" s="98">
        <v>1601.1860637509267</v>
      </c>
      <c r="AP49" s="158">
        <v>0.7339663696</v>
      </c>
      <c r="AQ49" s="100">
        <v>0.17592592592592593</v>
      </c>
      <c r="AR49" s="100">
        <v>0.48717948717948717</v>
      </c>
      <c r="AS49" s="98">
        <v>489.2512972572276</v>
      </c>
      <c r="AT49" s="98">
        <v>296.5159377316531</v>
      </c>
      <c r="AU49" s="98" t="s">
        <v>660</v>
      </c>
      <c r="AV49" s="98">
        <v>252.03854707190513</v>
      </c>
      <c r="AW49" s="98">
        <v>830.2446256486286</v>
      </c>
      <c r="AX49" s="98">
        <v>474.4255003706449</v>
      </c>
      <c r="AY49" s="98">
        <v>726.46404744255</v>
      </c>
      <c r="AZ49" s="98">
        <v>800.5930318754633</v>
      </c>
      <c r="BA49" s="100" t="s">
        <v>660</v>
      </c>
      <c r="BB49" s="100" t="s">
        <v>660</v>
      </c>
      <c r="BC49" s="100" t="s">
        <v>660</v>
      </c>
      <c r="BD49" s="158">
        <v>0.6020868683</v>
      </c>
      <c r="BE49" s="158">
        <v>0.8861469269</v>
      </c>
      <c r="BF49" s="162">
        <v>1021</v>
      </c>
      <c r="BG49" s="162">
        <v>994</v>
      </c>
      <c r="BH49" s="162">
        <v>1567</v>
      </c>
      <c r="BI49" s="162">
        <v>1015</v>
      </c>
      <c r="BJ49" s="162">
        <v>432</v>
      </c>
      <c r="BK49" s="97"/>
      <c r="BL49" s="97"/>
      <c r="BM49" s="97"/>
      <c r="BN49" s="97"/>
    </row>
    <row r="50" spans="1:66" ht="12.75">
      <c r="A50" s="79" t="s">
        <v>637</v>
      </c>
      <c r="B50" s="79" t="s">
        <v>358</v>
      </c>
      <c r="C50" s="79" t="s">
        <v>177</v>
      </c>
      <c r="D50" s="99">
        <v>6133</v>
      </c>
      <c r="E50" s="99">
        <v>1063</v>
      </c>
      <c r="F50" s="99" t="s">
        <v>394</v>
      </c>
      <c r="G50" s="99">
        <v>36</v>
      </c>
      <c r="H50" s="99">
        <v>19</v>
      </c>
      <c r="I50" s="99">
        <v>124</v>
      </c>
      <c r="J50" s="99">
        <v>637</v>
      </c>
      <c r="K50" s="99">
        <v>630</v>
      </c>
      <c r="L50" s="99">
        <v>1123</v>
      </c>
      <c r="M50" s="99">
        <v>406</v>
      </c>
      <c r="N50" s="99">
        <v>183</v>
      </c>
      <c r="O50" s="99">
        <v>129</v>
      </c>
      <c r="P50" s="159">
        <v>129</v>
      </c>
      <c r="Q50" s="99">
        <v>20</v>
      </c>
      <c r="R50" s="99">
        <v>36</v>
      </c>
      <c r="S50" s="99">
        <v>22</v>
      </c>
      <c r="T50" s="99">
        <v>19</v>
      </c>
      <c r="U50" s="99">
        <v>7</v>
      </c>
      <c r="V50" s="99">
        <v>19</v>
      </c>
      <c r="W50" s="99">
        <v>24</v>
      </c>
      <c r="X50" s="99">
        <v>30</v>
      </c>
      <c r="Y50" s="99">
        <v>72</v>
      </c>
      <c r="Z50" s="99">
        <v>49</v>
      </c>
      <c r="AA50" s="99" t="s">
        <v>660</v>
      </c>
      <c r="AB50" s="99" t="s">
        <v>660</v>
      </c>
      <c r="AC50" s="99" t="s">
        <v>660</v>
      </c>
      <c r="AD50" s="98" t="s">
        <v>374</v>
      </c>
      <c r="AE50" s="100">
        <v>0.17332463720854394</v>
      </c>
      <c r="AF50" s="100">
        <v>0.18</v>
      </c>
      <c r="AG50" s="98">
        <v>586.9884232838741</v>
      </c>
      <c r="AH50" s="98">
        <v>309.7994456220447</v>
      </c>
      <c r="AI50" s="100">
        <v>0.02</v>
      </c>
      <c r="AJ50" s="100">
        <v>0.814578</v>
      </c>
      <c r="AK50" s="100">
        <v>0.832232</v>
      </c>
      <c r="AL50" s="100">
        <v>0.833705</v>
      </c>
      <c r="AM50" s="100">
        <v>0.58</v>
      </c>
      <c r="AN50" s="100">
        <v>0.594156</v>
      </c>
      <c r="AO50" s="98">
        <v>2103.3751834338823</v>
      </c>
      <c r="AP50" s="158">
        <v>1.114771042</v>
      </c>
      <c r="AQ50" s="100">
        <v>0.15503875968992248</v>
      </c>
      <c r="AR50" s="100">
        <v>0.5555555555555556</v>
      </c>
      <c r="AS50" s="98">
        <v>358.7151475623675</v>
      </c>
      <c r="AT50" s="98">
        <v>309.7994456220447</v>
      </c>
      <c r="AU50" s="98">
        <v>114.1366378607533</v>
      </c>
      <c r="AV50" s="98">
        <v>309.7994456220447</v>
      </c>
      <c r="AW50" s="98">
        <v>391.3256155225827</v>
      </c>
      <c r="AX50" s="98">
        <v>489.15701940322845</v>
      </c>
      <c r="AY50" s="98">
        <v>1173.9768465677482</v>
      </c>
      <c r="AZ50" s="98">
        <v>798.9564650252731</v>
      </c>
      <c r="BA50" s="100" t="s">
        <v>660</v>
      </c>
      <c r="BB50" s="100" t="s">
        <v>660</v>
      </c>
      <c r="BC50" s="100" t="s">
        <v>660</v>
      </c>
      <c r="BD50" s="158">
        <v>0.9307113647</v>
      </c>
      <c r="BE50" s="158">
        <v>1.324577789</v>
      </c>
      <c r="BF50" s="162">
        <v>782</v>
      </c>
      <c r="BG50" s="162">
        <v>757</v>
      </c>
      <c r="BH50" s="162">
        <v>1347</v>
      </c>
      <c r="BI50" s="162">
        <v>700</v>
      </c>
      <c r="BJ50" s="162">
        <v>308</v>
      </c>
      <c r="BK50" s="97"/>
      <c r="BL50" s="97"/>
      <c r="BM50" s="97"/>
      <c r="BN50" s="97"/>
    </row>
    <row r="51" spans="1:66" ht="12.75">
      <c r="A51" s="79" t="s">
        <v>572</v>
      </c>
      <c r="B51" s="79" t="s">
        <v>293</v>
      </c>
      <c r="C51" s="79" t="s">
        <v>177</v>
      </c>
      <c r="D51" s="99">
        <v>11859</v>
      </c>
      <c r="E51" s="99">
        <v>2144</v>
      </c>
      <c r="F51" s="99" t="s">
        <v>396</v>
      </c>
      <c r="G51" s="99">
        <v>68</v>
      </c>
      <c r="H51" s="99">
        <v>34</v>
      </c>
      <c r="I51" s="99">
        <v>250</v>
      </c>
      <c r="J51" s="99">
        <v>1207</v>
      </c>
      <c r="K51" s="99">
        <v>1179</v>
      </c>
      <c r="L51" s="99">
        <v>2175</v>
      </c>
      <c r="M51" s="99">
        <v>843</v>
      </c>
      <c r="N51" s="99">
        <v>410</v>
      </c>
      <c r="O51" s="99">
        <v>338</v>
      </c>
      <c r="P51" s="159">
        <v>338</v>
      </c>
      <c r="Q51" s="99">
        <v>29</v>
      </c>
      <c r="R51" s="99">
        <v>74</v>
      </c>
      <c r="S51" s="99">
        <v>81</v>
      </c>
      <c r="T51" s="99">
        <v>59</v>
      </c>
      <c r="U51" s="99">
        <v>14</v>
      </c>
      <c r="V51" s="99">
        <v>37</v>
      </c>
      <c r="W51" s="99">
        <v>110</v>
      </c>
      <c r="X51" s="99">
        <v>53</v>
      </c>
      <c r="Y51" s="99">
        <v>144</v>
      </c>
      <c r="Z51" s="99">
        <v>87</v>
      </c>
      <c r="AA51" s="99" t="s">
        <v>660</v>
      </c>
      <c r="AB51" s="99" t="s">
        <v>660</v>
      </c>
      <c r="AC51" s="99" t="s">
        <v>660</v>
      </c>
      <c r="AD51" s="98" t="s">
        <v>374</v>
      </c>
      <c r="AE51" s="100">
        <v>0.1807909604519774</v>
      </c>
      <c r="AF51" s="100">
        <v>0.15</v>
      </c>
      <c r="AG51" s="98">
        <v>573.4041656126149</v>
      </c>
      <c r="AH51" s="98">
        <v>286.70208280630743</v>
      </c>
      <c r="AI51" s="100">
        <v>0.021</v>
      </c>
      <c r="AJ51" s="100">
        <v>0.776705</v>
      </c>
      <c r="AK51" s="100">
        <v>0.782349</v>
      </c>
      <c r="AL51" s="100">
        <v>0.814607</v>
      </c>
      <c r="AM51" s="100">
        <v>0.588276</v>
      </c>
      <c r="AN51" s="100">
        <v>0.658106</v>
      </c>
      <c r="AO51" s="98">
        <v>2850.1559996627034</v>
      </c>
      <c r="AP51" s="158">
        <v>1.4599874879999999</v>
      </c>
      <c r="AQ51" s="100">
        <v>0.08579881656804733</v>
      </c>
      <c r="AR51" s="100">
        <v>0.3918918918918919</v>
      </c>
      <c r="AS51" s="98">
        <v>683.0255502150266</v>
      </c>
      <c r="AT51" s="98">
        <v>497.5124378109453</v>
      </c>
      <c r="AU51" s="98">
        <v>118.05379880259719</v>
      </c>
      <c r="AV51" s="98">
        <v>311.999325406864</v>
      </c>
      <c r="AW51" s="98">
        <v>927.5655620204064</v>
      </c>
      <c r="AX51" s="98">
        <v>446.9179526098322</v>
      </c>
      <c r="AY51" s="98">
        <v>1214.2676448267139</v>
      </c>
      <c r="AZ51" s="98">
        <v>733.6200354161397</v>
      </c>
      <c r="BA51" s="100" t="s">
        <v>660</v>
      </c>
      <c r="BB51" s="100" t="s">
        <v>660</v>
      </c>
      <c r="BC51" s="100" t="s">
        <v>660</v>
      </c>
      <c r="BD51" s="158">
        <v>1.308471832</v>
      </c>
      <c r="BE51" s="158">
        <v>1.624233398</v>
      </c>
      <c r="BF51" s="162">
        <v>1554</v>
      </c>
      <c r="BG51" s="162">
        <v>1507</v>
      </c>
      <c r="BH51" s="162">
        <v>2670</v>
      </c>
      <c r="BI51" s="162">
        <v>1433</v>
      </c>
      <c r="BJ51" s="162">
        <v>623</v>
      </c>
      <c r="BK51" s="97"/>
      <c r="BL51" s="97"/>
      <c r="BM51" s="97"/>
      <c r="BN51" s="97"/>
    </row>
    <row r="52" spans="1:66" ht="12.75">
      <c r="A52" s="79" t="s">
        <v>608</v>
      </c>
      <c r="B52" s="79" t="s">
        <v>329</v>
      </c>
      <c r="C52" s="79" t="s">
        <v>177</v>
      </c>
      <c r="D52" s="99">
        <v>7964</v>
      </c>
      <c r="E52" s="99">
        <v>1635</v>
      </c>
      <c r="F52" s="99" t="s">
        <v>396</v>
      </c>
      <c r="G52" s="99">
        <v>50</v>
      </c>
      <c r="H52" s="99">
        <v>29</v>
      </c>
      <c r="I52" s="99">
        <v>92</v>
      </c>
      <c r="J52" s="99">
        <v>801</v>
      </c>
      <c r="K52" s="99">
        <v>9</v>
      </c>
      <c r="L52" s="99">
        <v>1608</v>
      </c>
      <c r="M52" s="99">
        <v>588</v>
      </c>
      <c r="N52" s="99">
        <v>285</v>
      </c>
      <c r="O52" s="99">
        <v>276</v>
      </c>
      <c r="P52" s="159">
        <v>276</v>
      </c>
      <c r="Q52" s="99">
        <v>21</v>
      </c>
      <c r="R52" s="99">
        <v>37</v>
      </c>
      <c r="S52" s="99">
        <v>49</v>
      </c>
      <c r="T52" s="99">
        <v>39</v>
      </c>
      <c r="U52" s="99">
        <v>11</v>
      </c>
      <c r="V52" s="99">
        <v>57</v>
      </c>
      <c r="W52" s="99">
        <v>48</v>
      </c>
      <c r="X52" s="99">
        <v>45</v>
      </c>
      <c r="Y52" s="99">
        <v>89</v>
      </c>
      <c r="Z52" s="99">
        <v>66</v>
      </c>
      <c r="AA52" s="99" t="s">
        <v>660</v>
      </c>
      <c r="AB52" s="99" t="s">
        <v>660</v>
      </c>
      <c r="AC52" s="99" t="s">
        <v>660</v>
      </c>
      <c r="AD52" s="98" t="s">
        <v>374</v>
      </c>
      <c r="AE52" s="100">
        <v>0.20529884480160723</v>
      </c>
      <c r="AF52" s="100">
        <v>0.16</v>
      </c>
      <c r="AG52" s="98">
        <v>627.8252134605726</v>
      </c>
      <c r="AH52" s="98">
        <v>364.1386238071321</v>
      </c>
      <c r="AI52" s="100">
        <v>0.012</v>
      </c>
      <c r="AJ52" s="100">
        <v>0.750703</v>
      </c>
      <c r="AK52" s="100">
        <v>0.6</v>
      </c>
      <c r="AL52" s="100">
        <v>0.851695</v>
      </c>
      <c r="AM52" s="100">
        <v>0.599388</v>
      </c>
      <c r="AN52" s="100">
        <v>0.633333</v>
      </c>
      <c r="AO52" s="98">
        <v>3465.5951783023606</v>
      </c>
      <c r="AP52" s="158">
        <v>1.680758667</v>
      </c>
      <c r="AQ52" s="100">
        <v>0.07608695652173914</v>
      </c>
      <c r="AR52" s="100">
        <v>0.5675675675675675</v>
      </c>
      <c r="AS52" s="98">
        <v>615.2687091913612</v>
      </c>
      <c r="AT52" s="98">
        <v>489.7036664992466</v>
      </c>
      <c r="AU52" s="98">
        <v>138.12154696132598</v>
      </c>
      <c r="AV52" s="98">
        <v>715.7207433450527</v>
      </c>
      <c r="AW52" s="98">
        <v>602.7122049221497</v>
      </c>
      <c r="AX52" s="98">
        <v>565.0426921145154</v>
      </c>
      <c r="AY52" s="98">
        <v>1117.5288799598193</v>
      </c>
      <c r="AZ52" s="98">
        <v>828.7292817679559</v>
      </c>
      <c r="BA52" s="100" t="s">
        <v>660</v>
      </c>
      <c r="BB52" s="100" t="s">
        <v>660</v>
      </c>
      <c r="BC52" s="100" t="s">
        <v>660</v>
      </c>
      <c r="BD52" s="158">
        <v>1.48829895</v>
      </c>
      <c r="BE52" s="158">
        <v>1.8911999510000002</v>
      </c>
      <c r="BF52" s="162">
        <v>1067</v>
      </c>
      <c r="BG52" s="162">
        <v>15</v>
      </c>
      <c r="BH52" s="162">
        <v>1888</v>
      </c>
      <c r="BI52" s="162">
        <v>981</v>
      </c>
      <c r="BJ52" s="162">
        <v>450</v>
      </c>
      <c r="BK52" s="97"/>
      <c r="BL52" s="97"/>
      <c r="BM52" s="97"/>
      <c r="BN52" s="97"/>
    </row>
    <row r="53" spans="1:66" ht="12.75">
      <c r="A53" s="79" t="s">
        <v>606</v>
      </c>
      <c r="B53" s="79" t="s">
        <v>327</v>
      </c>
      <c r="C53" s="79" t="s">
        <v>177</v>
      </c>
      <c r="D53" s="99">
        <v>9007</v>
      </c>
      <c r="E53" s="99">
        <v>1197</v>
      </c>
      <c r="F53" s="99" t="s">
        <v>397</v>
      </c>
      <c r="G53" s="99">
        <v>38</v>
      </c>
      <c r="H53" s="99">
        <v>17</v>
      </c>
      <c r="I53" s="99">
        <v>152</v>
      </c>
      <c r="J53" s="99">
        <v>946</v>
      </c>
      <c r="K53" s="99">
        <v>925</v>
      </c>
      <c r="L53" s="99">
        <v>2108</v>
      </c>
      <c r="M53" s="99">
        <v>601</v>
      </c>
      <c r="N53" s="99">
        <v>313</v>
      </c>
      <c r="O53" s="99">
        <v>194</v>
      </c>
      <c r="P53" s="159">
        <v>194</v>
      </c>
      <c r="Q53" s="99">
        <v>15</v>
      </c>
      <c r="R53" s="99">
        <v>36</v>
      </c>
      <c r="S53" s="99">
        <v>70</v>
      </c>
      <c r="T53" s="99">
        <v>16</v>
      </c>
      <c r="U53" s="99" t="s">
        <v>660</v>
      </c>
      <c r="V53" s="99">
        <v>43</v>
      </c>
      <c r="W53" s="99">
        <v>63</v>
      </c>
      <c r="X53" s="99">
        <v>38</v>
      </c>
      <c r="Y53" s="99">
        <v>69</v>
      </c>
      <c r="Z53" s="99">
        <v>49</v>
      </c>
      <c r="AA53" s="99" t="s">
        <v>660</v>
      </c>
      <c r="AB53" s="99" t="s">
        <v>660</v>
      </c>
      <c r="AC53" s="99" t="s">
        <v>660</v>
      </c>
      <c r="AD53" s="98" t="s">
        <v>374</v>
      </c>
      <c r="AE53" s="100">
        <v>0.13289663594981682</v>
      </c>
      <c r="AF53" s="100">
        <v>0.06</v>
      </c>
      <c r="AG53" s="98">
        <v>421.89408238037083</v>
      </c>
      <c r="AH53" s="98">
        <v>188.74208948595538</v>
      </c>
      <c r="AI53" s="100">
        <v>0.017</v>
      </c>
      <c r="AJ53" s="100">
        <v>0.838652</v>
      </c>
      <c r="AK53" s="100">
        <v>0.842441</v>
      </c>
      <c r="AL53" s="100">
        <v>0.871434</v>
      </c>
      <c r="AM53" s="100">
        <v>0.675281</v>
      </c>
      <c r="AN53" s="100">
        <v>0.71789</v>
      </c>
      <c r="AO53" s="98">
        <v>2153.880315310314</v>
      </c>
      <c r="AP53" s="158">
        <v>1.192348022</v>
      </c>
      <c r="AQ53" s="100">
        <v>0.07731958762886598</v>
      </c>
      <c r="AR53" s="100">
        <v>0.4166666666666667</v>
      </c>
      <c r="AS53" s="98">
        <v>777.1733096480515</v>
      </c>
      <c r="AT53" s="98">
        <v>177.63961363384036</v>
      </c>
      <c r="AU53" s="98" t="s">
        <v>660</v>
      </c>
      <c r="AV53" s="98">
        <v>477.4064616409459</v>
      </c>
      <c r="AW53" s="98">
        <v>699.4559786832464</v>
      </c>
      <c r="AX53" s="98">
        <v>421.89408238037083</v>
      </c>
      <c r="AY53" s="98">
        <v>766.0708337959364</v>
      </c>
      <c r="AZ53" s="98">
        <v>544.021316753636</v>
      </c>
      <c r="BA53" s="100" t="s">
        <v>660</v>
      </c>
      <c r="BB53" s="100" t="s">
        <v>660</v>
      </c>
      <c r="BC53" s="100" t="s">
        <v>660</v>
      </c>
      <c r="BD53" s="158">
        <v>1.030459137</v>
      </c>
      <c r="BE53" s="158">
        <v>1.372453461</v>
      </c>
      <c r="BF53" s="162">
        <v>1128</v>
      </c>
      <c r="BG53" s="162">
        <v>1098</v>
      </c>
      <c r="BH53" s="162">
        <v>2419</v>
      </c>
      <c r="BI53" s="162">
        <v>890</v>
      </c>
      <c r="BJ53" s="162">
        <v>436</v>
      </c>
      <c r="BK53" s="97"/>
      <c r="BL53" s="97"/>
      <c r="BM53" s="97"/>
      <c r="BN53" s="97"/>
    </row>
    <row r="54" spans="1:66" ht="12.75">
      <c r="A54" s="79" t="s">
        <v>620</v>
      </c>
      <c r="B54" s="79" t="s">
        <v>340</v>
      </c>
      <c r="C54" s="79" t="s">
        <v>177</v>
      </c>
      <c r="D54" s="99">
        <v>5947</v>
      </c>
      <c r="E54" s="99">
        <v>1041</v>
      </c>
      <c r="F54" s="99" t="s">
        <v>395</v>
      </c>
      <c r="G54" s="99">
        <v>20</v>
      </c>
      <c r="H54" s="99">
        <v>19</v>
      </c>
      <c r="I54" s="99">
        <v>112</v>
      </c>
      <c r="J54" s="99">
        <v>614</v>
      </c>
      <c r="K54" s="99">
        <v>20</v>
      </c>
      <c r="L54" s="99">
        <v>1314</v>
      </c>
      <c r="M54" s="99">
        <v>467</v>
      </c>
      <c r="N54" s="99">
        <v>225</v>
      </c>
      <c r="O54" s="99">
        <v>275</v>
      </c>
      <c r="P54" s="159">
        <v>275</v>
      </c>
      <c r="Q54" s="99">
        <v>27</v>
      </c>
      <c r="R54" s="99">
        <v>42</v>
      </c>
      <c r="S54" s="99">
        <v>51</v>
      </c>
      <c r="T54" s="99">
        <v>24</v>
      </c>
      <c r="U54" s="99">
        <v>7</v>
      </c>
      <c r="V54" s="99">
        <v>83</v>
      </c>
      <c r="W54" s="99">
        <v>55</v>
      </c>
      <c r="X54" s="99">
        <v>16</v>
      </c>
      <c r="Y54" s="99">
        <v>77</v>
      </c>
      <c r="Z54" s="99">
        <v>38</v>
      </c>
      <c r="AA54" s="99" t="s">
        <v>660</v>
      </c>
      <c r="AB54" s="99" t="s">
        <v>660</v>
      </c>
      <c r="AC54" s="99" t="s">
        <v>660</v>
      </c>
      <c r="AD54" s="98" t="s">
        <v>374</v>
      </c>
      <c r="AE54" s="100">
        <v>0.17504624180258954</v>
      </c>
      <c r="AF54" s="100">
        <v>0.11</v>
      </c>
      <c r="AG54" s="98">
        <v>336.30401883302505</v>
      </c>
      <c r="AH54" s="98">
        <v>319.4888178913738</v>
      </c>
      <c r="AI54" s="100">
        <v>0.019</v>
      </c>
      <c r="AJ54" s="100">
        <v>0.737095</v>
      </c>
      <c r="AK54" s="100">
        <v>0.869565</v>
      </c>
      <c r="AL54" s="100">
        <v>0.858263</v>
      </c>
      <c r="AM54" s="100">
        <v>0.621011</v>
      </c>
      <c r="AN54" s="100">
        <v>0.641026</v>
      </c>
      <c r="AO54" s="98">
        <v>4624.180258954095</v>
      </c>
      <c r="AP54" s="158">
        <v>2.320713043</v>
      </c>
      <c r="AQ54" s="100">
        <v>0.09818181818181818</v>
      </c>
      <c r="AR54" s="100">
        <v>0.6428571428571429</v>
      </c>
      <c r="AS54" s="98">
        <v>857.5752480242139</v>
      </c>
      <c r="AT54" s="98">
        <v>403.5648225996301</v>
      </c>
      <c r="AU54" s="98">
        <v>117.70640659155877</v>
      </c>
      <c r="AV54" s="98">
        <v>1395.661678157054</v>
      </c>
      <c r="AW54" s="98">
        <v>924.8360517908189</v>
      </c>
      <c r="AX54" s="98">
        <v>269.04321506642003</v>
      </c>
      <c r="AY54" s="98">
        <v>1294.7704725071465</v>
      </c>
      <c r="AZ54" s="98">
        <v>638.9776357827476</v>
      </c>
      <c r="BA54" s="100" t="s">
        <v>660</v>
      </c>
      <c r="BB54" s="100" t="s">
        <v>660</v>
      </c>
      <c r="BC54" s="100" t="s">
        <v>660</v>
      </c>
      <c r="BD54" s="158">
        <v>2.054505615</v>
      </c>
      <c r="BE54" s="158">
        <v>2.6118396</v>
      </c>
      <c r="BF54" s="162">
        <v>833</v>
      </c>
      <c r="BG54" s="162">
        <v>23</v>
      </c>
      <c r="BH54" s="162">
        <v>1531</v>
      </c>
      <c r="BI54" s="162">
        <v>752</v>
      </c>
      <c r="BJ54" s="162">
        <v>351</v>
      </c>
      <c r="BK54" s="97"/>
      <c r="BL54" s="97"/>
      <c r="BM54" s="97"/>
      <c r="BN54" s="97"/>
    </row>
    <row r="55" spans="1:66" ht="12.75">
      <c r="A55" s="79" t="s">
        <v>641</v>
      </c>
      <c r="B55" s="79" t="s">
        <v>362</v>
      </c>
      <c r="C55" s="79" t="s">
        <v>177</v>
      </c>
      <c r="D55" s="99">
        <v>2887</v>
      </c>
      <c r="E55" s="99">
        <v>315</v>
      </c>
      <c r="F55" s="99" t="s">
        <v>394</v>
      </c>
      <c r="G55" s="99">
        <v>6</v>
      </c>
      <c r="H55" s="99" t="s">
        <v>660</v>
      </c>
      <c r="I55" s="99">
        <v>13</v>
      </c>
      <c r="J55" s="99">
        <v>245</v>
      </c>
      <c r="K55" s="99">
        <v>230</v>
      </c>
      <c r="L55" s="99">
        <v>582</v>
      </c>
      <c r="M55" s="99">
        <v>136</v>
      </c>
      <c r="N55" s="99">
        <v>67</v>
      </c>
      <c r="O55" s="99">
        <v>26</v>
      </c>
      <c r="P55" s="159">
        <v>26</v>
      </c>
      <c r="Q55" s="99" t="s">
        <v>660</v>
      </c>
      <c r="R55" s="99">
        <v>7</v>
      </c>
      <c r="S55" s="99">
        <v>7</v>
      </c>
      <c r="T55" s="99" t="s">
        <v>660</v>
      </c>
      <c r="U55" s="99" t="s">
        <v>660</v>
      </c>
      <c r="V55" s="99">
        <v>11</v>
      </c>
      <c r="W55" s="99" t="s">
        <v>660</v>
      </c>
      <c r="X55" s="99">
        <v>13</v>
      </c>
      <c r="Y55" s="99">
        <v>24</v>
      </c>
      <c r="Z55" s="99" t="s">
        <v>660</v>
      </c>
      <c r="AA55" s="99" t="s">
        <v>660</v>
      </c>
      <c r="AB55" s="99" t="s">
        <v>660</v>
      </c>
      <c r="AC55" s="99" t="s">
        <v>660</v>
      </c>
      <c r="AD55" s="98" t="s">
        <v>374</v>
      </c>
      <c r="AE55" s="100">
        <v>0.10910980256321441</v>
      </c>
      <c r="AF55" s="100">
        <v>0.23</v>
      </c>
      <c r="AG55" s="98">
        <v>207.82819535850365</v>
      </c>
      <c r="AH55" s="98" t="s">
        <v>660</v>
      </c>
      <c r="AI55" s="100">
        <v>0.005</v>
      </c>
      <c r="AJ55" s="100">
        <v>0.772871</v>
      </c>
      <c r="AK55" s="100">
        <v>0.787671</v>
      </c>
      <c r="AL55" s="100">
        <v>0.836207</v>
      </c>
      <c r="AM55" s="100">
        <v>0.539683</v>
      </c>
      <c r="AN55" s="100">
        <v>0.563025</v>
      </c>
      <c r="AO55" s="98">
        <v>900.5888465535157</v>
      </c>
      <c r="AP55" s="158">
        <v>0.5762141037</v>
      </c>
      <c r="AQ55" s="100" t="s">
        <v>660</v>
      </c>
      <c r="AR55" s="100" t="s">
        <v>660</v>
      </c>
      <c r="AS55" s="98">
        <v>242.46622791825425</v>
      </c>
      <c r="AT55" s="98" t="s">
        <v>660</v>
      </c>
      <c r="AU55" s="98" t="s">
        <v>660</v>
      </c>
      <c r="AV55" s="98">
        <v>381.01835815725667</v>
      </c>
      <c r="AW55" s="98" t="s">
        <v>660</v>
      </c>
      <c r="AX55" s="98">
        <v>450.29442327675787</v>
      </c>
      <c r="AY55" s="98">
        <v>831.3127814340146</v>
      </c>
      <c r="AZ55" s="98" t="s">
        <v>660</v>
      </c>
      <c r="BA55" s="100" t="s">
        <v>660</v>
      </c>
      <c r="BB55" s="100" t="s">
        <v>660</v>
      </c>
      <c r="BC55" s="100" t="s">
        <v>660</v>
      </c>
      <c r="BD55" s="158">
        <v>0.3764021683</v>
      </c>
      <c r="BE55" s="158">
        <v>0.8442871857</v>
      </c>
      <c r="BF55" s="162">
        <v>317</v>
      </c>
      <c r="BG55" s="162">
        <v>292</v>
      </c>
      <c r="BH55" s="162">
        <v>696</v>
      </c>
      <c r="BI55" s="162">
        <v>252</v>
      </c>
      <c r="BJ55" s="162">
        <v>119</v>
      </c>
      <c r="BK55" s="97"/>
      <c r="BL55" s="97"/>
      <c r="BM55" s="97"/>
      <c r="BN55" s="97"/>
    </row>
    <row r="56" spans="1:66" ht="12.75">
      <c r="A56" s="79" t="s">
        <v>607</v>
      </c>
      <c r="B56" s="79" t="s">
        <v>328</v>
      </c>
      <c r="C56" s="79" t="s">
        <v>177</v>
      </c>
      <c r="D56" s="99">
        <v>7032</v>
      </c>
      <c r="E56" s="99">
        <v>1333</v>
      </c>
      <c r="F56" s="99" t="s">
        <v>396</v>
      </c>
      <c r="G56" s="99">
        <v>39</v>
      </c>
      <c r="H56" s="99">
        <v>16</v>
      </c>
      <c r="I56" s="99">
        <v>111</v>
      </c>
      <c r="J56" s="99">
        <v>720</v>
      </c>
      <c r="K56" s="99">
        <v>702</v>
      </c>
      <c r="L56" s="99">
        <v>1323</v>
      </c>
      <c r="M56" s="99">
        <v>486</v>
      </c>
      <c r="N56" s="99">
        <v>251</v>
      </c>
      <c r="O56" s="99">
        <v>114</v>
      </c>
      <c r="P56" s="159">
        <v>114</v>
      </c>
      <c r="Q56" s="99">
        <v>17</v>
      </c>
      <c r="R56" s="99">
        <v>32</v>
      </c>
      <c r="S56" s="99">
        <v>25</v>
      </c>
      <c r="T56" s="99">
        <v>8</v>
      </c>
      <c r="U56" s="99" t="s">
        <v>660</v>
      </c>
      <c r="V56" s="99">
        <v>27</v>
      </c>
      <c r="W56" s="99">
        <v>30</v>
      </c>
      <c r="X56" s="99">
        <v>19</v>
      </c>
      <c r="Y56" s="99">
        <v>55</v>
      </c>
      <c r="Z56" s="99">
        <v>41</v>
      </c>
      <c r="AA56" s="99" t="s">
        <v>660</v>
      </c>
      <c r="AB56" s="99" t="s">
        <v>660</v>
      </c>
      <c r="AC56" s="99" t="s">
        <v>660</v>
      </c>
      <c r="AD56" s="98" t="s">
        <v>374</v>
      </c>
      <c r="AE56" s="100">
        <v>0.18956200227531286</v>
      </c>
      <c r="AF56" s="100">
        <v>0.14</v>
      </c>
      <c r="AG56" s="98">
        <v>554.6075085324233</v>
      </c>
      <c r="AH56" s="98">
        <v>227.53128555176337</v>
      </c>
      <c r="AI56" s="100">
        <v>0.016</v>
      </c>
      <c r="AJ56" s="100">
        <v>0.806271</v>
      </c>
      <c r="AK56" s="100">
        <v>0.824912</v>
      </c>
      <c r="AL56" s="100">
        <v>0.766068</v>
      </c>
      <c r="AM56" s="100">
        <v>0.56185</v>
      </c>
      <c r="AN56" s="100">
        <v>0.621287</v>
      </c>
      <c r="AO56" s="98">
        <v>1621.1604095563139</v>
      </c>
      <c r="AP56" s="158">
        <v>0.8188079833999999</v>
      </c>
      <c r="AQ56" s="100">
        <v>0.14912280701754385</v>
      </c>
      <c r="AR56" s="100">
        <v>0.53125</v>
      </c>
      <c r="AS56" s="98">
        <v>355.51763367463025</v>
      </c>
      <c r="AT56" s="98">
        <v>113.76564277588169</v>
      </c>
      <c r="AU56" s="98" t="s">
        <v>660</v>
      </c>
      <c r="AV56" s="98">
        <v>383.9590443686007</v>
      </c>
      <c r="AW56" s="98">
        <v>426.6211604095563</v>
      </c>
      <c r="AX56" s="98">
        <v>270.193401592719</v>
      </c>
      <c r="AY56" s="98">
        <v>782.1387940841865</v>
      </c>
      <c r="AZ56" s="98">
        <v>583.0489192263937</v>
      </c>
      <c r="BA56" s="100" t="s">
        <v>660</v>
      </c>
      <c r="BB56" s="100" t="s">
        <v>660</v>
      </c>
      <c r="BC56" s="100" t="s">
        <v>660</v>
      </c>
      <c r="BD56" s="158">
        <v>0.6754155731</v>
      </c>
      <c r="BE56" s="158">
        <v>0.9836384583000001</v>
      </c>
      <c r="BF56" s="162">
        <v>893</v>
      </c>
      <c r="BG56" s="162">
        <v>851</v>
      </c>
      <c r="BH56" s="162">
        <v>1727</v>
      </c>
      <c r="BI56" s="162">
        <v>865</v>
      </c>
      <c r="BJ56" s="162">
        <v>404</v>
      </c>
      <c r="BK56" s="97"/>
      <c r="BL56" s="97"/>
      <c r="BM56" s="97"/>
      <c r="BN56" s="97"/>
    </row>
    <row r="57" spans="1:66" ht="12.75">
      <c r="A57" s="79" t="s">
        <v>568</v>
      </c>
      <c r="B57" s="79" t="s">
        <v>289</v>
      </c>
      <c r="C57" s="79" t="s">
        <v>177</v>
      </c>
      <c r="D57" s="99">
        <v>14646</v>
      </c>
      <c r="E57" s="99">
        <v>2854</v>
      </c>
      <c r="F57" s="99" t="s">
        <v>396</v>
      </c>
      <c r="G57" s="99">
        <v>75</v>
      </c>
      <c r="H57" s="99">
        <v>42</v>
      </c>
      <c r="I57" s="99">
        <v>320</v>
      </c>
      <c r="J57" s="99">
        <v>1658</v>
      </c>
      <c r="K57" s="99">
        <v>1622</v>
      </c>
      <c r="L57" s="99">
        <v>2876</v>
      </c>
      <c r="M57" s="99">
        <v>1100</v>
      </c>
      <c r="N57" s="99">
        <v>552</v>
      </c>
      <c r="O57" s="99">
        <v>281</v>
      </c>
      <c r="P57" s="159">
        <v>281</v>
      </c>
      <c r="Q57" s="99">
        <v>47</v>
      </c>
      <c r="R57" s="99">
        <v>106</v>
      </c>
      <c r="S57" s="99">
        <v>51</v>
      </c>
      <c r="T57" s="99">
        <v>39</v>
      </c>
      <c r="U57" s="99">
        <v>20</v>
      </c>
      <c r="V57" s="99">
        <v>62</v>
      </c>
      <c r="W57" s="99">
        <v>85</v>
      </c>
      <c r="X57" s="99">
        <v>84</v>
      </c>
      <c r="Y57" s="99">
        <v>167</v>
      </c>
      <c r="Z57" s="99">
        <v>126</v>
      </c>
      <c r="AA57" s="99" t="s">
        <v>660</v>
      </c>
      <c r="AB57" s="99" t="s">
        <v>660</v>
      </c>
      <c r="AC57" s="99" t="s">
        <v>660</v>
      </c>
      <c r="AD57" s="98" t="s">
        <v>374</v>
      </c>
      <c r="AE57" s="100">
        <v>0.19486549228458283</v>
      </c>
      <c r="AF57" s="100">
        <v>0.16</v>
      </c>
      <c r="AG57" s="98">
        <v>512.0852109791069</v>
      </c>
      <c r="AH57" s="98">
        <v>286.7677181482999</v>
      </c>
      <c r="AI57" s="100">
        <v>0.022000000000000002</v>
      </c>
      <c r="AJ57" s="100">
        <v>0.802517</v>
      </c>
      <c r="AK57" s="100">
        <v>0.804165</v>
      </c>
      <c r="AL57" s="100">
        <v>0.820074</v>
      </c>
      <c r="AM57" s="100">
        <v>0.563525</v>
      </c>
      <c r="AN57" s="100">
        <v>0.620922</v>
      </c>
      <c r="AO57" s="98">
        <v>1918.6125904683872</v>
      </c>
      <c r="AP57" s="158">
        <v>0.943789978</v>
      </c>
      <c r="AQ57" s="100">
        <v>0.16725978647686832</v>
      </c>
      <c r="AR57" s="100">
        <v>0.44339622641509435</v>
      </c>
      <c r="AS57" s="98">
        <v>348.2179434657927</v>
      </c>
      <c r="AT57" s="98">
        <v>266.2843097091356</v>
      </c>
      <c r="AU57" s="98">
        <v>136.5560562610952</v>
      </c>
      <c r="AV57" s="98">
        <v>423.32377440939507</v>
      </c>
      <c r="AW57" s="98">
        <v>580.3632391096545</v>
      </c>
      <c r="AX57" s="98">
        <v>573.5354362965998</v>
      </c>
      <c r="AY57" s="98">
        <v>1140.2430697801447</v>
      </c>
      <c r="AZ57" s="98">
        <v>860.3031544448996</v>
      </c>
      <c r="BA57" s="100" t="s">
        <v>660</v>
      </c>
      <c r="BB57" s="100" t="s">
        <v>660</v>
      </c>
      <c r="BC57" s="100" t="s">
        <v>660</v>
      </c>
      <c r="BD57" s="158">
        <v>0.8366552734</v>
      </c>
      <c r="BE57" s="158">
        <v>1.060840302</v>
      </c>
      <c r="BF57" s="162">
        <v>2066</v>
      </c>
      <c r="BG57" s="162">
        <v>2017</v>
      </c>
      <c r="BH57" s="162">
        <v>3507</v>
      </c>
      <c r="BI57" s="162">
        <v>1952</v>
      </c>
      <c r="BJ57" s="162">
        <v>889</v>
      </c>
      <c r="BK57" s="97"/>
      <c r="BL57" s="97"/>
      <c r="BM57" s="97"/>
      <c r="BN57" s="97"/>
    </row>
    <row r="58" spans="1:66" ht="12.75">
      <c r="A58" s="79" t="s">
        <v>588</v>
      </c>
      <c r="B58" s="79" t="s">
        <v>309</v>
      </c>
      <c r="C58" s="79" t="s">
        <v>177</v>
      </c>
      <c r="D58" s="99">
        <v>11894</v>
      </c>
      <c r="E58" s="99">
        <v>2126</v>
      </c>
      <c r="F58" s="99" t="s">
        <v>396</v>
      </c>
      <c r="G58" s="99">
        <v>65</v>
      </c>
      <c r="H58" s="99">
        <v>37</v>
      </c>
      <c r="I58" s="99">
        <v>147</v>
      </c>
      <c r="J58" s="99">
        <v>1099</v>
      </c>
      <c r="K58" s="99">
        <v>35</v>
      </c>
      <c r="L58" s="99">
        <v>2448</v>
      </c>
      <c r="M58" s="99">
        <v>770</v>
      </c>
      <c r="N58" s="99">
        <v>401</v>
      </c>
      <c r="O58" s="99">
        <v>192</v>
      </c>
      <c r="P58" s="159">
        <v>192</v>
      </c>
      <c r="Q58" s="99">
        <v>26</v>
      </c>
      <c r="R58" s="99">
        <v>52</v>
      </c>
      <c r="S58" s="99">
        <v>57</v>
      </c>
      <c r="T58" s="99">
        <v>29</v>
      </c>
      <c r="U58" s="99">
        <v>11</v>
      </c>
      <c r="V58" s="99">
        <v>25</v>
      </c>
      <c r="W58" s="99">
        <v>56</v>
      </c>
      <c r="X58" s="99">
        <v>58</v>
      </c>
      <c r="Y58" s="99">
        <v>88</v>
      </c>
      <c r="Z58" s="99">
        <v>57</v>
      </c>
      <c r="AA58" s="99" t="s">
        <v>660</v>
      </c>
      <c r="AB58" s="99" t="s">
        <v>660</v>
      </c>
      <c r="AC58" s="99" t="s">
        <v>660</v>
      </c>
      <c r="AD58" s="98" t="s">
        <v>374</v>
      </c>
      <c r="AE58" s="100">
        <v>0.17874558600975282</v>
      </c>
      <c r="AF58" s="100">
        <v>0.15</v>
      </c>
      <c r="AG58" s="98">
        <v>546.4940306036657</v>
      </c>
      <c r="AH58" s="98">
        <v>311.08121742054817</v>
      </c>
      <c r="AI58" s="100">
        <v>0.012</v>
      </c>
      <c r="AJ58" s="100">
        <v>0.716428</v>
      </c>
      <c r="AK58" s="100">
        <v>0.875</v>
      </c>
      <c r="AL58" s="100">
        <v>0.826469</v>
      </c>
      <c r="AM58" s="100">
        <v>0.567428</v>
      </c>
      <c r="AN58" s="100">
        <v>0.631496</v>
      </c>
      <c r="AO58" s="98">
        <v>1614.2592903985203</v>
      </c>
      <c r="AP58" s="158">
        <v>0.8287034607</v>
      </c>
      <c r="AQ58" s="100">
        <v>0.13541666666666666</v>
      </c>
      <c r="AR58" s="100">
        <v>0.5</v>
      </c>
      <c r="AS58" s="98">
        <v>479.2332268370607</v>
      </c>
      <c r="AT58" s="98">
        <v>243.82041365394318</v>
      </c>
      <c r="AU58" s="98">
        <v>92.48360517908189</v>
      </c>
      <c r="AV58" s="98">
        <v>210.19001177064067</v>
      </c>
      <c r="AW58" s="98">
        <v>470.8256263662351</v>
      </c>
      <c r="AX58" s="98">
        <v>487.64082730788635</v>
      </c>
      <c r="AY58" s="98">
        <v>739.8688414326551</v>
      </c>
      <c r="AZ58" s="98">
        <v>479.2332268370607</v>
      </c>
      <c r="BA58" s="100" t="s">
        <v>660</v>
      </c>
      <c r="BB58" s="100" t="s">
        <v>660</v>
      </c>
      <c r="BC58" s="100" t="s">
        <v>660</v>
      </c>
      <c r="BD58" s="158">
        <v>0.7156248474</v>
      </c>
      <c r="BE58" s="158">
        <v>0.9545762634</v>
      </c>
      <c r="BF58" s="162">
        <v>1534</v>
      </c>
      <c r="BG58" s="162">
        <v>40</v>
      </c>
      <c r="BH58" s="162">
        <v>2962</v>
      </c>
      <c r="BI58" s="162">
        <v>1357</v>
      </c>
      <c r="BJ58" s="162">
        <v>635</v>
      </c>
      <c r="BK58" s="97"/>
      <c r="BL58" s="97"/>
      <c r="BM58" s="97"/>
      <c r="BN58" s="97"/>
    </row>
    <row r="59" spans="1:66" ht="12.75">
      <c r="A59" s="79" t="s">
        <v>561</v>
      </c>
      <c r="B59" s="79" t="s">
        <v>282</v>
      </c>
      <c r="C59" s="79" t="s">
        <v>177</v>
      </c>
      <c r="D59" s="99">
        <v>8016</v>
      </c>
      <c r="E59" s="99">
        <v>1335</v>
      </c>
      <c r="F59" s="99" t="s">
        <v>397</v>
      </c>
      <c r="G59" s="99">
        <v>41</v>
      </c>
      <c r="H59" s="99">
        <v>21</v>
      </c>
      <c r="I59" s="99">
        <v>95</v>
      </c>
      <c r="J59" s="99">
        <v>774</v>
      </c>
      <c r="K59" s="99">
        <v>344</v>
      </c>
      <c r="L59" s="99">
        <v>1413</v>
      </c>
      <c r="M59" s="99">
        <v>593</v>
      </c>
      <c r="N59" s="99">
        <v>317</v>
      </c>
      <c r="O59" s="99">
        <v>191</v>
      </c>
      <c r="P59" s="159">
        <v>191</v>
      </c>
      <c r="Q59" s="99">
        <v>14</v>
      </c>
      <c r="R59" s="99">
        <v>38</v>
      </c>
      <c r="S59" s="99">
        <v>51</v>
      </c>
      <c r="T59" s="99">
        <v>24</v>
      </c>
      <c r="U59" s="99">
        <v>6</v>
      </c>
      <c r="V59" s="99">
        <v>36</v>
      </c>
      <c r="W59" s="99">
        <v>63</v>
      </c>
      <c r="X59" s="99">
        <v>24</v>
      </c>
      <c r="Y59" s="99">
        <v>86</v>
      </c>
      <c r="Z59" s="99">
        <v>49</v>
      </c>
      <c r="AA59" s="99" t="s">
        <v>660</v>
      </c>
      <c r="AB59" s="99" t="s">
        <v>660</v>
      </c>
      <c r="AC59" s="99" t="s">
        <v>660</v>
      </c>
      <c r="AD59" s="98" t="s">
        <v>374</v>
      </c>
      <c r="AE59" s="100">
        <v>0.16654191616766467</v>
      </c>
      <c r="AF59" s="100">
        <v>0.06</v>
      </c>
      <c r="AG59" s="98">
        <v>511.47704590818364</v>
      </c>
      <c r="AH59" s="98">
        <v>261.9760479041916</v>
      </c>
      <c r="AI59" s="100">
        <v>0.012</v>
      </c>
      <c r="AJ59" s="100">
        <v>0.789796</v>
      </c>
      <c r="AK59" s="100">
        <v>0.7713</v>
      </c>
      <c r="AL59" s="100">
        <v>0.789385</v>
      </c>
      <c r="AM59" s="100">
        <v>0.615145</v>
      </c>
      <c r="AN59" s="100">
        <v>0.675906</v>
      </c>
      <c r="AO59" s="98">
        <v>2382.734530938124</v>
      </c>
      <c r="AP59" s="158">
        <v>1.280944672</v>
      </c>
      <c r="AQ59" s="100">
        <v>0.07329842931937172</v>
      </c>
      <c r="AR59" s="100">
        <v>0.3684210526315789</v>
      </c>
      <c r="AS59" s="98">
        <v>636.2275449101796</v>
      </c>
      <c r="AT59" s="98">
        <v>299.4011976047904</v>
      </c>
      <c r="AU59" s="98">
        <v>74.8502994011976</v>
      </c>
      <c r="AV59" s="98">
        <v>449.10179640718565</v>
      </c>
      <c r="AW59" s="98">
        <v>785.9281437125749</v>
      </c>
      <c r="AX59" s="98">
        <v>299.4011976047904</v>
      </c>
      <c r="AY59" s="98">
        <v>1072.8542914171658</v>
      </c>
      <c r="AZ59" s="98">
        <v>611.2774451097804</v>
      </c>
      <c r="BA59" s="100" t="s">
        <v>660</v>
      </c>
      <c r="BB59" s="100" t="s">
        <v>660</v>
      </c>
      <c r="BC59" s="100" t="s">
        <v>660</v>
      </c>
      <c r="BD59" s="158">
        <v>1.105716629</v>
      </c>
      <c r="BE59" s="158">
        <v>1.476053619</v>
      </c>
      <c r="BF59" s="162">
        <v>980</v>
      </c>
      <c r="BG59" s="162">
        <v>446</v>
      </c>
      <c r="BH59" s="162">
        <v>1790</v>
      </c>
      <c r="BI59" s="162">
        <v>964</v>
      </c>
      <c r="BJ59" s="162">
        <v>469</v>
      </c>
      <c r="BK59" s="97"/>
      <c r="BL59" s="97"/>
      <c r="BM59" s="97"/>
      <c r="BN59" s="97"/>
    </row>
    <row r="60" spans="1:66" ht="12.75">
      <c r="A60" s="79" t="s">
        <v>615</v>
      </c>
      <c r="B60" s="79" t="s">
        <v>336</v>
      </c>
      <c r="C60" s="79" t="s">
        <v>177</v>
      </c>
      <c r="D60" s="99">
        <v>2641</v>
      </c>
      <c r="E60" s="99">
        <v>455</v>
      </c>
      <c r="F60" s="99" t="s">
        <v>394</v>
      </c>
      <c r="G60" s="99">
        <v>15</v>
      </c>
      <c r="H60" s="99">
        <v>12</v>
      </c>
      <c r="I60" s="99">
        <v>16</v>
      </c>
      <c r="J60" s="99">
        <v>232</v>
      </c>
      <c r="K60" s="99" t="s">
        <v>660</v>
      </c>
      <c r="L60" s="99">
        <v>428</v>
      </c>
      <c r="M60" s="99">
        <v>155</v>
      </c>
      <c r="N60" s="99">
        <v>75</v>
      </c>
      <c r="O60" s="99">
        <v>57</v>
      </c>
      <c r="P60" s="159">
        <v>57</v>
      </c>
      <c r="Q60" s="99" t="s">
        <v>660</v>
      </c>
      <c r="R60" s="99">
        <v>17</v>
      </c>
      <c r="S60" s="99">
        <v>21</v>
      </c>
      <c r="T60" s="99" t="s">
        <v>660</v>
      </c>
      <c r="U60" s="99" t="s">
        <v>660</v>
      </c>
      <c r="V60" s="99">
        <v>18</v>
      </c>
      <c r="W60" s="99">
        <v>13</v>
      </c>
      <c r="X60" s="99">
        <v>15</v>
      </c>
      <c r="Y60" s="99">
        <v>15</v>
      </c>
      <c r="Z60" s="99">
        <v>26</v>
      </c>
      <c r="AA60" s="99" t="s">
        <v>660</v>
      </c>
      <c r="AB60" s="99" t="s">
        <v>660</v>
      </c>
      <c r="AC60" s="99" t="s">
        <v>660</v>
      </c>
      <c r="AD60" s="98" t="s">
        <v>374</v>
      </c>
      <c r="AE60" s="100">
        <v>0.17228322605073837</v>
      </c>
      <c r="AF60" s="100">
        <v>0.2</v>
      </c>
      <c r="AG60" s="98">
        <v>567.9666792881484</v>
      </c>
      <c r="AH60" s="98">
        <v>454.37334343051873</v>
      </c>
      <c r="AI60" s="100">
        <v>0.006</v>
      </c>
      <c r="AJ60" s="100">
        <v>0.684366</v>
      </c>
      <c r="AK60" s="100" t="s">
        <v>660</v>
      </c>
      <c r="AL60" s="100">
        <v>0.703947</v>
      </c>
      <c r="AM60" s="100">
        <v>0.508197</v>
      </c>
      <c r="AN60" s="100">
        <v>0.531915</v>
      </c>
      <c r="AO60" s="98">
        <v>2158.273381294964</v>
      </c>
      <c r="AP60" s="158">
        <v>1.145424652</v>
      </c>
      <c r="AQ60" s="100" t="s">
        <v>660</v>
      </c>
      <c r="AR60" s="100" t="s">
        <v>660</v>
      </c>
      <c r="AS60" s="98">
        <v>795.1533510034078</v>
      </c>
      <c r="AT60" s="98" t="s">
        <v>660</v>
      </c>
      <c r="AU60" s="98" t="s">
        <v>660</v>
      </c>
      <c r="AV60" s="98">
        <v>681.5600151457782</v>
      </c>
      <c r="AW60" s="98">
        <v>492.2377887163953</v>
      </c>
      <c r="AX60" s="98">
        <v>567.9666792881484</v>
      </c>
      <c r="AY60" s="98">
        <v>567.9666792881484</v>
      </c>
      <c r="AZ60" s="98">
        <v>984.4755774327906</v>
      </c>
      <c r="BA60" s="100" t="s">
        <v>660</v>
      </c>
      <c r="BB60" s="100" t="s">
        <v>660</v>
      </c>
      <c r="BC60" s="100" t="s">
        <v>660</v>
      </c>
      <c r="BD60" s="158">
        <v>0.8675334167</v>
      </c>
      <c r="BE60" s="158">
        <v>1.484030457</v>
      </c>
      <c r="BF60" s="162">
        <v>339</v>
      </c>
      <c r="BG60" s="162" t="s">
        <v>660</v>
      </c>
      <c r="BH60" s="162">
        <v>608</v>
      </c>
      <c r="BI60" s="162">
        <v>305</v>
      </c>
      <c r="BJ60" s="162">
        <v>141</v>
      </c>
      <c r="BK60" s="97"/>
      <c r="BL60" s="97"/>
      <c r="BM60" s="97"/>
      <c r="BN60" s="97"/>
    </row>
    <row r="61" spans="1:66" ht="12.75">
      <c r="A61" s="79" t="s">
        <v>647</v>
      </c>
      <c r="B61" s="79" t="s">
        <v>368</v>
      </c>
      <c r="C61" s="79" t="s">
        <v>177</v>
      </c>
      <c r="D61" s="99">
        <v>6270</v>
      </c>
      <c r="E61" s="99">
        <v>747</v>
      </c>
      <c r="F61" s="99" t="s">
        <v>396</v>
      </c>
      <c r="G61" s="99">
        <v>21</v>
      </c>
      <c r="H61" s="99">
        <v>9</v>
      </c>
      <c r="I61" s="99">
        <v>79</v>
      </c>
      <c r="J61" s="99">
        <v>560</v>
      </c>
      <c r="K61" s="99">
        <v>553</v>
      </c>
      <c r="L61" s="99">
        <v>1404</v>
      </c>
      <c r="M61" s="99">
        <v>349</v>
      </c>
      <c r="N61" s="99">
        <v>183</v>
      </c>
      <c r="O61" s="99">
        <v>176</v>
      </c>
      <c r="P61" s="159">
        <v>176</v>
      </c>
      <c r="Q61" s="99">
        <v>14</v>
      </c>
      <c r="R61" s="99">
        <v>28</v>
      </c>
      <c r="S61" s="99">
        <v>36</v>
      </c>
      <c r="T61" s="99">
        <v>22</v>
      </c>
      <c r="U61" s="99" t="s">
        <v>660</v>
      </c>
      <c r="V61" s="99">
        <v>44</v>
      </c>
      <c r="W61" s="99">
        <v>30</v>
      </c>
      <c r="X61" s="99">
        <v>17</v>
      </c>
      <c r="Y61" s="99">
        <v>52</v>
      </c>
      <c r="Z61" s="99">
        <v>27</v>
      </c>
      <c r="AA61" s="99" t="s">
        <v>660</v>
      </c>
      <c r="AB61" s="99" t="s">
        <v>660</v>
      </c>
      <c r="AC61" s="99" t="s">
        <v>660</v>
      </c>
      <c r="AD61" s="98" t="s">
        <v>374</v>
      </c>
      <c r="AE61" s="100">
        <v>0.11913875598086124</v>
      </c>
      <c r="AF61" s="100">
        <v>0.12</v>
      </c>
      <c r="AG61" s="98">
        <v>334.9282296650718</v>
      </c>
      <c r="AH61" s="98">
        <v>143.54066985645932</v>
      </c>
      <c r="AI61" s="100">
        <v>0.013000000000000001</v>
      </c>
      <c r="AJ61" s="100">
        <v>0.827179</v>
      </c>
      <c r="AK61" s="100">
        <v>0.835347</v>
      </c>
      <c r="AL61" s="100">
        <v>0.854534</v>
      </c>
      <c r="AM61" s="100">
        <v>0.629964</v>
      </c>
      <c r="AN61" s="100">
        <v>0.667883</v>
      </c>
      <c r="AO61" s="98">
        <v>2807.0175438596493</v>
      </c>
      <c r="AP61" s="158">
        <v>1.687702332</v>
      </c>
      <c r="AQ61" s="100">
        <v>0.07954545454545454</v>
      </c>
      <c r="AR61" s="100">
        <v>0.5</v>
      </c>
      <c r="AS61" s="98">
        <v>574.1626794258373</v>
      </c>
      <c r="AT61" s="98">
        <v>350.87719298245617</v>
      </c>
      <c r="AU61" s="98" t="s">
        <v>660</v>
      </c>
      <c r="AV61" s="98">
        <v>701.7543859649123</v>
      </c>
      <c r="AW61" s="98">
        <v>478.4688995215311</v>
      </c>
      <c r="AX61" s="98">
        <v>271.13237639553427</v>
      </c>
      <c r="AY61" s="98">
        <v>829.3460925039873</v>
      </c>
      <c r="AZ61" s="98">
        <v>430.622009569378</v>
      </c>
      <c r="BA61" s="100" t="s">
        <v>660</v>
      </c>
      <c r="BB61" s="100" t="s">
        <v>660</v>
      </c>
      <c r="BC61" s="100" t="s">
        <v>660</v>
      </c>
      <c r="BD61" s="158">
        <v>1.447567749</v>
      </c>
      <c r="BE61" s="158">
        <v>1.9562913510000002</v>
      </c>
      <c r="BF61" s="162">
        <v>677</v>
      </c>
      <c r="BG61" s="162">
        <v>662</v>
      </c>
      <c r="BH61" s="162">
        <v>1643</v>
      </c>
      <c r="BI61" s="162">
        <v>554</v>
      </c>
      <c r="BJ61" s="162">
        <v>274</v>
      </c>
      <c r="BK61" s="97"/>
      <c r="BL61" s="97"/>
      <c r="BM61" s="97"/>
      <c r="BN61" s="97"/>
    </row>
    <row r="62" spans="1:66" ht="12.75">
      <c r="A62" s="79" t="s">
        <v>613</v>
      </c>
      <c r="B62" s="79" t="s">
        <v>334</v>
      </c>
      <c r="C62" s="79" t="s">
        <v>177</v>
      </c>
      <c r="D62" s="99">
        <v>5491</v>
      </c>
      <c r="E62" s="99">
        <v>997</v>
      </c>
      <c r="F62" s="99" t="s">
        <v>397</v>
      </c>
      <c r="G62" s="99">
        <v>7</v>
      </c>
      <c r="H62" s="99">
        <v>12</v>
      </c>
      <c r="I62" s="99">
        <v>85</v>
      </c>
      <c r="J62" s="99">
        <v>633</v>
      </c>
      <c r="K62" s="99">
        <v>623</v>
      </c>
      <c r="L62" s="99">
        <v>1214</v>
      </c>
      <c r="M62" s="99">
        <v>411</v>
      </c>
      <c r="N62" s="99">
        <v>215</v>
      </c>
      <c r="O62" s="99">
        <v>204</v>
      </c>
      <c r="P62" s="159">
        <v>204</v>
      </c>
      <c r="Q62" s="99">
        <v>12</v>
      </c>
      <c r="R62" s="99">
        <v>25</v>
      </c>
      <c r="S62" s="99">
        <v>40</v>
      </c>
      <c r="T62" s="99">
        <v>22</v>
      </c>
      <c r="U62" s="99" t="s">
        <v>660</v>
      </c>
      <c r="V62" s="99">
        <v>58</v>
      </c>
      <c r="W62" s="99">
        <v>41</v>
      </c>
      <c r="X62" s="99">
        <v>25</v>
      </c>
      <c r="Y62" s="99">
        <v>68</v>
      </c>
      <c r="Z62" s="99">
        <v>47</v>
      </c>
      <c r="AA62" s="99" t="s">
        <v>660</v>
      </c>
      <c r="AB62" s="99" t="s">
        <v>660</v>
      </c>
      <c r="AC62" s="99" t="s">
        <v>660</v>
      </c>
      <c r="AD62" s="98" t="s">
        <v>374</v>
      </c>
      <c r="AE62" s="100">
        <v>0.1815698415589146</v>
      </c>
      <c r="AF62" s="100">
        <v>0.07</v>
      </c>
      <c r="AG62" s="98">
        <v>127.48133309051174</v>
      </c>
      <c r="AH62" s="98">
        <v>218.539428155163</v>
      </c>
      <c r="AI62" s="100">
        <v>0.015</v>
      </c>
      <c r="AJ62" s="100">
        <v>0.842876</v>
      </c>
      <c r="AK62" s="100">
        <v>0.860497</v>
      </c>
      <c r="AL62" s="100">
        <v>0.860993</v>
      </c>
      <c r="AM62" s="100">
        <v>0.652381</v>
      </c>
      <c r="AN62" s="100">
        <v>0.657492</v>
      </c>
      <c r="AO62" s="98">
        <v>3715.170278637771</v>
      </c>
      <c r="AP62" s="158">
        <v>1.847129669</v>
      </c>
      <c r="AQ62" s="100">
        <v>0.058823529411764705</v>
      </c>
      <c r="AR62" s="100">
        <v>0.48</v>
      </c>
      <c r="AS62" s="98">
        <v>728.4647605172099</v>
      </c>
      <c r="AT62" s="98">
        <v>400.6556182844655</v>
      </c>
      <c r="AU62" s="98" t="s">
        <v>660</v>
      </c>
      <c r="AV62" s="98">
        <v>1056.2739027499545</v>
      </c>
      <c r="AW62" s="98">
        <v>746.6763795301403</v>
      </c>
      <c r="AX62" s="98">
        <v>455.29047532325626</v>
      </c>
      <c r="AY62" s="98">
        <v>1238.390092879257</v>
      </c>
      <c r="AZ62" s="98">
        <v>855.9460936077218</v>
      </c>
      <c r="BA62" s="100" t="s">
        <v>660</v>
      </c>
      <c r="BB62" s="100" t="s">
        <v>660</v>
      </c>
      <c r="BC62" s="100" t="s">
        <v>660</v>
      </c>
      <c r="BD62" s="158">
        <v>1.602339325</v>
      </c>
      <c r="BE62" s="158">
        <v>2.118741302</v>
      </c>
      <c r="BF62" s="162">
        <v>751</v>
      </c>
      <c r="BG62" s="162">
        <v>724</v>
      </c>
      <c r="BH62" s="162">
        <v>1410</v>
      </c>
      <c r="BI62" s="162">
        <v>630</v>
      </c>
      <c r="BJ62" s="162">
        <v>327</v>
      </c>
      <c r="BK62" s="97"/>
      <c r="BL62" s="97"/>
      <c r="BM62" s="97"/>
      <c r="BN62" s="97"/>
    </row>
    <row r="63" spans="1:66" ht="12.75">
      <c r="A63" s="79" t="s">
        <v>591</v>
      </c>
      <c r="B63" s="79" t="s">
        <v>312</v>
      </c>
      <c r="C63" s="79" t="s">
        <v>177</v>
      </c>
      <c r="D63" s="99">
        <v>3059</v>
      </c>
      <c r="E63" s="99">
        <v>548</v>
      </c>
      <c r="F63" s="99" t="s">
        <v>394</v>
      </c>
      <c r="G63" s="99">
        <v>15</v>
      </c>
      <c r="H63" s="99">
        <v>9</v>
      </c>
      <c r="I63" s="99">
        <v>47</v>
      </c>
      <c r="J63" s="99">
        <v>345</v>
      </c>
      <c r="K63" s="99">
        <v>73</v>
      </c>
      <c r="L63" s="99">
        <v>620</v>
      </c>
      <c r="M63" s="99">
        <v>270</v>
      </c>
      <c r="N63" s="99">
        <v>144</v>
      </c>
      <c r="O63" s="99">
        <v>19</v>
      </c>
      <c r="P63" s="159">
        <v>19</v>
      </c>
      <c r="Q63" s="99" t="s">
        <v>660</v>
      </c>
      <c r="R63" s="99">
        <v>16</v>
      </c>
      <c r="S63" s="99">
        <v>13</v>
      </c>
      <c r="T63" s="99" t="s">
        <v>660</v>
      </c>
      <c r="U63" s="99" t="s">
        <v>660</v>
      </c>
      <c r="V63" s="99" t="s">
        <v>660</v>
      </c>
      <c r="W63" s="99" t="s">
        <v>660</v>
      </c>
      <c r="X63" s="99">
        <v>9</v>
      </c>
      <c r="Y63" s="99">
        <v>27</v>
      </c>
      <c r="Z63" s="99">
        <v>19</v>
      </c>
      <c r="AA63" s="99" t="s">
        <v>660</v>
      </c>
      <c r="AB63" s="99" t="s">
        <v>660</v>
      </c>
      <c r="AC63" s="99" t="s">
        <v>660</v>
      </c>
      <c r="AD63" s="98" t="s">
        <v>374</v>
      </c>
      <c r="AE63" s="100">
        <v>0.17914351095129127</v>
      </c>
      <c r="AF63" s="100">
        <v>0.21</v>
      </c>
      <c r="AG63" s="98">
        <v>490.3563255966002</v>
      </c>
      <c r="AH63" s="98">
        <v>294.2137953579601</v>
      </c>
      <c r="AI63" s="100">
        <v>0.015</v>
      </c>
      <c r="AJ63" s="100">
        <v>0.764967</v>
      </c>
      <c r="AK63" s="100">
        <v>0.776596</v>
      </c>
      <c r="AL63" s="100">
        <v>0.836707</v>
      </c>
      <c r="AM63" s="100">
        <v>0.601336</v>
      </c>
      <c r="AN63" s="100">
        <v>0.685714</v>
      </c>
      <c r="AO63" s="98">
        <v>621.1180124223603</v>
      </c>
      <c r="AP63" s="158">
        <v>0.3139548874</v>
      </c>
      <c r="AQ63" s="100" t="s">
        <v>660</v>
      </c>
      <c r="AR63" s="100" t="s">
        <v>660</v>
      </c>
      <c r="AS63" s="98">
        <v>424.97548218372015</v>
      </c>
      <c r="AT63" s="98" t="s">
        <v>660</v>
      </c>
      <c r="AU63" s="98" t="s">
        <v>660</v>
      </c>
      <c r="AV63" s="98" t="s">
        <v>660</v>
      </c>
      <c r="AW63" s="98" t="s">
        <v>660</v>
      </c>
      <c r="AX63" s="98">
        <v>294.2137953579601</v>
      </c>
      <c r="AY63" s="98">
        <v>882.6413860738803</v>
      </c>
      <c r="AZ63" s="98">
        <v>621.1180124223603</v>
      </c>
      <c r="BA63" s="100" t="s">
        <v>660</v>
      </c>
      <c r="BB63" s="100" t="s">
        <v>660</v>
      </c>
      <c r="BC63" s="100" t="s">
        <v>660</v>
      </c>
      <c r="BD63" s="158">
        <v>0.18902135850000001</v>
      </c>
      <c r="BE63" s="158">
        <v>0.49027946470000006</v>
      </c>
      <c r="BF63" s="162">
        <v>451</v>
      </c>
      <c r="BG63" s="162">
        <v>94</v>
      </c>
      <c r="BH63" s="162">
        <v>741</v>
      </c>
      <c r="BI63" s="162">
        <v>449</v>
      </c>
      <c r="BJ63" s="162">
        <v>210</v>
      </c>
      <c r="BK63" s="97"/>
      <c r="BL63" s="97"/>
      <c r="BM63" s="97"/>
      <c r="BN63" s="97"/>
    </row>
    <row r="64" spans="1:66" ht="12.75">
      <c r="A64" s="79" t="s">
        <v>603</v>
      </c>
      <c r="B64" s="79" t="s">
        <v>324</v>
      </c>
      <c r="C64" s="79" t="s">
        <v>177</v>
      </c>
      <c r="D64" s="99">
        <v>8348</v>
      </c>
      <c r="E64" s="99">
        <v>2022</v>
      </c>
      <c r="F64" s="99" t="s">
        <v>397</v>
      </c>
      <c r="G64" s="99">
        <v>68</v>
      </c>
      <c r="H64" s="99">
        <v>48</v>
      </c>
      <c r="I64" s="99">
        <v>226</v>
      </c>
      <c r="J64" s="99">
        <v>1016</v>
      </c>
      <c r="K64" s="99">
        <v>18</v>
      </c>
      <c r="L64" s="99">
        <v>1733</v>
      </c>
      <c r="M64" s="99">
        <v>724</v>
      </c>
      <c r="N64" s="99">
        <v>404</v>
      </c>
      <c r="O64" s="99">
        <v>286</v>
      </c>
      <c r="P64" s="159">
        <v>286</v>
      </c>
      <c r="Q64" s="99">
        <v>36</v>
      </c>
      <c r="R64" s="99">
        <v>68</v>
      </c>
      <c r="S64" s="99">
        <v>57</v>
      </c>
      <c r="T64" s="99">
        <v>26</v>
      </c>
      <c r="U64" s="99">
        <v>12</v>
      </c>
      <c r="V64" s="99">
        <v>36</v>
      </c>
      <c r="W64" s="99">
        <v>55</v>
      </c>
      <c r="X64" s="99">
        <v>36</v>
      </c>
      <c r="Y64" s="99">
        <v>94</v>
      </c>
      <c r="Z64" s="99">
        <v>82</v>
      </c>
      <c r="AA64" s="99" t="s">
        <v>660</v>
      </c>
      <c r="AB64" s="99" t="s">
        <v>660</v>
      </c>
      <c r="AC64" s="99" t="s">
        <v>660</v>
      </c>
      <c r="AD64" s="98" t="s">
        <v>374</v>
      </c>
      <c r="AE64" s="100">
        <v>0.24221370388116914</v>
      </c>
      <c r="AF64" s="100">
        <v>0.07</v>
      </c>
      <c r="AG64" s="98">
        <v>814.5663632007667</v>
      </c>
      <c r="AH64" s="98">
        <v>574.9880210828941</v>
      </c>
      <c r="AI64" s="100">
        <v>0.027000000000000003</v>
      </c>
      <c r="AJ64" s="100">
        <v>0.845962</v>
      </c>
      <c r="AK64" s="100">
        <v>0.72</v>
      </c>
      <c r="AL64" s="100">
        <v>0.878803</v>
      </c>
      <c r="AM64" s="100">
        <v>0.614601</v>
      </c>
      <c r="AN64" s="100">
        <v>0.685908</v>
      </c>
      <c r="AO64" s="98">
        <v>3425.970292285577</v>
      </c>
      <c r="AP64" s="158">
        <v>1.513004456</v>
      </c>
      <c r="AQ64" s="100">
        <v>0.1258741258741259</v>
      </c>
      <c r="AR64" s="100">
        <v>0.5294117647058824</v>
      </c>
      <c r="AS64" s="98">
        <v>682.7982750359367</v>
      </c>
      <c r="AT64" s="98">
        <v>311.4518447532343</v>
      </c>
      <c r="AU64" s="98">
        <v>143.74700527072352</v>
      </c>
      <c r="AV64" s="98">
        <v>431.2410158121706</v>
      </c>
      <c r="AW64" s="98">
        <v>658.8404408241495</v>
      </c>
      <c r="AX64" s="98">
        <v>431.2410158121706</v>
      </c>
      <c r="AY64" s="98">
        <v>1126.018207954001</v>
      </c>
      <c r="AZ64" s="98">
        <v>982.2712026832775</v>
      </c>
      <c r="BA64" s="100" t="s">
        <v>660</v>
      </c>
      <c r="BB64" s="100" t="s">
        <v>660</v>
      </c>
      <c r="BC64" s="100" t="s">
        <v>660</v>
      </c>
      <c r="BD64" s="158">
        <v>1.3427178960000001</v>
      </c>
      <c r="BE64" s="158">
        <v>1.698906555</v>
      </c>
      <c r="BF64" s="162">
        <v>1201</v>
      </c>
      <c r="BG64" s="162">
        <v>25</v>
      </c>
      <c r="BH64" s="162">
        <v>1972</v>
      </c>
      <c r="BI64" s="162">
        <v>1178</v>
      </c>
      <c r="BJ64" s="162">
        <v>589</v>
      </c>
      <c r="BK64" s="97"/>
      <c r="BL64" s="97"/>
      <c r="BM64" s="97"/>
      <c r="BN64" s="97"/>
    </row>
    <row r="65" spans="1:66" ht="12.75">
      <c r="A65" s="79" t="s">
        <v>605</v>
      </c>
      <c r="B65" s="79" t="s">
        <v>326</v>
      </c>
      <c r="C65" s="79" t="s">
        <v>177</v>
      </c>
      <c r="D65" s="99">
        <v>5926</v>
      </c>
      <c r="E65" s="99">
        <v>1073</v>
      </c>
      <c r="F65" s="99" t="s">
        <v>396</v>
      </c>
      <c r="G65" s="99">
        <v>34</v>
      </c>
      <c r="H65" s="99">
        <v>18</v>
      </c>
      <c r="I65" s="99">
        <v>100</v>
      </c>
      <c r="J65" s="99">
        <v>582</v>
      </c>
      <c r="K65" s="99" t="s">
        <v>660</v>
      </c>
      <c r="L65" s="99">
        <v>1196</v>
      </c>
      <c r="M65" s="99">
        <v>364</v>
      </c>
      <c r="N65" s="99">
        <v>160</v>
      </c>
      <c r="O65" s="99">
        <v>166</v>
      </c>
      <c r="P65" s="159">
        <v>166</v>
      </c>
      <c r="Q65" s="99">
        <v>23</v>
      </c>
      <c r="R65" s="99">
        <v>35</v>
      </c>
      <c r="S65" s="99">
        <v>31</v>
      </c>
      <c r="T65" s="99">
        <v>21</v>
      </c>
      <c r="U65" s="99">
        <v>14</v>
      </c>
      <c r="V65" s="99">
        <v>28</v>
      </c>
      <c r="W65" s="99">
        <v>24</v>
      </c>
      <c r="X65" s="99">
        <v>40</v>
      </c>
      <c r="Y65" s="99">
        <v>58</v>
      </c>
      <c r="Z65" s="99">
        <v>32</v>
      </c>
      <c r="AA65" s="99" t="s">
        <v>660</v>
      </c>
      <c r="AB65" s="99" t="s">
        <v>660</v>
      </c>
      <c r="AC65" s="99" t="s">
        <v>660</v>
      </c>
      <c r="AD65" s="98" t="s">
        <v>374</v>
      </c>
      <c r="AE65" s="100">
        <v>0.18106648666891664</v>
      </c>
      <c r="AF65" s="100">
        <v>0.15</v>
      </c>
      <c r="AG65" s="98">
        <v>573.7428282146473</v>
      </c>
      <c r="AH65" s="98">
        <v>303.74620317246035</v>
      </c>
      <c r="AI65" s="100">
        <v>0.017</v>
      </c>
      <c r="AJ65" s="100">
        <v>0.799451</v>
      </c>
      <c r="AK65" s="100" t="s">
        <v>660</v>
      </c>
      <c r="AL65" s="100">
        <v>0.829404</v>
      </c>
      <c r="AM65" s="100">
        <v>0.572327</v>
      </c>
      <c r="AN65" s="100">
        <v>0.569395</v>
      </c>
      <c r="AO65" s="98">
        <v>2801.2149848126896</v>
      </c>
      <c r="AP65" s="158">
        <v>1.4373609920000001</v>
      </c>
      <c r="AQ65" s="100">
        <v>0.13855421686746988</v>
      </c>
      <c r="AR65" s="100">
        <v>0.6571428571428571</v>
      </c>
      <c r="AS65" s="98">
        <v>523.1184610192373</v>
      </c>
      <c r="AT65" s="98">
        <v>354.3705703678704</v>
      </c>
      <c r="AU65" s="98">
        <v>236.2470469119136</v>
      </c>
      <c r="AV65" s="98">
        <v>472.4940938238272</v>
      </c>
      <c r="AW65" s="98">
        <v>404.9949375632805</v>
      </c>
      <c r="AX65" s="98">
        <v>674.9915626054674</v>
      </c>
      <c r="AY65" s="98">
        <v>978.7377657779277</v>
      </c>
      <c r="AZ65" s="98">
        <v>539.9932500843739</v>
      </c>
      <c r="BA65" s="100" t="s">
        <v>660</v>
      </c>
      <c r="BB65" s="100" t="s">
        <v>660</v>
      </c>
      <c r="BC65" s="100" t="s">
        <v>660</v>
      </c>
      <c r="BD65" s="158">
        <v>1.227018814</v>
      </c>
      <c r="BE65" s="158">
        <v>1.673415222</v>
      </c>
      <c r="BF65" s="162">
        <v>728</v>
      </c>
      <c r="BG65" s="162" t="s">
        <v>660</v>
      </c>
      <c r="BH65" s="162">
        <v>1442</v>
      </c>
      <c r="BI65" s="162">
        <v>636</v>
      </c>
      <c r="BJ65" s="162">
        <v>281</v>
      </c>
      <c r="BK65" s="97"/>
      <c r="BL65" s="97"/>
      <c r="BM65" s="97"/>
      <c r="BN65" s="97"/>
    </row>
    <row r="66" spans="1:66" ht="12.75">
      <c r="A66" s="79" t="s">
        <v>581</v>
      </c>
      <c r="B66" s="79" t="s">
        <v>302</v>
      </c>
      <c r="C66" s="79" t="s">
        <v>177</v>
      </c>
      <c r="D66" s="99">
        <v>9405</v>
      </c>
      <c r="E66" s="99">
        <v>1559</v>
      </c>
      <c r="F66" s="99" t="s">
        <v>394</v>
      </c>
      <c r="G66" s="99">
        <v>58</v>
      </c>
      <c r="H66" s="99">
        <v>26</v>
      </c>
      <c r="I66" s="99">
        <v>118</v>
      </c>
      <c r="J66" s="99">
        <v>917</v>
      </c>
      <c r="K66" s="99">
        <v>13</v>
      </c>
      <c r="L66" s="99">
        <v>1767</v>
      </c>
      <c r="M66" s="99">
        <v>586</v>
      </c>
      <c r="N66" s="99">
        <v>290</v>
      </c>
      <c r="O66" s="99">
        <v>267</v>
      </c>
      <c r="P66" s="159">
        <v>267</v>
      </c>
      <c r="Q66" s="99">
        <v>25</v>
      </c>
      <c r="R66" s="99">
        <v>41</v>
      </c>
      <c r="S66" s="99">
        <v>63</v>
      </c>
      <c r="T66" s="99">
        <v>48</v>
      </c>
      <c r="U66" s="99">
        <v>15</v>
      </c>
      <c r="V66" s="99">
        <v>33</v>
      </c>
      <c r="W66" s="99">
        <v>70</v>
      </c>
      <c r="X66" s="99">
        <v>36</v>
      </c>
      <c r="Y66" s="99">
        <v>126</v>
      </c>
      <c r="Z66" s="99">
        <v>57</v>
      </c>
      <c r="AA66" s="99" t="s">
        <v>660</v>
      </c>
      <c r="AB66" s="99" t="s">
        <v>660</v>
      </c>
      <c r="AC66" s="99" t="s">
        <v>660</v>
      </c>
      <c r="AD66" s="98" t="s">
        <v>374</v>
      </c>
      <c r="AE66" s="100">
        <v>0.16576289207868156</v>
      </c>
      <c r="AF66" s="100">
        <v>0.17</v>
      </c>
      <c r="AG66" s="98">
        <v>616.6932482721957</v>
      </c>
      <c r="AH66" s="98">
        <v>276.4486975013291</v>
      </c>
      <c r="AI66" s="100">
        <v>0.013000000000000001</v>
      </c>
      <c r="AJ66" s="100">
        <v>0.704842</v>
      </c>
      <c r="AK66" s="100">
        <v>0.541667</v>
      </c>
      <c r="AL66" s="100">
        <v>0.751595</v>
      </c>
      <c r="AM66" s="100">
        <v>0.540092</v>
      </c>
      <c r="AN66" s="100">
        <v>0.587045</v>
      </c>
      <c r="AO66" s="98">
        <v>2838.915470494418</v>
      </c>
      <c r="AP66" s="158">
        <v>1.4593191529999998</v>
      </c>
      <c r="AQ66" s="100">
        <v>0.09363295880149813</v>
      </c>
      <c r="AR66" s="100">
        <v>0.6097560975609756</v>
      </c>
      <c r="AS66" s="98">
        <v>669.8564593301436</v>
      </c>
      <c r="AT66" s="98">
        <v>510.36682615629985</v>
      </c>
      <c r="AU66" s="98">
        <v>159.4896331738437</v>
      </c>
      <c r="AV66" s="98">
        <v>350.87719298245617</v>
      </c>
      <c r="AW66" s="98">
        <v>744.2849548112706</v>
      </c>
      <c r="AX66" s="98">
        <v>382.7751196172249</v>
      </c>
      <c r="AY66" s="98">
        <v>1339.7129186602872</v>
      </c>
      <c r="AZ66" s="98">
        <v>606.060606060606</v>
      </c>
      <c r="BA66" s="100" t="s">
        <v>660</v>
      </c>
      <c r="BB66" s="100" t="s">
        <v>660</v>
      </c>
      <c r="BC66" s="100" t="s">
        <v>660</v>
      </c>
      <c r="BD66" s="158">
        <v>1.289509888</v>
      </c>
      <c r="BE66" s="158">
        <v>1.645272522</v>
      </c>
      <c r="BF66" s="162">
        <v>1301</v>
      </c>
      <c r="BG66" s="162">
        <v>24</v>
      </c>
      <c r="BH66" s="162">
        <v>2351</v>
      </c>
      <c r="BI66" s="162">
        <v>1085</v>
      </c>
      <c r="BJ66" s="162">
        <v>494</v>
      </c>
      <c r="BK66" s="97"/>
      <c r="BL66" s="97"/>
      <c r="BM66" s="97"/>
      <c r="BN66" s="97"/>
    </row>
    <row r="67" spans="1:66" ht="12.75">
      <c r="A67" s="79" t="s">
        <v>597</v>
      </c>
      <c r="B67" s="79" t="s">
        <v>318</v>
      </c>
      <c r="C67" s="79" t="s">
        <v>177</v>
      </c>
      <c r="D67" s="99">
        <v>13282</v>
      </c>
      <c r="E67" s="99">
        <v>2159</v>
      </c>
      <c r="F67" s="99" t="s">
        <v>396</v>
      </c>
      <c r="G67" s="99">
        <v>72</v>
      </c>
      <c r="H67" s="99">
        <v>26</v>
      </c>
      <c r="I67" s="99">
        <v>224</v>
      </c>
      <c r="J67" s="99">
        <v>1191</v>
      </c>
      <c r="K67" s="99">
        <v>36</v>
      </c>
      <c r="L67" s="99">
        <v>2528</v>
      </c>
      <c r="M67" s="99">
        <v>906</v>
      </c>
      <c r="N67" s="99">
        <v>456</v>
      </c>
      <c r="O67" s="99">
        <v>288</v>
      </c>
      <c r="P67" s="159">
        <v>288</v>
      </c>
      <c r="Q67" s="99">
        <v>29</v>
      </c>
      <c r="R67" s="99">
        <v>66</v>
      </c>
      <c r="S67" s="99">
        <v>73</v>
      </c>
      <c r="T67" s="99">
        <v>36</v>
      </c>
      <c r="U67" s="99">
        <v>20</v>
      </c>
      <c r="V67" s="99">
        <v>28</v>
      </c>
      <c r="W67" s="99">
        <v>65</v>
      </c>
      <c r="X67" s="99">
        <v>64</v>
      </c>
      <c r="Y67" s="99">
        <v>138</v>
      </c>
      <c r="Z67" s="99">
        <v>86</v>
      </c>
      <c r="AA67" s="99" t="s">
        <v>660</v>
      </c>
      <c r="AB67" s="99" t="s">
        <v>660</v>
      </c>
      <c r="AC67" s="99" t="s">
        <v>660</v>
      </c>
      <c r="AD67" s="98" t="s">
        <v>374</v>
      </c>
      <c r="AE67" s="100">
        <v>0.1625508206595392</v>
      </c>
      <c r="AF67" s="100">
        <v>0.16</v>
      </c>
      <c r="AG67" s="98">
        <v>542.0870350850776</v>
      </c>
      <c r="AH67" s="98">
        <v>195.75365155850022</v>
      </c>
      <c r="AI67" s="100">
        <v>0.017</v>
      </c>
      <c r="AJ67" s="100">
        <v>0.714457</v>
      </c>
      <c r="AK67" s="100">
        <v>0.62069</v>
      </c>
      <c r="AL67" s="100">
        <v>0.760529</v>
      </c>
      <c r="AM67" s="100">
        <v>0.615071</v>
      </c>
      <c r="AN67" s="100">
        <v>0.667643</v>
      </c>
      <c r="AO67" s="98">
        <v>2168.3481403403102</v>
      </c>
      <c r="AP67" s="158">
        <v>1.167716446</v>
      </c>
      <c r="AQ67" s="100">
        <v>0.10069444444444445</v>
      </c>
      <c r="AR67" s="100">
        <v>0.4393939393939394</v>
      </c>
      <c r="AS67" s="98">
        <v>549.6160216834814</v>
      </c>
      <c r="AT67" s="98">
        <v>271.0435175425388</v>
      </c>
      <c r="AU67" s="98">
        <v>150.57973196807708</v>
      </c>
      <c r="AV67" s="98">
        <v>210.81162475530795</v>
      </c>
      <c r="AW67" s="98">
        <v>489.38412889625056</v>
      </c>
      <c r="AX67" s="98">
        <v>481.8551422978467</v>
      </c>
      <c r="AY67" s="98">
        <v>1039.000150579732</v>
      </c>
      <c r="AZ67" s="98">
        <v>647.4928474627316</v>
      </c>
      <c r="BA67" s="100" t="s">
        <v>660</v>
      </c>
      <c r="BB67" s="100" t="s">
        <v>660</v>
      </c>
      <c r="BC67" s="100" t="s">
        <v>660</v>
      </c>
      <c r="BD67" s="158">
        <v>1.0367349240000001</v>
      </c>
      <c r="BE67" s="158">
        <v>1.3106651310000001</v>
      </c>
      <c r="BF67" s="162">
        <v>1667</v>
      </c>
      <c r="BG67" s="162">
        <v>58</v>
      </c>
      <c r="BH67" s="162">
        <v>3324</v>
      </c>
      <c r="BI67" s="162">
        <v>1473</v>
      </c>
      <c r="BJ67" s="162">
        <v>683</v>
      </c>
      <c r="BK67" s="97"/>
      <c r="BL67" s="97"/>
      <c r="BM67" s="97"/>
      <c r="BN67" s="97"/>
    </row>
    <row r="68" spans="1:66" ht="12.75">
      <c r="A68" s="79" t="s">
        <v>632</v>
      </c>
      <c r="B68" s="79" t="s">
        <v>353</v>
      </c>
      <c r="C68" s="79" t="s">
        <v>177</v>
      </c>
      <c r="D68" s="99">
        <v>6475</v>
      </c>
      <c r="E68" s="99">
        <v>924</v>
      </c>
      <c r="F68" s="99" t="s">
        <v>394</v>
      </c>
      <c r="G68" s="99">
        <v>21</v>
      </c>
      <c r="H68" s="99">
        <v>22</v>
      </c>
      <c r="I68" s="99">
        <v>68</v>
      </c>
      <c r="J68" s="99">
        <v>432</v>
      </c>
      <c r="K68" s="99">
        <v>169</v>
      </c>
      <c r="L68" s="99">
        <v>1063</v>
      </c>
      <c r="M68" s="99">
        <v>286</v>
      </c>
      <c r="N68" s="99">
        <v>144</v>
      </c>
      <c r="O68" s="99">
        <v>74</v>
      </c>
      <c r="P68" s="159">
        <v>74</v>
      </c>
      <c r="Q68" s="99">
        <v>13</v>
      </c>
      <c r="R68" s="99">
        <v>30</v>
      </c>
      <c r="S68" s="99">
        <v>14</v>
      </c>
      <c r="T68" s="99">
        <v>6</v>
      </c>
      <c r="U68" s="99" t="s">
        <v>660</v>
      </c>
      <c r="V68" s="99">
        <v>27</v>
      </c>
      <c r="W68" s="99">
        <v>15</v>
      </c>
      <c r="X68" s="99">
        <v>30</v>
      </c>
      <c r="Y68" s="99">
        <v>40</v>
      </c>
      <c r="Z68" s="99">
        <v>50</v>
      </c>
      <c r="AA68" s="99" t="s">
        <v>660</v>
      </c>
      <c r="AB68" s="99" t="s">
        <v>660</v>
      </c>
      <c r="AC68" s="99" t="s">
        <v>660</v>
      </c>
      <c r="AD68" s="98" t="s">
        <v>374</v>
      </c>
      <c r="AE68" s="100">
        <v>0.14270270270270272</v>
      </c>
      <c r="AF68" s="100">
        <v>0.22</v>
      </c>
      <c r="AG68" s="98">
        <v>324.3243243243243</v>
      </c>
      <c r="AH68" s="98">
        <v>339.7683397683398</v>
      </c>
      <c r="AI68" s="100">
        <v>0.011000000000000001</v>
      </c>
      <c r="AJ68" s="100">
        <v>0.658537</v>
      </c>
      <c r="AK68" s="100">
        <v>0.800948</v>
      </c>
      <c r="AL68" s="100">
        <v>0.715343</v>
      </c>
      <c r="AM68" s="100">
        <v>0.46732</v>
      </c>
      <c r="AN68" s="100">
        <v>0.521739</v>
      </c>
      <c r="AO68" s="98">
        <v>1142.857142857143</v>
      </c>
      <c r="AP68" s="158">
        <v>0.6764918518</v>
      </c>
      <c r="AQ68" s="100">
        <v>0.17567567567567569</v>
      </c>
      <c r="AR68" s="100">
        <v>0.43333333333333335</v>
      </c>
      <c r="AS68" s="98">
        <v>216.21621621621622</v>
      </c>
      <c r="AT68" s="98">
        <v>92.66409266409266</v>
      </c>
      <c r="AU68" s="98" t="s">
        <v>660</v>
      </c>
      <c r="AV68" s="98">
        <v>416.988416988417</v>
      </c>
      <c r="AW68" s="98">
        <v>231.66023166023166</v>
      </c>
      <c r="AX68" s="98">
        <v>463.3204633204633</v>
      </c>
      <c r="AY68" s="98">
        <v>617.7606177606177</v>
      </c>
      <c r="AZ68" s="98">
        <v>772.2007722007722</v>
      </c>
      <c r="BA68" s="101" t="s">
        <v>660</v>
      </c>
      <c r="BB68" s="101" t="s">
        <v>660</v>
      </c>
      <c r="BC68" s="101" t="s">
        <v>660</v>
      </c>
      <c r="BD68" s="158">
        <v>0.531191597</v>
      </c>
      <c r="BE68" s="158">
        <v>0.8492735291</v>
      </c>
      <c r="BF68" s="162">
        <v>656</v>
      </c>
      <c r="BG68" s="162">
        <v>211</v>
      </c>
      <c r="BH68" s="162">
        <v>1486</v>
      </c>
      <c r="BI68" s="162">
        <v>612</v>
      </c>
      <c r="BJ68" s="162">
        <v>276</v>
      </c>
      <c r="BK68" s="97"/>
      <c r="BL68" s="97"/>
      <c r="BM68" s="97"/>
      <c r="BN68" s="97"/>
    </row>
    <row r="69" spans="1:66" ht="12.75">
      <c r="A69" s="79" t="s">
        <v>583</v>
      </c>
      <c r="B69" s="79" t="s">
        <v>304</v>
      </c>
      <c r="C69" s="79" t="s">
        <v>177</v>
      </c>
      <c r="D69" s="99">
        <v>6641</v>
      </c>
      <c r="E69" s="99">
        <v>1253</v>
      </c>
      <c r="F69" s="99" t="s">
        <v>395</v>
      </c>
      <c r="G69" s="99">
        <v>43</v>
      </c>
      <c r="H69" s="99">
        <v>28</v>
      </c>
      <c r="I69" s="99">
        <v>99</v>
      </c>
      <c r="J69" s="99">
        <v>603</v>
      </c>
      <c r="K69" s="99">
        <v>112</v>
      </c>
      <c r="L69" s="99">
        <v>1301</v>
      </c>
      <c r="M69" s="99">
        <v>420</v>
      </c>
      <c r="N69" s="99">
        <v>236</v>
      </c>
      <c r="O69" s="99">
        <v>110</v>
      </c>
      <c r="P69" s="159">
        <v>110</v>
      </c>
      <c r="Q69" s="99">
        <v>15</v>
      </c>
      <c r="R69" s="99">
        <v>33</v>
      </c>
      <c r="S69" s="99">
        <v>33</v>
      </c>
      <c r="T69" s="99">
        <v>10</v>
      </c>
      <c r="U69" s="99">
        <v>6</v>
      </c>
      <c r="V69" s="99">
        <v>18</v>
      </c>
      <c r="W69" s="99">
        <v>29</v>
      </c>
      <c r="X69" s="99">
        <v>13</v>
      </c>
      <c r="Y69" s="99">
        <v>44</v>
      </c>
      <c r="Z69" s="99">
        <v>46</v>
      </c>
      <c r="AA69" s="99" t="s">
        <v>660</v>
      </c>
      <c r="AB69" s="99" t="s">
        <v>660</v>
      </c>
      <c r="AC69" s="99" t="s">
        <v>660</v>
      </c>
      <c r="AD69" s="98" t="s">
        <v>374</v>
      </c>
      <c r="AE69" s="100">
        <v>0.1886764041560006</v>
      </c>
      <c r="AF69" s="100">
        <v>0.12</v>
      </c>
      <c r="AG69" s="98">
        <v>647.4928474627316</v>
      </c>
      <c r="AH69" s="98">
        <v>421.6232495106159</v>
      </c>
      <c r="AI69" s="100">
        <v>0.015</v>
      </c>
      <c r="AJ69" s="100">
        <v>0.782101</v>
      </c>
      <c r="AK69" s="100">
        <v>0.854962</v>
      </c>
      <c r="AL69" s="100">
        <v>0.794261</v>
      </c>
      <c r="AM69" s="100">
        <v>0.584145</v>
      </c>
      <c r="AN69" s="100">
        <v>0.621053</v>
      </c>
      <c r="AO69" s="98">
        <v>1656.377051648848</v>
      </c>
      <c r="AP69" s="158">
        <v>0.8472616577</v>
      </c>
      <c r="AQ69" s="100">
        <v>0.13636363636363635</v>
      </c>
      <c r="AR69" s="100">
        <v>0.45454545454545453</v>
      </c>
      <c r="AS69" s="98">
        <v>496.9131154946544</v>
      </c>
      <c r="AT69" s="98">
        <v>150.57973196807708</v>
      </c>
      <c r="AU69" s="98">
        <v>90.34783918084626</v>
      </c>
      <c r="AV69" s="98">
        <v>271.0435175425388</v>
      </c>
      <c r="AW69" s="98">
        <v>436.68122270742356</v>
      </c>
      <c r="AX69" s="98">
        <v>195.75365155850022</v>
      </c>
      <c r="AY69" s="98">
        <v>662.5508206595392</v>
      </c>
      <c r="AZ69" s="98">
        <v>692.6667670531547</v>
      </c>
      <c r="BA69" s="100" t="s">
        <v>660</v>
      </c>
      <c r="BB69" s="100" t="s">
        <v>660</v>
      </c>
      <c r="BC69" s="100" t="s">
        <v>660</v>
      </c>
      <c r="BD69" s="158">
        <v>0.6963460541000001</v>
      </c>
      <c r="BE69" s="158">
        <v>1.021179428</v>
      </c>
      <c r="BF69" s="162">
        <v>771</v>
      </c>
      <c r="BG69" s="162">
        <v>131</v>
      </c>
      <c r="BH69" s="162">
        <v>1638</v>
      </c>
      <c r="BI69" s="162">
        <v>719</v>
      </c>
      <c r="BJ69" s="162">
        <v>380</v>
      </c>
      <c r="BK69" s="97"/>
      <c r="BL69" s="97"/>
      <c r="BM69" s="97"/>
      <c r="BN69" s="97"/>
    </row>
    <row r="70" spans="1:66" ht="12.75">
      <c r="A70" s="79" t="s">
        <v>623</v>
      </c>
      <c r="B70" s="79" t="s">
        <v>343</v>
      </c>
      <c r="C70" s="79" t="s">
        <v>177</v>
      </c>
      <c r="D70" s="99">
        <v>4992</v>
      </c>
      <c r="E70" s="99">
        <v>885</v>
      </c>
      <c r="F70" s="99" t="s">
        <v>396</v>
      </c>
      <c r="G70" s="99">
        <v>25</v>
      </c>
      <c r="H70" s="99">
        <v>12</v>
      </c>
      <c r="I70" s="99">
        <v>73</v>
      </c>
      <c r="J70" s="99">
        <v>526</v>
      </c>
      <c r="K70" s="99">
        <v>514</v>
      </c>
      <c r="L70" s="99">
        <v>960</v>
      </c>
      <c r="M70" s="99">
        <v>374</v>
      </c>
      <c r="N70" s="99">
        <v>194</v>
      </c>
      <c r="O70" s="99">
        <v>45</v>
      </c>
      <c r="P70" s="159">
        <v>45</v>
      </c>
      <c r="Q70" s="99" t="s">
        <v>660</v>
      </c>
      <c r="R70" s="99">
        <v>24</v>
      </c>
      <c r="S70" s="99">
        <v>13</v>
      </c>
      <c r="T70" s="99" t="s">
        <v>660</v>
      </c>
      <c r="U70" s="99" t="s">
        <v>660</v>
      </c>
      <c r="V70" s="99">
        <v>7</v>
      </c>
      <c r="W70" s="99">
        <v>18</v>
      </c>
      <c r="X70" s="99">
        <v>21</v>
      </c>
      <c r="Y70" s="99">
        <v>48</v>
      </c>
      <c r="Z70" s="99">
        <v>38</v>
      </c>
      <c r="AA70" s="99" t="s">
        <v>660</v>
      </c>
      <c r="AB70" s="99" t="s">
        <v>660</v>
      </c>
      <c r="AC70" s="99" t="s">
        <v>660</v>
      </c>
      <c r="AD70" s="98" t="s">
        <v>374</v>
      </c>
      <c r="AE70" s="100">
        <v>0.17728365384615385</v>
      </c>
      <c r="AF70" s="100">
        <v>0.13</v>
      </c>
      <c r="AG70" s="98">
        <v>500.80128205128204</v>
      </c>
      <c r="AH70" s="98">
        <v>240.3846153846154</v>
      </c>
      <c r="AI70" s="100">
        <v>0.015</v>
      </c>
      <c r="AJ70" s="100">
        <v>0.79697</v>
      </c>
      <c r="AK70" s="100">
        <v>0.823718</v>
      </c>
      <c r="AL70" s="100">
        <v>0.812183</v>
      </c>
      <c r="AM70" s="100">
        <v>0.589905</v>
      </c>
      <c r="AN70" s="100">
        <v>0.653199</v>
      </c>
      <c r="AO70" s="98">
        <v>901.4423076923077</v>
      </c>
      <c r="AP70" s="158">
        <v>0.4655632782</v>
      </c>
      <c r="AQ70" s="100" t="s">
        <v>660</v>
      </c>
      <c r="AR70" s="100" t="s">
        <v>660</v>
      </c>
      <c r="AS70" s="98">
        <v>260.4166666666667</v>
      </c>
      <c r="AT70" s="98" t="s">
        <v>660</v>
      </c>
      <c r="AU70" s="98" t="s">
        <v>660</v>
      </c>
      <c r="AV70" s="98">
        <v>140.22435897435898</v>
      </c>
      <c r="AW70" s="98">
        <v>360.5769230769231</v>
      </c>
      <c r="AX70" s="98">
        <v>420.6730769230769</v>
      </c>
      <c r="AY70" s="98">
        <v>961.5384615384615</v>
      </c>
      <c r="AZ70" s="98">
        <v>761.2179487179487</v>
      </c>
      <c r="BA70" s="100" t="s">
        <v>660</v>
      </c>
      <c r="BB70" s="100" t="s">
        <v>660</v>
      </c>
      <c r="BC70" s="100" t="s">
        <v>660</v>
      </c>
      <c r="BD70" s="158">
        <v>0.33958503720000005</v>
      </c>
      <c r="BE70" s="158">
        <v>0.6229603195</v>
      </c>
      <c r="BF70" s="162">
        <v>660</v>
      </c>
      <c r="BG70" s="162">
        <v>624</v>
      </c>
      <c r="BH70" s="162">
        <v>1182</v>
      </c>
      <c r="BI70" s="162">
        <v>634</v>
      </c>
      <c r="BJ70" s="162">
        <v>297</v>
      </c>
      <c r="BK70" s="97"/>
      <c r="BL70" s="97"/>
      <c r="BM70" s="97"/>
      <c r="BN70" s="97"/>
    </row>
    <row r="71" spans="1:66" ht="12.75">
      <c r="A71" s="79" t="s">
        <v>602</v>
      </c>
      <c r="B71" s="79" t="s">
        <v>323</v>
      </c>
      <c r="C71" s="79" t="s">
        <v>177</v>
      </c>
      <c r="D71" s="99">
        <v>2289</v>
      </c>
      <c r="E71" s="99">
        <v>651</v>
      </c>
      <c r="F71" s="99" t="s">
        <v>397</v>
      </c>
      <c r="G71" s="99">
        <v>15</v>
      </c>
      <c r="H71" s="99">
        <v>15</v>
      </c>
      <c r="I71" s="99">
        <v>32</v>
      </c>
      <c r="J71" s="99">
        <v>318</v>
      </c>
      <c r="K71" s="99">
        <v>194</v>
      </c>
      <c r="L71" s="99">
        <v>414</v>
      </c>
      <c r="M71" s="99">
        <v>276</v>
      </c>
      <c r="N71" s="99">
        <v>151</v>
      </c>
      <c r="O71" s="99">
        <v>40</v>
      </c>
      <c r="P71" s="159">
        <v>40</v>
      </c>
      <c r="Q71" s="99" t="s">
        <v>660</v>
      </c>
      <c r="R71" s="99">
        <v>19</v>
      </c>
      <c r="S71" s="99">
        <v>13</v>
      </c>
      <c r="T71" s="99" t="s">
        <v>660</v>
      </c>
      <c r="U71" s="99" t="s">
        <v>660</v>
      </c>
      <c r="V71" s="99">
        <v>6</v>
      </c>
      <c r="W71" s="99">
        <v>12</v>
      </c>
      <c r="X71" s="99">
        <v>8</v>
      </c>
      <c r="Y71" s="99">
        <v>22</v>
      </c>
      <c r="Z71" s="99">
        <v>34</v>
      </c>
      <c r="AA71" s="99" t="s">
        <v>660</v>
      </c>
      <c r="AB71" s="99" t="s">
        <v>660</v>
      </c>
      <c r="AC71" s="99" t="s">
        <v>660</v>
      </c>
      <c r="AD71" s="98" t="s">
        <v>374</v>
      </c>
      <c r="AE71" s="100">
        <v>0.28440366972477066</v>
      </c>
      <c r="AF71" s="100">
        <v>0.06</v>
      </c>
      <c r="AG71" s="98">
        <v>655.307994757536</v>
      </c>
      <c r="AH71" s="98">
        <v>655.307994757536</v>
      </c>
      <c r="AI71" s="100">
        <v>0.013999999999999999</v>
      </c>
      <c r="AJ71" s="100">
        <v>0.84127</v>
      </c>
      <c r="AK71" s="100">
        <v>0.854626</v>
      </c>
      <c r="AL71" s="100">
        <v>0.836364</v>
      </c>
      <c r="AM71" s="100">
        <v>0.631579</v>
      </c>
      <c r="AN71" s="100">
        <v>0.68018</v>
      </c>
      <c r="AO71" s="98">
        <v>1747.487986020096</v>
      </c>
      <c r="AP71" s="158">
        <v>0.7064647675000001</v>
      </c>
      <c r="AQ71" s="100" t="s">
        <v>660</v>
      </c>
      <c r="AR71" s="100" t="s">
        <v>660</v>
      </c>
      <c r="AS71" s="98">
        <v>567.9335954565313</v>
      </c>
      <c r="AT71" s="98" t="s">
        <v>660</v>
      </c>
      <c r="AU71" s="98" t="s">
        <v>660</v>
      </c>
      <c r="AV71" s="98">
        <v>262.12319790301444</v>
      </c>
      <c r="AW71" s="98">
        <v>524.2463958060289</v>
      </c>
      <c r="AX71" s="98">
        <v>349.4975972040192</v>
      </c>
      <c r="AY71" s="98">
        <v>961.1183923110528</v>
      </c>
      <c r="AZ71" s="98">
        <v>1485.3647881170816</v>
      </c>
      <c r="BA71" s="100" t="s">
        <v>660</v>
      </c>
      <c r="BB71" s="100" t="s">
        <v>660</v>
      </c>
      <c r="BC71" s="100" t="s">
        <v>660</v>
      </c>
      <c r="BD71" s="158">
        <v>0.5047088242000001</v>
      </c>
      <c r="BE71" s="158">
        <v>0.9620045471</v>
      </c>
      <c r="BF71" s="162">
        <v>378</v>
      </c>
      <c r="BG71" s="162">
        <v>227</v>
      </c>
      <c r="BH71" s="162">
        <v>495</v>
      </c>
      <c r="BI71" s="162">
        <v>437</v>
      </c>
      <c r="BJ71" s="162">
        <v>222</v>
      </c>
      <c r="BK71" s="97"/>
      <c r="BL71" s="97"/>
      <c r="BM71" s="97"/>
      <c r="BN71" s="97"/>
    </row>
    <row r="72" spans="1:66" ht="12.75">
      <c r="A72" s="79" t="s">
        <v>625</v>
      </c>
      <c r="B72" s="79" t="s">
        <v>345</v>
      </c>
      <c r="C72" s="79" t="s">
        <v>177</v>
      </c>
      <c r="D72" s="99">
        <v>5761</v>
      </c>
      <c r="E72" s="99">
        <v>934</v>
      </c>
      <c r="F72" s="99" t="s">
        <v>397</v>
      </c>
      <c r="G72" s="99">
        <v>22</v>
      </c>
      <c r="H72" s="99">
        <v>14</v>
      </c>
      <c r="I72" s="99">
        <v>116</v>
      </c>
      <c r="J72" s="99">
        <v>544</v>
      </c>
      <c r="K72" s="99">
        <v>536</v>
      </c>
      <c r="L72" s="99">
        <v>1235</v>
      </c>
      <c r="M72" s="99">
        <v>330</v>
      </c>
      <c r="N72" s="99">
        <v>174</v>
      </c>
      <c r="O72" s="99">
        <v>164</v>
      </c>
      <c r="P72" s="159">
        <v>164</v>
      </c>
      <c r="Q72" s="99">
        <v>15</v>
      </c>
      <c r="R72" s="99">
        <v>32</v>
      </c>
      <c r="S72" s="99">
        <v>45</v>
      </c>
      <c r="T72" s="99">
        <v>13</v>
      </c>
      <c r="U72" s="99" t="s">
        <v>660</v>
      </c>
      <c r="V72" s="99">
        <v>51</v>
      </c>
      <c r="W72" s="99">
        <v>29</v>
      </c>
      <c r="X72" s="99">
        <v>29</v>
      </c>
      <c r="Y72" s="99">
        <v>63</v>
      </c>
      <c r="Z72" s="99">
        <v>46</v>
      </c>
      <c r="AA72" s="99" t="s">
        <v>660</v>
      </c>
      <c r="AB72" s="99" t="s">
        <v>660</v>
      </c>
      <c r="AC72" s="99" t="s">
        <v>660</v>
      </c>
      <c r="AD72" s="98" t="s">
        <v>374</v>
      </c>
      <c r="AE72" s="100">
        <v>0.16212463114042702</v>
      </c>
      <c r="AF72" s="100">
        <v>0.06</v>
      </c>
      <c r="AG72" s="98">
        <v>381.8781461551814</v>
      </c>
      <c r="AH72" s="98">
        <v>243.01336573511543</v>
      </c>
      <c r="AI72" s="100">
        <v>0.02</v>
      </c>
      <c r="AJ72" s="100">
        <v>0.834356</v>
      </c>
      <c r="AK72" s="100">
        <v>0.840125</v>
      </c>
      <c r="AL72" s="100">
        <v>0.849381</v>
      </c>
      <c r="AM72" s="100">
        <v>0.656064</v>
      </c>
      <c r="AN72" s="100">
        <v>0.677043</v>
      </c>
      <c r="AO72" s="98">
        <v>2846.727998611352</v>
      </c>
      <c r="AP72" s="158">
        <v>1.513370819</v>
      </c>
      <c r="AQ72" s="100">
        <v>0.09146341463414634</v>
      </c>
      <c r="AR72" s="100">
        <v>0.46875</v>
      </c>
      <c r="AS72" s="98">
        <v>781.114389862871</v>
      </c>
      <c r="AT72" s="98">
        <v>225.6552681826072</v>
      </c>
      <c r="AU72" s="98" t="s">
        <v>660</v>
      </c>
      <c r="AV72" s="98">
        <v>885.2629751779205</v>
      </c>
      <c r="AW72" s="98">
        <v>503.3848290227391</v>
      </c>
      <c r="AX72" s="98">
        <v>503.3848290227391</v>
      </c>
      <c r="AY72" s="98">
        <v>1093.5601458080193</v>
      </c>
      <c r="AZ72" s="98">
        <v>798.4724874153793</v>
      </c>
      <c r="BA72" s="100" t="s">
        <v>660</v>
      </c>
      <c r="BB72" s="100" t="s">
        <v>660</v>
      </c>
      <c r="BC72" s="100" t="s">
        <v>660</v>
      </c>
      <c r="BD72" s="158">
        <v>1.290613403</v>
      </c>
      <c r="BE72" s="158">
        <v>1.7635343929999998</v>
      </c>
      <c r="BF72" s="162">
        <v>652</v>
      </c>
      <c r="BG72" s="162">
        <v>638</v>
      </c>
      <c r="BH72" s="162">
        <v>1454</v>
      </c>
      <c r="BI72" s="162">
        <v>503</v>
      </c>
      <c r="BJ72" s="162">
        <v>257</v>
      </c>
      <c r="BK72" s="97"/>
      <c r="BL72" s="97"/>
      <c r="BM72" s="97"/>
      <c r="BN72" s="97"/>
    </row>
    <row r="73" spans="1:66" ht="12.75">
      <c r="A73" s="79" t="s">
        <v>587</v>
      </c>
      <c r="B73" s="79" t="s">
        <v>308</v>
      </c>
      <c r="C73" s="79" t="s">
        <v>177</v>
      </c>
      <c r="D73" s="99">
        <v>12036</v>
      </c>
      <c r="E73" s="99">
        <v>2721</v>
      </c>
      <c r="F73" s="99" t="s">
        <v>397</v>
      </c>
      <c r="G73" s="99">
        <v>79</v>
      </c>
      <c r="H73" s="99">
        <v>36</v>
      </c>
      <c r="I73" s="99">
        <v>246</v>
      </c>
      <c r="J73" s="99">
        <v>1484</v>
      </c>
      <c r="K73" s="99">
        <v>12</v>
      </c>
      <c r="L73" s="99">
        <v>2279</v>
      </c>
      <c r="M73" s="99">
        <v>1274</v>
      </c>
      <c r="N73" s="99">
        <v>632</v>
      </c>
      <c r="O73" s="99">
        <v>307</v>
      </c>
      <c r="P73" s="159">
        <v>307</v>
      </c>
      <c r="Q73" s="99">
        <v>28</v>
      </c>
      <c r="R73" s="99">
        <v>72</v>
      </c>
      <c r="S73" s="99">
        <v>68</v>
      </c>
      <c r="T73" s="99">
        <v>60</v>
      </c>
      <c r="U73" s="99">
        <v>10</v>
      </c>
      <c r="V73" s="99">
        <v>69</v>
      </c>
      <c r="W73" s="99">
        <v>86</v>
      </c>
      <c r="X73" s="99">
        <v>61</v>
      </c>
      <c r="Y73" s="99">
        <v>107</v>
      </c>
      <c r="Z73" s="99">
        <v>69</v>
      </c>
      <c r="AA73" s="99" t="s">
        <v>660</v>
      </c>
      <c r="AB73" s="99" t="s">
        <v>660</v>
      </c>
      <c r="AC73" s="99" t="s">
        <v>660</v>
      </c>
      <c r="AD73" s="98" t="s">
        <v>374</v>
      </c>
      <c r="AE73" s="100">
        <v>0.2260717846460618</v>
      </c>
      <c r="AF73" s="100">
        <v>0.05</v>
      </c>
      <c r="AG73" s="98">
        <v>656.3642406114989</v>
      </c>
      <c r="AH73" s="98">
        <v>299.1026919242273</v>
      </c>
      <c r="AI73" s="100">
        <v>0.02</v>
      </c>
      <c r="AJ73" s="100">
        <v>0.801729</v>
      </c>
      <c r="AK73" s="100">
        <v>0.75</v>
      </c>
      <c r="AL73" s="100">
        <v>0.837252</v>
      </c>
      <c r="AM73" s="100">
        <v>0.695035</v>
      </c>
      <c r="AN73" s="100">
        <v>0.750594</v>
      </c>
      <c r="AO73" s="98">
        <v>2550.6812894649383</v>
      </c>
      <c r="AP73" s="158">
        <v>1.158576279</v>
      </c>
      <c r="AQ73" s="100">
        <v>0.09120521172638436</v>
      </c>
      <c r="AR73" s="100">
        <v>0.3888888888888889</v>
      </c>
      <c r="AS73" s="98">
        <v>564.9717514124294</v>
      </c>
      <c r="AT73" s="98">
        <v>498.5044865403789</v>
      </c>
      <c r="AU73" s="98">
        <v>83.08408109006314</v>
      </c>
      <c r="AV73" s="98">
        <v>573.2801595214357</v>
      </c>
      <c r="AW73" s="98">
        <v>714.523097374543</v>
      </c>
      <c r="AX73" s="98">
        <v>506.81289464938516</v>
      </c>
      <c r="AY73" s="98">
        <v>888.9996676636756</v>
      </c>
      <c r="AZ73" s="98">
        <v>573.2801595214357</v>
      </c>
      <c r="BA73" s="101" t="s">
        <v>660</v>
      </c>
      <c r="BB73" s="101" t="s">
        <v>660</v>
      </c>
      <c r="BC73" s="101" t="s">
        <v>660</v>
      </c>
      <c r="BD73" s="158">
        <v>1.03258728</v>
      </c>
      <c r="BE73" s="158">
        <v>1.295697174</v>
      </c>
      <c r="BF73" s="162">
        <v>1851</v>
      </c>
      <c r="BG73" s="162">
        <v>16</v>
      </c>
      <c r="BH73" s="162">
        <v>2722</v>
      </c>
      <c r="BI73" s="162">
        <v>1833</v>
      </c>
      <c r="BJ73" s="162">
        <v>842</v>
      </c>
      <c r="BK73" s="97"/>
      <c r="BL73" s="97"/>
      <c r="BM73" s="97"/>
      <c r="BN73" s="97"/>
    </row>
    <row r="74" spans="1:66" ht="12.75">
      <c r="A74" s="79" t="s">
        <v>604</v>
      </c>
      <c r="B74" s="79" t="s">
        <v>325</v>
      </c>
      <c r="C74" s="79" t="s">
        <v>177</v>
      </c>
      <c r="D74" s="99">
        <v>8802</v>
      </c>
      <c r="E74" s="99">
        <v>1483</v>
      </c>
      <c r="F74" s="99" t="s">
        <v>397</v>
      </c>
      <c r="G74" s="99">
        <v>43</v>
      </c>
      <c r="H74" s="99">
        <v>25</v>
      </c>
      <c r="I74" s="99">
        <v>175</v>
      </c>
      <c r="J74" s="99">
        <v>821</v>
      </c>
      <c r="K74" s="99">
        <v>801</v>
      </c>
      <c r="L74" s="99">
        <v>1948</v>
      </c>
      <c r="M74" s="99">
        <v>589</v>
      </c>
      <c r="N74" s="99">
        <v>319</v>
      </c>
      <c r="O74" s="99">
        <v>239</v>
      </c>
      <c r="P74" s="159">
        <v>239</v>
      </c>
      <c r="Q74" s="99">
        <v>27</v>
      </c>
      <c r="R74" s="99">
        <v>54</v>
      </c>
      <c r="S74" s="99">
        <v>45</v>
      </c>
      <c r="T74" s="99">
        <v>20</v>
      </c>
      <c r="U74" s="99">
        <v>6</v>
      </c>
      <c r="V74" s="99">
        <v>74</v>
      </c>
      <c r="W74" s="99">
        <v>42</v>
      </c>
      <c r="X74" s="99">
        <v>29</v>
      </c>
      <c r="Y74" s="99">
        <v>68</v>
      </c>
      <c r="Z74" s="99">
        <v>77</v>
      </c>
      <c r="AA74" s="99" t="s">
        <v>660</v>
      </c>
      <c r="AB74" s="99" t="s">
        <v>660</v>
      </c>
      <c r="AC74" s="99" t="s">
        <v>660</v>
      </c>
      <c r="AD74" s="98" t="s">
        <v>374</v>
      </c>
      <c r="AE74" s="100">
        <v>0.168484435355601</v>
      </c>
      <c r="AF74" s="100">
        <v>0.07</v>
      </c>
      <c r="AG74" s="98">
        <v>488.525335151102</v>
      </c>
      <c r="AH74" s="98">
        <v>284.02635764598955</v>
      </c>
      <c r="AI74" s="100">
        <v>0.02</v>
      </c>
      <c r="AJ74" s="100">
        <v>0.828456</v>
      </c>
      <c r="AK74" s="100">
        <v>0.835245</v>
      </c>
      <c r="AL74" s="100">
        <v>0.827879</v>
      </c>
      <c r="AM74" s="100">
        <v>0.630621</v>
      </c>
      <c r="AN74" s="100">
        <v>0.665971</v>
      </c>
      <c r="AO74" s="98">
        <v>2715.2919790956603</v>
      </c>
      <c r="AP74" s="158">
        <v>1.454812775</v>
      </c>
      <c r="AQ74" s="100">
        <v>0.11297071129707113</v>
      </c>
      <c r="AR74" s="100">
        <v>0.5</v>
      </c>
      <c r="AS74" s="98">
        <v>511.2474437627812</v>
      </c>
      <c r="AT74" s="98">
        <v>227.22108611679164</v>
      </c>
      <c r="AU74" s="98">
        <v>68.1663258350375</v>
      </c>
      <c r="AV74" s="98">
        <v>840.7180186321291</v>
      </c>
      <c r="AW74" s="98">
        <v>477.16428084526245</v>
      </c>
      <c r="AX74" s="98">
        <v>329.4705748693479</v>
      </c>
      <c r="AY74" s="98">
        <v>772.5516927970916</v>
      </c>
      <c r="AZ74" s="98">
        <v>874.8011815496478</v>
      </c>
      <c r="BA74" s="101" t="s">
        <v>660</v>
      </c>
      <c r="BB74" s="101" t="s">
        <v>660</v>
      </c>
      <c r="BC74" s="101" t="s">
        <v>660</v>
      </c>
      <c r="BD74" s="158">
        <v>1.276203537</v>
      </c>
      <c r="BE74" s="158">
        <v>1.6514218139999999</v>
      </c>
      <c r="BF74" s="162">
        <v>991</v>
      </c>
      <c r="BG74" s="162">
        <v>959</v>
      </c>
      <c r="BH74" s="162">
        <v>2353</v>
      </c>
      <c r="BI74" s="162">
        <v>934</v>
      </c>
      <c r="BJ74" s="162">
        <v>479</v>
      </c>
      <c r="BK74" s="97"/>
      <c r="BL74" s="97"/>
      <c r="BM74" s="97"/>
      <c r="BN74" s="97"/>
    </row>
    <row r="75" spans="1:66" ht="12.75">
      <c r="A75" s="79" t="s">
        <v>574</v>
      </c>
      <c r="B75" s="79" t="s">
        <v>295</v>
      </c>
      <c r="C75" s="79" t="s">
        <v>177</v>
      </c>
      <c r="D75" s="99">
        <v>12240</v>
      </c>
      <c r="E75" s="99">
        <v>2422</v>
      </c>
      <c r="F75" s="99" t="s">
        <v>395</v>
      </c>
      <c r="G75" s="99">
        <v>77</v>
      </c>
      <c r="H75" s="99">
        <v>33</v>
      </c>
      <c r="I75" s="99">
        <v>234</v>
      </c>
      <c r="J75" s="99">
        <v>1427</v>
      </c>
      <c r="K75" s="99">
        <v>8</v>
      </c>
      <c r="L75" s="99">
        <v>2519</v>
      </c>
      <c r="M75" s="99">
        <v>1042</v>
      </c>
      <c r="N75" s="99">
        <v>545</v>
      </c>
      <c r="O75" s="99">
        <v>344</v>
      </c>
      <c r="P75" s="159">
        <v>344</v>
      </c>
      <c r="Q75" s="99">
        <v>44</v>
      </c>
      <c r="R75" s="99">
        <v>80</v>
      </c>
      <c r="S75" s="99">
        <v>72</v>
      </c>
      <c r="T75" s="99">
        <v>55</v>
      </c>
      <c r="U75" s="99">
        <v>13</v>
      </c>
      <c r="V75" s="99">
        <v>61</v>
      </c>
      <c r="W75" s="99">
        <v>109</v>
      </c>
      <c r="X75" s="99">
        <v>57</v>
      </c>
      <c r="Y75" s="99">
        <v>143</v>
      </c>
      <c r="Z75" s="99">
        <v>120</v>
      </c>
      <c r="AA75" s="99" t="s">
        <v>660</v>
      </c>
      <c r="AB75" s="99" t="s">
        <v>660</v>
      </c>
      <c r="AC75" s="99" t="s">
        <v>660</v>
      </c>
      <c r="AD75" s="98" t="s">
        <v>374</v>
      </c>
      <c r="AE75" s="100">
        <v>0.19787581699346404</v>
      </c>
      <c r="AF75" s="100">
        <v>0.11</v>
      </c>
      <c r="AG75" s="98">
        <v>629.0849673202614</v>
      </c>
      <c r="AH75" s="98">
        <v>269.6078431372549</v>
      </c>
      <c r="AI75" s="100">
        <v>0.019</v>
      </c>
      <c r="AJ75" s="100">
        <v>0.77893</v>
      </c>
      <c r="AK75" s="100">
        <v>0.571429</v>
      </c>
      <c r="AL75" s="100">
        <v>0.812319</v>
      </c>
      <c r="AM75" s="100">
        <v>0.618765</v>
      </c>
      <c r="AN75" s="100">
        <v>0.666259</v>
      </c>
      <c r="AO75" s="98">
        <v>2810.4575163398695</v>
      </c>
      <c r="AP75" s="158">
        <v>1.3418721009999999</v>
      </c>
      <c r="AQ75" s="100">
        <v>0.12790697674418605</v>
      </c>
      <c r="AR75" s="100">
        <v>0.55</v>
      </c>
      <c r="AS75" s="98">
        <v>588.2352941176471</v>
      </c>
      <c r="AT75" s="98">
        <v>449.34640522875816</v>
      </c>
      <c r="AU75" s="98">
        <v>106.20915032679738</v>
      </c>
      <c r="AV75" s="98">
        <v>498.36601307189545</v>
      </c>
      <c r="AW75" s="98">
        <v>890.5228758169935</v>
      </c>
      <c r="AX75" s="98">
        <v>465.6862745098039</v>
      </c>
      <c r="AY75" s="98">
        <v>1168.3006535947713</v>
      </c>
      <c r="AZ75" s="98">
        <v>980.3921568627451</v>
      </c>
      <c r="BA75" s="100" t="s">
        <v>660</v>
      </c>
      <c r="BB75" s="100" t="s">
        <v>660</v>
      </c>
      <c r="BC75" s="100" t="s">
        <v>660</v>
      </c>
      <c r="BD75" s="158">
        <v>1.203800964</v>
      </c>
      <c r="BE75" s="158">
        <v>1.491437836</v>
      </c>
      <c r="BF75" s="162">
        <v>1832</v>
      </c>
      <c r="BG75" s="162">
        <v>14</v>
      </c>
      <c r="BH75" s="162">
        <v>3101</v>
      </c>
      <c r="BI75" s="162">
        <v>1684</v>
      </c>
      <c r="BJ75" s="162">
        <v>818</v>
      </c>
      <c r="BK75" s="97"/>
      <c r="BL75" s="97"/>
      <c r="BM75" s="97"/>
      <c r="BN75" s="97"/>
    </row>
    <row r="76" spans="1:66" ht="12.75">
      <c r="A76" s="79" t="s">
        <v>585</v>
      </c>
      <c r="B76" s="79" t="s">
        <v>306</v>
      </c>
      <c r="C76" s="79" t="s">
        <v>177</v>
      </c>
      <c r="D76" s="99">
        <v>9216</v>
      </c>
      <c r="E76" s="99">
        <v>1845</v>
      </c>
      <c r="F76" s="99" t="s">
        <v>395</v>
      </c>
      <c r="G76" s="99">
        <v>64</v>
      </c>
      <c r="H76" s="99">
        <v>26</v>
      </c>
      <c r="I76" s="99">
        <v>174</v>
      </c>
      <c r="J76" s="99">
        <v>1096</v>
      </c>
      <c r="K76" s="99">
        <v>10</v>
      </c>
      <c r="L76" s="99">
        <v>1949</v>
      </c>
      <c r="M76" s="99">
        <v>821</v>
      </c>
      <c r="N76" s="99">
        <v>439</v>
      </c>
      <c r="O76" s="99">
        <v>236</v>
      </c>
      <c r="P76" s="159">
        <v>236</v>
      </c>
      <c r="Q76" s="99">
        <v>25</v>
      </c>
      <c r="R76" s="99">
        <v>44</v>
      </c>
      <c r="S76" s="99">
        <v>55</v>
      </c>
      <c r="T76" s="99">
        <v>27</v>
      </c>
      <c r="U76" s="99">
        <v>6</v>
      </c>
      <c r="V76" s="99">
        <v>45</v>
      </c>
      <c r="W76" s="99">
        <v>69</v>
      </c>
      <c r="X76" s="99">
        <v>21</v>
      </c>
      <c r="Y76" s="99">
        <v>88</v>
      </c>
      <c r="Z76" s="99">
        <v>55</v>
      </c>
      <c r="AA76" s="99" t="s">
        <v>660</v>
      </c>
      <c r="AB76" s="99" t="s">
        <v>660</v>
      </c>
      <c r="AC76" s="99" t="s">
        <v>660</v>
      </c>
      <c r="AD76" s="98" t="s">
        <v>374</v>
      </c>
      <c r="AE76" s="100">
        <v>0.2001953125</v>
      </c>
      <c r="AF76" s="100">
        <v>0.09</v>
      </c>
      <c r="AG76" s="98">
        <v>694.4444444444445</v>
      </c>
      <c r="AH76" s="98">
        <v>282.11805555555554</v>
      </c>
      <c r="AI76" s="100">
        <v>0.019</v>
      </c>
      <c r="AJ76" s="100">
        <v>0.79248</v>
      </c>
      <c r="AK76" s="100">
        <v>0.666667</v>
      </c>
      <c r="AL76" s="100">
        <v>0.860866</v>
      </c>
      <c r="AM76" s="100">
        <v>0.633488</v>
      </c>
      <c r="AN76" s="100">
        <v>0.666161</v>
      </c>
      <c r="AO76" s="98">
        <v>2560.7638888888887</v>
      </c>
      <c r="AP76" s="158">
        <v>1.214928131</v>
      </c>
      <c r="AQ76" s="100">
        <v>0.1059322033898305</v>
      </c>
      <c r="AR76" s="100">
        <v>0.5681818181818182</v>
      </c>
      <c r="AS76" s="98">
        <v>596.7881944444445</v>
      </c>
      <c r="AT76" s="98">
        <v>292.96875</v>
      </c>
      <c r="AU76" s="98">
        <v>65.10416666666667</v>
      </c>
      <c r="AV76" s="98">
        <v>488.28125</v>
      </c>
      <c r="AW76" s="98">
        <v>748.6979166666666</v>
      </c>
      <c r="AX76" s="98">
        <v>227.86458333333334</v>
      </c>
      <c r="AY76" s="98">
        <v>954.8611111111111</v>
      </c>
      <c r="AZ76" s="98">
        <v>596.7881944444445</v>
      </c>
      <c r="BA76" s="100" t="s">
        <v>660</v>
      </c>
      <c r="BB76" s="100" t="s">
        <v>660</v>
      </c>
      <c r="BC76" s="100" t="s">
        <v>660</v>
      </c>
      <c r="BD76" s="158">
        <v>1.064856262</v>
      </c>
      <c r="BE76" s="158">
        <v>1.380225067</v>
      </c>
      <c r="BF76" s="162">
        <v>1383</v>
      </c>
      <c r="BG76" s="162">
        <v>15</v>
      </c>
      <c r="BH76" s="162">
        <v>2264</v>
      </c>
      <c r="BI76" s="162">
        <v>1296</v>
      </c>
      <c r="BJ76" s="162">
        <v>659</v>
      </c>
      <c r="BK76" s="97"/>
      <c r="BL76" s="97"/>
      <c r="BM76" s="97"/>
      <c r="BN76" s="97"/>
    </row>
    <row r="77" spans="1:66" ht="12.75">
      <c r="A77" s="79" t="s">
        <v>645</v>
      </c>
      <c r="B77" s="79" t="s">
        <v>366</v>
      </c>
      <c r="C77" s="79" t="s">
        <v>177</v>
      </c>
      <c r="D77" s="99">
        <v>4575</v>
      </c>
      <c r="E77" s="99">
        <v>405</v>
      </c>
      <c r="F77" s="99" t="s">
        <v>397</v>
      </c>
      <c r="G77" s="99">
        <v>19</v>
      </c>
      <c r="H77" s="99" t="s">
        <v>660</v>
      </c>
      <c r="I77" s="99">
        <v>55</v>
      </c>
      <c r="J77" s="99">
        <v>306</v>
      </c>
      <c r="K77" s="99">
        <v>12</v>
      </c>
      <c r="L77" s="99">
        <v>1093</v>
      </c>
      <c r="M77" s="99">
        <v>197</v>
      </c>
      <c r="N77" s="99">
        <v>97</v>
      </c>
      <c r="O77" s="99">
        <v>128</v>
      </c>
      <c r="P77" s="159">
        <v>128</v>
      </c>
      <c r="Q77" s="99">
        <v>8</v>
      </c>
      <c r="R77" s="99">
        <v>16</v>
      </c>
      <c r="S77" s="99">
        <v>22</v>
      </c>
      <c r="T77" s="99">
        <v>9</v>
      </c>
      <c r="U77" s="99" t="s">
        <v>660</v>
      </c>
      <c r="V77" s="99">
        <v>50</v>
      </c>
      <c r="W77" s="99">
        <v>25</v>
      </c>
      <c r="X77" s="99">
        <v>16</v>
      </c>
      <c r="Y77" s="99">
        <v>45</v>
      </c>
      <c r="Z77" s="99">
        <v>13</v>
      </c>
      <c r="AA77" s="99" t="s">
        <v>660</v>
      </c>
      <c r="AB77" s="99" t="s">
        <v>660</v>
      </c>
      <c r="AC77" s="99" t="s">
        <v>660</v>
      </c>
      <c r="AD77" s="98" t="s">
        <v>374</v>
      </c>
      <c r="AE77" s="100">
        <v>0.08852459016393442</v>
      </c>
      <c r="AF77" s="100">
        <v>0.06</v>
      </c>
      <c r="AG77" s="98">
        <v>415.30054644808746</v>
      </c>
      <c r="AH77" s="98" t="s">
        <v>660</v>
      </c>
      <c r="AI77" s="100">
        <v>0.012</v>
      </c>
      <c r="AJ77" s="100">
        <v>0.784615</v>
      </c>
      <c r="AK77" s="100">
        <v>0.666667</v>
      </c>
      <c r="AL77" s="100">
        <v>0.8744</v>
      </c>
      <c r="AM77" s="100">
        <v>0.623418</v>
      </c>
      <c r="AN77" s="100">
        <v>0.633987</v>
      </c>
      <c r="AO77" s="98">
        <v>2797.814207650273</v>
      </c>
      <c r="AP77" s="158">
        <v>1.8664436340000001</v>
      </c>
      <c r="AQ77" s="100">
        <v>0.0625</v>
      </c>
      <c r="AR77" s="100">
        <v>0.5</v>
      </c>
      <c r="AS77" s="98">
        <v>480.8743169398907</v>
      </c>
      <c r="AT77" s="98">
        <v>196.72131147540983</v>
      </c>
      <c r="AU77" s="98" t="s">
        <v>660</v>
      </c>
      <c r="AV77" s="98">
        <v>1092.896174863388</v>
      </c>
      <c r="AW77" s="98">
        <v>546.448087431694</v>
      </c>
      <c r="AX77" s="98">
        <v>349.72677595628414</v>
      </c>
      <c r="AY77" s="98">
        <v>983.6065573770492</v>
      </c>
      <c r="AZ77" s="98">
        <v>284.1530054644809</v>
      </c>
      <c r="BA77" s="100" t="s">
        <v>660</v>
      </c>
      <c r="BB77" s="100" t="s">
        <v>660</v>
      </c>
      <c r="BC77" s="100" t="s">
        <v>660</v>
      </c>
      <c r="BD77" s="158">
        <v>1.557129211</v>
      </c>
      <c r="BE77" s="158">
        <v>2.219207611</v>
      </c>
      <c r="BF77" s="162">
        <v>390</v>
      </c>
      <c r="BG77" s="162">
        <v>18</v>
      </c>
      <c r="BH77" s="162">
        <v>1250</v>
      </c>
      <c r="BI77" s="162">
        <v>316</v>
      </c>
      <c r="BJ77" s="162">
        <v>153</v>
      </c>
      <c r="BK77" s="97"/>
      <c r="BL77" s="97"/>
      <c r="BM77" s="97"/>
      <c r="BN77" s="97"/>
    </row>
    <row r="78" spans="1:66" ht="12.75">
      <c r="A78" s="79" t="s">
        <v>633</v>
      </c>
      <c r="B78" s="79" t="s">
        <v>354</v>
      </c>
      <c r="C78" s="79" t="s">
        <v>177</v>
      </c>
      <c r="D78" s="99">
        <v>4096</v>
      </c>
      <c r="E78" s="99">
        <v>931</v>
      </c>
      <c r="F78" s="99" t="s">
        <v>397</v>
      </c>
      <c r="G78" s="99">
        <v>26</v>
      </c>
      <c r="H78" s="99">
        <v>8</v>
      </c>
      <c r="I78" s="99">
        <v>79</v>
      </c>
      <c r="J78" s="99">
        <v>456</v>
      </c>
      <c r="K78" s="99" t="s">
        <v>660</v>
      </c>
      <c r="L78" s="99">
        <v>815</v>
      </c>
      <c r="M78" s="99">
        <v>364</v>
      </c>
      <c r="N78" s="99">
        <v>176</v>
      </c>
      <c r="O78" s="99">
        <v>189</v>
      </c>
      <c r="P78" s="159">
        <v>189</v>
      </c>
      <c r="Q78" s="99">
        <v>15</v>
      </c>
      <c r="R78" s="99">
        <v>27</v>
      </c>
      <c r="S78" s="99">
        <v>35</v>
      </c>
      <c r="T78" s="99">
        <v>12</v>
      </c>
      <c r="U78" s="99" t="s">
        <v>660</v>
      </c>
      <c r="V78" s="99">
        <v>84</v>
      </c>
      <c r="W78" s="99">
        <v>34</v>
      </c>
      <c r="X78" s="99">
        <v>13</v>
      </c>
      <c r="Y78" s="99">
        <v>36</v>
      </c>
      <c r="Z78" s="99">
        <v>27</v>
      </c>
      <c r="AA78" s="99" t="s">
        <v>660</v>
      </c>
      <c r="AB78" s="99" t="s">
        <v>660</v>
      </c>
      <c r="AC78" s="99" t="s">
        <v>660</v>
      </c>
      <c r="AD78" s="98" t="s">
        <v>374</v>
      </c>
      <c r="AE78" s="100">
        <v>0.227294921875</v>
      </c>
      <c r="AF78" s="100">
        <v>0.05</v>
      </c>
      <c r="AG78" s="98">
        <v>634.765625</v>
      </c>
      <c r="AH78" s="98">
        <v>195.3125</v>
      </c>
      <c r="AI78" s="100">
        <v>0.019</v>
      </c>
      <c r="AJ78" s="100">
        <v>0.7296</v>
      </c>
      <c r="AK78" s="100" t="s">
        <v>660</v>
      </c>
      <c r="AL78" s="100">
        <v>0.853403</v>
      </c>
      <c r="AM78" s="100">
        <v>0.617997</v>
      </c>
      <c r="AN78" s="100">
        <v>0.630824</v>
      </c>
      <c r="AO78" s="98">
        <v>4614.2578125</v>
      </c>
      <c r="AP78" s="158">
        <v>2.0615840149999998</v>
      </c>
      <c r="AQ78" s="100">
        <v>0.07936507936507936</v>
      </c>
      <c r="AR78" s="100">
        <v>0.5555555555555556</v>
      </c>
      <c r="AS78" s="98">
        <v>854.4921875</v>
      </c>
      <c r="AT78" s="98">
        <v>292.96875</v>
      </c>
      <c r="AU78" s="98" t="s">
        <v>660</v>
      </c>
      <c r="AV78" s="98">
        <v>2050.78125</v>
      </c>
      <c r="AW78" s="98">
        <v>830.078125</v>
      </c>
      <c r="AX78" s="98">
        <v>317.3828125</v>
      </c>
      <c r="AY78" s="98">
        <v>878.90625</v>
      </c>
      <c r="AZ78" s="98">
        <v>659.1796875</v>
      </c>
      <c r="BA78" s="100" t="s">
        <v>660</v>
      </c>
      <c r="BB78" s="100" t="s">
        <v>660</v>
      </c>
      <c r="BC78" s="100" t="s">
        <v>660</v>
      </c>
      <c r="BD78" s="158">
        <v>1.7781350710000001</v>
      </c>
      <c r="BE78" s="158">
        <v>2.377372437</v>
      </c>
      <c r="BF78" s="162">
        <v>625</v>
      </c>
      <c r="BG78" s="162" t="s">
        <v>660</v>
      </c>
      <c r="BH78" s="162">
        <v>955</v>
      </c>
      <c r="BI78" s="162">
        <v>589</v>
      </c>
      <c r="BJ78" s="162">
        <v>279</v>
      </c>
      <c r="BK78" s="97"/>
      <c r="BL78" s="97"/>
      <c r="BM78" s="97"/>
      <c r="BN78" s="97"/>
    </row>
    <row r="79" spans="1:66" ht="12.75">
      <c r="A79" s="79" t="s">
        <v>609</v>
      </c>
      <c r="B79" s="79" t="s">
        <v>330</v>
      </c>
      <c r="C79" s="79" t="s">
        <v>177</v>
      </c>
      <c r="D79" s="99">
        <v>12376</v>
      </c>
      <c r="E79" s="99">
        <v>2658</v>
      </c>
      <c r="F79" s="99" t="s">
        <v>395</v>
      </c>
      <c r="G79" s="99">
        <v>72</v>
      </c>
      <c r="H79" s="99">
        <v>39</v>
      </c>
      <c r="I79" s="99">
        <v>232</v>
      </c>
      <c r="J79" s="99">
        <v>1284</v>
      </c>
      <c r="K79" s="99">
        <v>60</v>
      </c>
      <c r="L79" s="99">
        <v>2294</v>
      </c>
      <c r="M79" s="99">
        <v>953</v>
      </c>
      <c r="N79" s="99">
        <v>494</v>
      </c>
      <c r="O79" s="99">
        <v>369</v>
      </c>
      <c r="P79" s="159">
        <v>369</v>
      </c>
      <c r="Q79" s="99">
        <v>33</v>
      </c>
      <c r="R79" s="99">
        <v>66</v>
      </c>
      <c r="S79" s="99">
        <v>98</v>
      </c>
      <c r="T79" s="99">
        <v>45</v>
      </c>
      <c r="U79" s="99">
        <v>10</v>
      </c>
      <c r="V79" s="99">
        <v>67</v>
      </c>
      <c r="W79" s="99">
        <v>88</v>
      </c>
      <c r="X79" s="99">
        <v>44</v>
      </c>
      <c r="Y79" s="99">
        <v>141</v>
      </c>
      <c r="Z79" s="99">
        <v>112</v>
      </c>
      <c r="AA79" s="99" t="s">
        <v>660</v>
      </c>
      <c r="AB79" s="99" t="s">
        <v>660</v>
      </c>
      <c r="AC79" s="99" t="s">
        <v>660</v>
      </c>
      <c r="AD79" s="98" t="s">
        <v>374</v>
      </c>
      <c r="AE79" s="100">
        <v>0.214770523594053</v>
      </c>
      <c r="AF79" s="100">
        <v>0.11</v>
      </c>
      <c r="AG79" s="98">
        <v>581.7711700064641</v>
      </c>
      <c r="AH79" s="98">
        <v>315.12605042016804</v>
      </c>
      <c r="AI79" s="100">
        <v>0.019</v>
      </c>
      <c r="AJ79" s="100">
        <v>0.775831</v>
      </c>
      <c r="AK79" s="100">
        <v>0.84507</v>
      </c>
      <c r="AL79" s="100">
        <v>0.783202</v>
      </c>
      <c r="AM79" s="100">
        <v>0.587184</v>
      </c>
      <c r="AN79" s="100">
        <v>0.6277</v>
      </c>
      <c r="AO79" s="98">
        <v>2981.5772462831287</v>
      </c>
      <c r="AP79" s="158">
        <v>1.409963684</v>
      </c>
      <c r="AQ79" s="100">
        <v>0.08943089430894309</v>
      </c>
      <c r="AR79" s="100">
        <v>0.5</v>
      </c>
      <c r="AS79" s="98">
        <v>791.8552036199095</v>
      </c>
      <c r="AT79" s="98">
        <v>363.6069812540401</v>
      </c>
      <c r="AU79" s="98">
        <v>80.80155138978668</v>
      </c>
      <c r="AV79" s="98">
        <v>541.3703943115707</v>
      </c>
      <c r="AW79" s="98">
        <v>711.0536522301228</v>
      </c>
      <c r="AX79" s="98">
        <v>355.5268261150614</v>
      </c>
      <c r="AY79" s="98">
        <v>1139.3018745959923</v>
      </c>
      <c r="AZ79" s="98">
        <v>904.9773755656108</v>
      </c>
      <c r="BA79" s="100" t="s">
        <v>660</v>
      </c>
      <c r="BB79" s="100" t="s">
        <v>660</v>
      </c>
      <c r="BC79" s="100" t="s">
        <v>660</v>
      </c>
      <c r="BD79" s="158">
        <v>1.269755325</v>
      </c>
      <c r="BE79" s="158">
        <v>1.561424561</v>
      </c>
      <c r="BF79" s="162">
        <v>1655</v>
      </c>
      <c r="BG79" s="162">
        <v>71</v>
      </c>
      <c r="BH79" s="162">
        <v>2929</v>
      </c>
      <c r="BI79" s="162">
        <v>1623</v>
      </c>
      <c r="BJ79" s="162">
        <v>787</v>
      </c>
      <c r="BK79" s="97"/>
      <c r="BL79" s="97"/>
      <c r="BM79" s="97"/>
      <c r="BN79" s="97"/>
    </row>
    <row r="80" spans="1:66" ht="12.75">
      <c r="A80" s="79" t="s">
        <v>601</v>
      </c>
      <c r="B80" s="79" t="s">
        <v>322</v>
      </c>
      <c r="C80" s="79" t="s">
        <v>177</v>
      </c>
      <c r="D80" s="99">
        <v>10790</v>
      </c>
      <c r="E80" s="99">
        <v>1974</v>
      </c>
      <c r="F80" s="99" t="s">
        <v>395</v>
      </c>
      <c r="G80" s="99">
        <v>72</v>
      </c>
      <c r="H80" s="99">
        <v>42</v>
      </c>
      <c r="I80" s="99">
        <v>253</v>
      </c>
      <c r="J80" s="99">
        <v>1001</v>
      </c>
      <c r="K80" s="99">
        <v>6</v>
      </c>
      <c r="L80" s="99">
        <v>2186</v>
      </c>
      <c r="M80" s="99">
        <v>706</v>
      </c>
      <c r="N80" s="99">
        <v>387</v>
      </c>
      <c r="O80" s="99">
        <v>257</v>
      </c>
      <c r="P80" s="159">
        <v>257</v>
      </c>
      <c r="Q80" s="99">
        <v>31</v>
      </c>
      <c r="R80" s="99">
        <v>56</v>
      </c>
      <c r="S80" s="99">
        <v>61</v>
      </c>
      <c r="T80" s="99">
        <v>33</v>
      </c>
      <c r="U80" s="99">
        <v>7</v>
      </c>
      <c r="V80" s="99">
        <v>60</v>
      </c>
      <c r="W80" s="99">
        <v>69</v>
      </c>
      <c r="X80" s="99">
        <v>32</v>
      </c>
      <c r="Y80" s="99">
        <v>107</v>
      </c>
      <c r="Z80" s="99">
        <v>100</v>
      </c>
      <c r="AA80" s="99" t="s">
        <v>660</v>
      </c>
      <c r="AB80" s="99" t="s">
        <v>660</v>
      </c>
      <c r="AC80" s="99" t="s">
        <v>660</v>
      </c>
      <c r="AD80" s="98" t="s">
        <v>374</v>
      </c>
      <c r="AE80" s="100">
        <v>0.1829471733086191</v>
      </c>
      <c r="AF80" s="100">
        <v>0.1</v>
      </c>
      <c r="AG80" s="98">
        <v>667.2845227062095</v>
      </c>
      <c r="AH80" s="98">
        <v>389.2493049119555</v>
      </c>
      <c r="AI80" s="100">
        <v>0.023</v>
      </c>
      <c r="AJ80" s="100">
        <v>0.758908</v>
      </c>
      <c r="AK80" s="100">
        <v>0.428571</v>
      </c>
      <c r="AL80" s="100">
        <v>0.796357</v>
      </c>
      <c r="AM80" s="100">
        <v>0.600851</v>
      </c>
      <c r="AN80" s="100">
        <v>0.628247</v>
      </c>
      <c r="AO80" s="98">
        <v>2381.835032437442</v>
      </c>
      <c r="AP80" s="158">
        <v>1.22098175</v>
      </c>
      <c r="AQ80" s="100">
        <v>0.12062256809338522</v>
      </c>
      <c r="AR80" s="100">
        <v>0.5535714285714286</v>
      </c>
      <c r="AS80" s="98">
        <v>565.3382761816497</v>
      </c>
      <c r="AT80" s="98">
        <v>305.83873957367933</v>
      </c>
      <c r="AU80" s="98">
        <v>64.87488415199259</v>
      </c>
      <c r="AV80" s="98">
        <v>556.0704355885078</v>
      </c>
      <c r="AW80" s="98">
        <v>639.4810009267841</v>
      </c>
      <c r="AX80" s="98">
        <v>296.57089898053755</v>
      </c>
      <c r="AY80" s="98">
        <v>991.6589434661723</v>
      </c>
      <c r="AZ80" s="98">
        <v>926.7840593141798</v>
      </c>
      <c r="BA80" s="100" t="s">
        <v>660</v>
      </c>
      <c r="BB80" s="100" t="s">
        <v>660</v>
      </c>
      <c r="BC80" s="100" t="s">
        <v>660</v>
      </c>
      <c r="BD80" s="158">
        <v>1.076255035</v>
      </c>
      <c r="BE80" s="158">
        <v>1.379746857</v>
      </c>
      <c r="BF80" s="162">
        <v>1319</v>
      </c>
      <c r="BG80" s="162">
        <v>14</v>
      </c>
      <c r="BH80" s="162">
        <v>2745</v>
      </c>
      <c r="BI80" s="162">
        <v>1175</v>
      </c>
      <c r="BJ80" s="162">
        <v>616</v>
      </c>
      <c r="BK80" s="97"/>
      <c r="BL80" s="97"/>
      <c r="BM80" s="97"/>
      <c r="BN80" s="97"/>
    </row>
    <row r="81" spans="1:66" ht="12.75">
      <c r="A81" s="79" t="s">
        <v>577</v>
      </c>
      <c r="B81" s="79" t="s">
        <v>298</v>
      </c>
      <c r="C81" s="79" t="s">
        <v>177</v>
      </c>
      <c r="D81" s="99">
        <v>7170</v>
      </c>
      <c r="E81" s="99">
        <v>1301</v>
      </c>
      <c r="F81" s="99" t="s">
        <v>395</v>
      </c>
      <c r="G81" s="99">
        <v>42</v>
      </c>
      <c r="H81" s="99">
        <v>20</v>
      </c>
      <c r="I81" s="99">
        <v>118</v>
      </c>
      <c r="J81" s="99">
        <v>478</v>
      </c>
      <c r="K81" s="99">
        <v>6</v>
      </c>
      <c r="L81" s="99">
        <v>1364</v>
      </c>
      <c r="M81" s="99">
        <v>437</v>
      </c>
      <c r="N81" s="99">
        <v>218</v>
      </c>
      <c r="O81" s="99">
        <v>152</v>
      </c>
      <c r="P81" s="159">
        <v>152</v>
      </c>
      <c r="Q81" s="99">
        <v>20</v>
      </c>
      <c r="R81" s="99">
        <v>34</v>
      </c>
      <c r="S81" s="99">
        <v>38</v>
      </c>
      <c r="T81" s="99">
        <v>23</v>
      </c>
      <c r="U81" s="99" t="s">
        <v>660</v>
      </c>
      <c r="V81" s="99">
        <v>26</v>
      </c>
      <c r="W81" s="99">
        <v>42</v>
      </c>
      <c r="X81" s="99">
        <v>34</v>
      </c>
      <c r="Y81" s="99">
        <v>50</v>
      </c>
      <c r="Z81" s="99">
        <v>36</v>
      </c>
      <c r="AA81" s="99" t="s">
        <v>660</v>
      </c>
      <c r="AB81" s="99" t="s">
        <v>660</v>
      </c>
      <c r="AC81" s="99" t="s">
        <v>660</v>
      </c>
      <c r="AD81" s="98" t="s">
        <v>374</v>
      </c>
      <c r="AE81" s="100">
        <v>0.18145048814504883</v>
      </c>
      <c r="AF81" s="100">
        <v>0.1</v>
      </c>
      <c r="AG81" s="98">
        <v>585.7740585774059</v>
      </c>
      <c r="AH81" s="98">
        <v>278.9400278940028</v>
      </c>
      <c r="AI81" s="100">
        <v>0.016</v>
      </c>
      <c r="AJ81" s="100">
        <v>0.701909</v>
      </c>
      <c r="AK81" s="100">
        <v>0.666667</v>
      </c>
      <c r="AL81" s="100">
        <v>0.710787</v>
      </c>
      <c r="AM81" s="100">
        <v>0.644543</v>
      </c>
      <c r="AN81" s="100">
        <v>0.65861</v>
      </c>
      <c r="AO81" s="98">
        <v>2119.944211994421</v>
      </c>
      <c r="AP81" s="158">
        <v>1.136620407</v>
      </c>
      <c r="AQ81" s="100">
        <v>0.13157894736842105</v>
      </c>
      <c r="AR81" s="100">
        <v>0.5882352941176471</v>
      </c>
      <c r="AS81" s="98">
        <v>529.9860529986053</v>
      </c>
      <c r="AT81" s="98">
        <v>320.7810320781032</v>
      </c>
      <c r="AU81" s="98" t="s">
        <v>660</v>
      </c>
      <c r="AV81" s="98">
        <v>362.6220362622036</v>
      </c>
      <c r="AW81" s="98">
        <v>585.7740585774059</v>
      </c>
      <c r="AX81" s="98">
        <v>474.19804741980477</v>
      </c>
      <c r="AY81" s="98">
        <v>697.350069735007</v>
      </c>
      <c r="AZ81" s="98">
        <v>502.092050209205</v>
      </c>
      <c r="BA81" s="100" t="s">
        <v>660</v>
      </c>
      <c r="BB81" s="100" t="s">
        <v>660</v>
      </c>
      <c r="BC81" s="100" t="s">
        <v>660</v>
      </c>
      <c r="BD81" s="158">
        <v>0.9631106567000001</v>
      </c>
      <c r="BE81" s="158">
        <v>1.3323602289999998</v>
      </c>
      <c r="BF81" s="162">
        <v>681</v>
      </c>
      <c r="BG81" s="162">
        <v>9</v>
      </c>
      <c r="BH81" s="162">
        <v>1919</v>
      </c>
      <c r="BI81" s="162">
        <v>678</v>
      </c>
      <c r="BJ81" s="162">
        <v>331</v>
      </c>
      <c r="BK81" s="97"/>
      <c r="BL81" s="97"/>
      <c r="BM81" s="97"/>
      <c r="BN81" s="97"/>
    </row>
    <row r="82" spans="1:66" ht="12.75">
      <c r="A82" s="79" t="s">
        <v>651</v>
      </c>
      <c r="B82" s="79" t="s">
        <v>373</v>
      </c>
      <c r="C82" s="79" t="s">
        <v>177</v>
      </c>
      <c r="D82" s="99">
        <v>2114</v>
      </c>
      <c r="E82" s="99">
        <v>243</v>
      </c>
      <c r="F82" s="99" t="s">
        <v>396</v>
      </c>
      <c r="G82" s="99">
        <v>9</v>
      </c>
      <c r="H82" s="99">
        <v>11</v>
      </c>
      <c r="I82" s="99">
        <v>32</v>
      </c>
      <c r="J82" s="99">
        <v>128</v>
      </c>
      <c r="K82" s="99">
        <v>125</v>
      </c>
      <c r="L82" s="99">
        <v>396</v>
      </c>
      <c r="M82" s="99">
        <v>67</v>
      </c>
      <c r="N82" s="99">
        <v>40</v>
      </c>
      <c r="O82" s="99">
        <v>24</v>
      </c>
      <c r="P82" s="159">
        <v>24</v>
      </c>
      <c r="Q82" s="99" t="s">
        <v>660</v>
      </c>
      <c r="R82" s="99">
        <v>13</v>
      </c>
      <c r="S82" s="99">
        <v>8</v>
      </c>
      <c r="T82" s="99" t="s">
        <v>660</v>
      </c>
      <c r="U82" s="99" t="s">
        <v>660</v>
      </c>
      <c r="V82" s="99">
        <v>6</v>
      </c>
      <c r="W82" s="99">
        <v>10</v>
      </c>
      <c r="X82" s="99">
        <v>7</v>
      </c>
      <c r="Y82" s="99">
        <v>19</v>
      </c>
      <c r="Z82" s="99">
        <v>15</v>
      </c>
      <c r="AA82" s="99" t="s">
        <v>660</v>
      </c>
      <c r="AB82" s="99" t="s">
        <v>660</v>
      </c>
      <c r="AC82" s="99" t="s">
        <v>660</v>
      </c>
      <c r="AD82" s="98" t="s">
        <v>374</v>
      </c>
      <c r="AE82" s="100">
        <v>0.11494796594134342</v>
      </c>
      <c r="AF82" s="100">
        <v>0.15</v>
      </c>
      <c r="AG82" s="98">
        <v>425.73320719016084</v>
      </c>
      <c r="AH82" s="98">
        <v>520.3405865657521</v>
      </c>
      <c r="AI82" s="100">
        <v>0.015</v>
      </c>
      <c r="AJ82" s="100">
        <v>0.695652</v>
      </c>
      <c r="AK82" s="100">
        <v>0.702247</v>
      </c>
      <c r="AL82" s="100">
        <v>0.777996</v>
      </c>
      <c r="AM82" s="100">
        <v>0.41875</v>
      </c>
      <c r="AN82" s="100">
        <v>0.5</v>
      </c>
      <c r="AO82" s="98">
        <v>1135.2885525070956</v>
      </c>
      <c r="AP82" s="158">
        <v>0.7223387146</v>
      </c>
      <c r="AQ82" s="100" t="s">
        <v>660</v>
      </c>
      <c r="AR82" s="100" t="s">
        <v>660</v>
      </c>
      <c r="AS82" s="98">
        <v>378.4295175023652</v>
      </c>
      <c r="AT82" s="98" t="s">
        <v>660</v>
      </c>
      <c r="AU82" s="98" t="s">
        <v>660</v>
      </c>
      <c r="AV82" s="98">
        <v>283.8221381267739</v>
      </c>
      <c r="AW82" s="98">
        <v>473.0368968779565</v>
      </c>
      <c r="AX82" s="98">
        <v>331.12582781456956</v>
      </c>
      <c r="AY82" s="98">
        <v>898.7701040681173</v>
      </c>
      <c r="AZ82" s="98">
        <v>709.5553453169347</v>
      </c>
      <c r="BA82" s="100" t="s">
        <v>660</v>
      </c>
      <c r="BB82" s="100" t="s">
        <v>660</v>
      </c>
      <c r="BC82" s="100" t="s">
        <v>660</v>
      </c>
      <c r="BD82" s="158">
        <v>0.4628160477</v>
      </c>
      <c r="BE82" s="158">
        <v>1.0747827909999998</v>
      </c>
      <c r="BF82" s="162">
        <v>184</v>
      </c>
      <c r="BG82" s="162">
        <v>178</v>
      </c>
      <c r="BH82" s="162">
        <v>509</v>
      </c>
      <c r="BI82" s="162">
        <v>160</v>
      </c>
      <c r="BJ82" s="162">
        <v>80</v>
      </c>
      <c r="BK82" s="97"/>
      <c r="BL82" s="97"/>
      <c r="BM82" s="97"/>
      <c r="BN82" s="97"/>
    </row>
    <row r="83" spans="1:66" ht="12.75">
      <c r="A83" s="79" t="s">
        <v>621</v>
      </c>
      <c r="B83" s="79" t="s">
        <v>341</v>
      </c>
      <c r="C83" s="79" t="s">
        <v>177</v>
      </c>
      <c r="D83" s="99">
        <v>4522</v>
      </c>
      <c r="E83" s="99">
        <v>654</v>
      </c>
      <c r="F83" s="99" t="s">
        <v>396</v>
      </c>
      <c r="G83" s="99">
        <v>26</v>
      </c>
      <c r="H83" s="99">
        <v>11</v>
      </c>
      <c r="I83" s="99">
        <v>79</v>
      </c>
      <c r="J83" s="99">
        <v>378</v>
      </c>
      <c r="K83" s="99" t="s">
        <v>660</v>
      </c>
      <c r="L83" s="99">
        <v>1003</v>
      </c>
      <c r="M83" s="99">
        <v>240</v>
      </c>
      <c r="N83" s="99">
        <v>133</v>
      </c>
      <c r="O83" s="99">
        <v>82</v>
      </c>
      <c r="P83" s="159">
        <v>82</v>
      </c>
      <c r="Q83" s="99">
        <v>7</v>
      </c>
      <c r="R83" s="99">
        <v>19</v>
      </c>
      <c r="S83" s="99">
        <v>11</v>
      </c>
      <c r="T83" s="99">
        <v>13</v>
      </c>
      <c r="U83" s="99" t="s">
        <v>660</v>
      </c>
      <c r="V83" s="99">
        <v>19</v>
      </c>
      <c r="W83" s="99">
        <v>36</v>
      </c>
      <c r="X83" s="99">
        <v>6</v>
      </c>
      <c r="Y83" s="99">
        <v>34</v>
      </c>
      <c r="Z83" s="99">
        <v>25</v>
      </c>
      <c r="AA83" s="99" t="s">
        <v>660</v>
      </c>
      <c r="AB83" s="99" t="s">
        <v>660</v>
      </c>
      <c r="AC83" s="99" t="s">
        <v>660</v>
      </c>
      <c r="AD83" s="98" t="s">
        <v>374</v>
      </c>
      <c r="AE83" s="100">
        <v>0.14462627156125607</v>
      </c>
      <c r="AF83" s="100">
        <v>0.15</v>
      </c>
      <c r="AG83" s="98">
        <v>574.9668288367978</v>
      </c>
      <c r="AH83" s="98">
        <v>243.25519681556833</v>
      </c>
      <c r="AI83" s="100">
        <v>0.017</v>
      </c>
      <c r="AJ83" s="100">
        <v>0.686025</v>
      </c>
      <c r="AK83" s="100" t="s">
        <v>660</v>
      </c>
      <c r="AL83" s="100">
        <v>0.824836</v>
      </c>
      <c r="AM83" s="100">
        <v>0.536913</v>
      </c>
      <c r="AN83" s="100">
        <v>0.607306</v>
      </c>
      <c r="AO83" s="98">
        <v>1813.3569217160548</v>
      </c>
      <c r="AP83" s="158">
        <v>1.005882797</v>
      </c>
      <c r="AQ83" s="100">
        <v>0.08536585365853659</v>
      </c>
      <c r="AR83" s="100">
        <v>0.3684210526315789</v>
      </c>
      <c r="AS83" s="98">
        <v>243.25519681556833</v>
      </c>
      <c r="AT83" s="98">
        <v>287.4834144183989</v>
      </c>
      <c r="AU83" s="98" t="s">
        <v>660</v>
      </c>
      <c r="AV83" s="98">
        <v>420.16806722689074</v>
      </c>
      <c r="AW83" s="98">
        <v>796.1079168509509</v>
      </c>
      <c r="AX83" s="98">
        <v>132.68465280849182</v>
      </c>
      <c r="AY83" s="98">
        <v>751.8796992481203</v>
      </c>
      <c r="AZ83" s="98">
        <v>552.8527200353826</v>
      </c>
      <c r="BA83" s="100" t="s">
        <v>660</v>
      </c>
      <c r="BB83" s="100" t="s">
        <v>660</v>
      </c>
      <c r="BC83" s="100" t="s">
        <v>660</v>
      </c>
      <c r="BD83" s="158">
        <v>0.8000083923</v>
      </c>
      <c r="BE83" s="158">
        <v>1.24856575</v>
      </c>
      <c r="BF83" s="162">
        <v>551</v>
      </c>
      <c r="BG83" s="162" t="s">
        <v>660</v>
      </c>
      <c r="BH83" s="162">
        <v>1216</v>
      </c>
      <c r="BI83" s="162">
        <v>447</v>
      </c>
      <c r="BJ83" s="162">
        <v>219</v>
      </c>
      <c r="BK83" s="97"/>
      <c r="BL83" s="97"/>
      <c r="BM83" s="97"/>
      <c r="BN83" s="97"/>
    </row>
    <row r="84" spans="1:66" ht="12.75">
      <c r="A84" s="79" t="s">
        <v>575</v>
      </c>
      <c r="B84" s="79" t="s">
        <v>296</v>
      </c>
      <c r="C84" s="79" t="s">
        <v>177</v>
      </c>
      <c r="D84" s="99">
        <v>6600</v>
      </c>
      <c r="E84" s="99">
        <v>1277</v>
      </c>
      <c r="F84" s="99" t="s">
        <v>397</v>
      </c>
      <c r="G84" s="99">
        <v>41</v>
      </c>
      <c r="H84" s="99">
        <v>15</v>
      </c>
      <c r="I84" s="99">
        <v>159</v>
      </c>
      <c r="J84" s="99">
        <v>667</v>
      </c>
      <c r="K84" s="99">
        <v>6</v>
      </c>
      <c r="L84" s="99">
        <v>1421</v>
      </c>
      <c r="M84" s="99">
        <v>478</v>
      </c>
      <c r="N84" s="99">
        <v>263</v>
      </c>
      <c r="O84" s="99">
        <v>171</v>
      </c>
      <c r="P84" s="159">
        <v>171</v>
      </c>
      <c r="Q84" s="99">
        <v>23</v>
      </c>
      <c r="R84" s="99">
        <v>40</v>
      </c>
      <c r="S84" s="99">
        <v>22</v>
      </c>
      <c r="T84" s="99">
        <v>33</v>
      </c>
      <c r="U84" s="99" t="s">
        <v>660</v>
      </c>
      <c r="V84" s="99">
        <v>41</v>
      </c>
      <c r="W84" s="99">
        <v>60</v>
      </c>
      <c r="X84" s="99">
        <v>20</v>
      </c>
      <c r="Y84" s="99">
        <v>53</v>
      </c>
      <c r="Z84" s="99">
        <v>38</v>
      </c>
      <c r="AA84" s="99" t="s">
        <v>660</v>
      </c>
      <c r="AB84" s="99" t="s">
        <v>660</v>
      </c>
      <c r="AC84" s="99" t="s">
        <v>660</v>
      </c>
      <c r="AD84" s="98" t="s">
        <v>374</v>
      </c>
      <c r="AE84" s="100">
        <v>0.19348484848484848</v>
      </c>
      <c r="AF84" s="100">
        <v>0.08</v>
      </c>
      <c r="AG84" s="98">
        <v>621.2121212121212</v>
      </c>
      <c r="AH84" s="98">
        <v>227.27272727272728</v>
      </c>
      <c r="AI84" s="100">
        <v>0.024</v>
      </c>
      <c r="AJ84" s="100">
        <v>0.820418</v>
      </c>
      <c r="AK84" s="100">
        <v>0.857143</v>
      </c>
      <c r="AL84" s="100">
        <v>0.840828</v>
      </c>
      <c r="AM84" s="100">
        <v>0.633113</v>
      </c>
      <c r="AN84" s="100">
        <v>0.677835</v>
      </c>
      <c r="AO84" s="98">
        <v>2590.909090909091</v>
      </c>
      <c r="AP84" s="158">
        <v>1.279973526</v>
      </c>
      <c r="AQ84" s="100">
        <v>0.13450292397660818</v>
      </c>
      <c r="AR84" s="100">
        <v>0.575</v>
      </c>
      <c r="AS84" s="98">
        <v>333.3333333333333</v>
      </c>
      <c r="AT84" s="98">
        <v>500</v>
      </c>
      <c r="AU84" s="98" t="s">
        <v>660</v>
      </c>
      <c r="AV84" s="98">
        <v>621.2121212121212</v>
      </c>
      <c r="AW84" s="98">
        <v>909.0909090909091</v>
      </c>
      <c r="AX84" s="98">
        <v>303.030303030303</v>
      </c>
      <c r="AY84" s="98">
        <v>803.030303030303</v>
      </c>
      <c r="AZ84" s="98">
        <v>575.7575757575758</v>
      </c>
      <c r="BA84" s="100" t="s">
        <v>660</v>
      </c>
      <c r="BB84" s="100" t="s">
        <v>660</v>
      </c>
      <c r="BC84" s="100" t="s">
        <v>660</v>
      </c>
      <c r="BD84" s="158">
        <v>1.095313339</v>
      </c>
      <c r="BE84" s="158">
        <v>1.4868528749999999</v>
      </c>
      <c r="BF84" s="162">
        <v>813</v>
      </c>
      <c r="BG84" s="162">
        <v>7</v>
      </c>
      <c r="BH84" s="162">
        <v>1690</v>
      </c>
      <c r="BI84" s="162">
        <v>755</v>
      </c>
      <c r="BJ84" s="162">
        <v>388</v>
      </c>
      <c r="BK84" s="97"/>
      <c r="BL84" s="97"/>
      <c r="BM84" s="97"/>
      <c r="BN84" s="97"/>
    </row>
    <row r="85" spans="1:66" ht="12.75">
      <c r="A85" s="79" t="s">
        <v>614</v>
      </c>
      <c r="B85" s="79" t="s">
        <v>335</v>
      </c>
      <c r="C85" s="79" t="s">
        <v>177</v>
      </c>
      <c r="D85" s="99">
        <v>12703</v>
      </c>
      <c r="E85" s="99">
        <v>1905</v>
      </c>
      <c r="F85" s="99" t="s">
        <v>395</v>
      </c>
      <c r="G85" s="99">
        <v>57</v>
      </c>
      <c r="H85" s="99">
        <v>26</v>
      </c>
      <c r="I85" s="99">
        <v>194</v>
      </c>
      <c r="J85" s="99">
        <v>1082</v>
      </c>
      <c r="K85" s="99">
        <v>18</v>
      </c>
      <c r="L85" s="99">
        <v>2746</v>
      </c>
      <c r="M85" s="99">
        <v>815</v>
      </c>
      <c r="N85" s="99">
        <v>429</v>
      </c>
      <c r="O85" s="99">
        <v>284</v>
      </c>
      <c r="P85" s="159">
        <v>284</v>
      </c>
      <c r="Q85" s="99">
        <v>26</v>
      </c>
      <c r="R85" s="99">
        <v>46</v>
      </c>
      <c r="S85" s="99">
        <v>70</v>
      </c>
      <c r="T85" s="99">
        <v>21</v>
      </c>
      <c r="U85" s="99">
        <v>12</v>
      </c>
      <c r="V85" s="99">
        <v>82</v>
      </c>
      <c r="W85" s="99">
        <v>71</v>
      </c>
      <c r="X85" s="99">
        <v>40</v>
      </c>
      <c r="Y85" s="99">
        <v>88</v>
      </c>
      <c r="Z85" s="99">
        <v>78</v>
      </c>
      <c r="AA85" s="99" t="s">
        <v>660</v>
      </c>
      <c r="AB85" s="99" t="s">
        <v>660</v>
      </c>
      <c r="AC85" s="99" t="s">
        <v>660</v>
      </c>
      <c r="AD85" s="98" t="s">
        <v>374</v>
      </c>
      <c r="AE85" s="100">
        <v>0.14996457529717389</v>
      </c>
      <c r="AF85" s="100">
        <v>0.09</v>
      </c>
      <c r="AG85" s="98">
        <v>448.7129024639849</v>
      </c>
      <c r="AH85" s="98">
        <v>204.67606077304575</v>
      </c>
      <c r="AI85" s="100">
        <v>0.015</v>
      </c>
      <c r="AJ85" s="100">
        <v>0.750867</v>
      </c>
      <c r="AK85" s="100">
        <v>0.692308</v>
      </c>
      <c r="AL85" s="100">
        <v>0.809552</v>
      </c>
      <c r="AM85" s="100">
        <v>0.644269</v>
      </c>
      <c r="AN85" s="100">
        <v>0.674528</v>
      </c>
      <c r="AO85" s="98">
        <v>2235.6923561363456</v>
      </c>
      <c r="AP85" s="158">
        <v>1.235968094</v>
      </c>
      <c r="AQ85" s="100">
        <v>0.09154929577464789</v>
      </c>
      <c r="AR85" s="100">
        <v>0.5652173913043478</v>
      </c>
      <c r="AS85" s="98">
        <v>551.0509328505077</v>
      </c>
      <c r="AT85" s="98">
        <v>165.31527985515234</v>
      </c>
      <c r="AU85" s="98">
        <v>94.46587420294419</v>
      </c>
      <c r="AV85" s="98">
        <v>645.5168070534519</v>
      </c>
      <c r="AW85" s="98">
        <v>558.9230890340864</v>
      </c>
      <c r="AX85" s="98">
        <v>314.88624734314726</v>
      </c>
      <c r="AY85" s="98">
        <v>692.7497441549241</v>
      </c>
      <c r="AZ85" s="98">
        <v>614.0281823191372</v>
      </c>
      <c r="BA85" s="100" t="s">
        <v>660</v>
      </c>
      <c r="BB85" s="100" t="s">
        <v>660</v>
      </c>
      <c r="BC85" s="100" t="s">
        <v>660</v>
      </c>
      <c r="BD85" s="158">
        <v>1.096387329</v>
      </c>
      <c r="BE85" s="158">
        <v>1.3883958440000002</v>
      </c>
      <c r="BF85" s="162">
        <v>1441</v>
      </c>
      <c r="BG85" s="162">
        <v>26</v>
      </c>
      <c r="BH85" s="162">
        <v>3392</v>
      </c>
      <c r="BI85" s="162">
        <v>1265</v>
      </c>
      <c r="BJ85" s="162">
        <v>636</v>
      </c>
      <c r="BK85" s="97"/>
      <c r="BL85" s="97"/>
      <c r="BM85" s="97"/>
      <c r="BN85" s="97"/>
    </row>
    <row r="86" spans="1:66" ht="12.75">
      <c r="A86" s="79" t="s">
        <v>628</v>
      </c>
      <c r="B86" s="79" t="s">
        <v>348</v>
      </c>
      <c r="C86" s="79" t="s">
        <v>177</v>
      </c>
      <c r="D86" s="99">
        <v>3770</v>
      </c>
      <c r="E86" s="99">
        <v>749</v>
      </c>
      <c r="F86" s="99" t="s">
        <v>396</v>
      </c>
      <c r="G86" s="99">
        <v>17</v>
      </c>
      <c r="H86" s="99">
        <v>17</v>
      </c>
      <c r="I86" s="99">
        <v>40</v>
      </c>
      <c r="J86" s="99">
        <v>311</v>
      </c>
      <c r="K86" s="99">
        <v>298</v>
      </c>
      <c r="L86" s="99">
        <v>731</v>
      </c>
      <c r="M86" s="99">
        <v>202</v>
      </c>
      <c r="N86" s="99">
        <v>108</v>
      </c>
      <c r="O86" s="99">
        <v>114</v>
      </c>
      <c r="P86" s="159">
        <v>114</v>
      </c>
      <c r="Q86" s="99">
        <v>11</v>
      </c>
      <c r="R86" s="99">
        <v>25</v>
      </c>
      <c r="S86" s="99">
        <v>21</v>
      </c>
      <c r="T86" s="99">
        <v>10</v>
      </c>
      <c r="U86" s="99" t="s">
        <v>660</v>
      </c>
      <c r="V86" s="99">
        <v>33</v>
      </c>
      <c r="W86" s="99">
        <v>22</v>
      </c>
      <c r="X86" s="99">
        <v>11</v>
      </c>
      <c r="Y86" s="99">
        <v>38</v>
      </c>
      <c r="Z86" s="99">
        <v>22</v>
      </c>
      <c r="AA86" s="99" t="s">
        <v>660</v>
      </c>
      <c r="AB86" s="99" t="s">
        <v>660</v>
      </c>
      <c r="AC86" s="99" t="s">
        <v>660</v>
      </c>
      <c r="AD86" s="98" t="s">
        <v>374</v>
      </c>
      <c r="AE86" s="100">
        <v>0.19867374005305038</v>
      </c>
      <c r="AF86" s="100">
        <v>0.14</v>
      </c>
      <c r="AG86" s="98">
        <v>450.9283819628647</v>
      </c>
      <c r="AH86" s="98">
        <v>450.9283819628647</v>
      </c>
      <c r="AI86" s="100">
        <v>0.011000000000000001</v>
      </c>
      <c r="AJ86" s="100">
        <v>0.760391</v>
      </c>
      <c r="AK86" s="100">
        <v>0.764103</v>
      </c>
      <c r="AL86" s="100">
        <v>0.806843</v>
      </c>
      <c r="AM86" s="100">
        <v>0.475294</v>
      </c>
      <c r="AN86" s="100">
        <v>0.565445</v>
      </c>
      <c r="AO86" s="98">
        <v>3023.872679045093</v>
      </c>
      <c r="AP86" s="158">
        <v>1.4959773250000001</v>
      </c>
      <c r="AQ86" s="100">
        <v>0.09649122807017543</v>
      </c>
      <c r="AR86" s="100">
        <v>0.44</v>
      </c>
      <c r="AS86" s="98">
        <v>557.0291777188329</v>
      </c>
      <c r="AT86" s="98">
        <v>265.2519893899204</v>
      </c>
      <c r="AU86" s="98" t="s">
        <v>660</v>
      </c>
      <c r="AV86" s="98">
        <v>875.3315649867374</v>
      </c>
      <c r="AW86" s="98">
        <v>583.554376657825</v>
      </c>
      <c r="AX86" s="98">
        <v>291.7771883289125</v>
      </c>
      <c r="AY86" s="98">
        <v>1007.9575596816976</v>
      </c>
      <c r="AZ86" s="98">
        <v>583.554376657825</v>
      </c>
      <c r="BA86" s="100" t="s">
        <v>660</v>
      </c>
      <c r="BB86" s="100" t="s">
        <v>660</v>
      </c>
      <c r="BC86" s="100" t="s">
        <v>660</v>
      </c>
      <c r="BD86" s="158">
        <v>1.233996811</v>
      </c>
      <c r="BE86" s="158">
        <v>1.797125854</v>
      </c>
      <c r="BF86" s="162">
        <v>409</v>
      </c>
      <c r="BG86" s="162">
        <v>390</v>
      </c>
      <c r="BH86" s="162">
        <v>906</v>
      </c>
      <c r="BI86" s="162">
        <v>425</v>
      </c>
      <c r="BJ86" s="162">
        <v>191</v>
      </c>
      <c r="BK86" s="97"/>
      <c r="BL86" s="97"/>
      <c r="BM86" s="97"/>
      <c r="BN86" s="97"/>
    </row>
    <row r="87" spans="1:66" ht="12.75">
      <c r="A87" s="79" t="s">
        <v>589</v>
      </c>
      <c r="B87" s="79" t="s">
        <v>310</v>
      </c>
      <c r="C87" s="79" t="s">
        <v>177</v>
      </c>
      <c r="D87" s="99">
        <v>13710</v>
      </c>
      <c r="E87" s="99">
        <v>2258</v>
      </c>
      <c r="F87" s="99" t="s">
        <v>396</v>
      </c>
      <c r="G87" s="99">
        <v>70</v>
      </c>
      <c r="H87" s="99">
        <v>33</v>
      </c>
      <c r="I87" s="99">
        <v>267</v>
      </c>
      <c r="J87" s="99">
        <v>1401</v>
      </c>
      <c r="K87" s="99">
        <v>1377</v>
      </c>
      <c r="L87" s="99">
        <v>3021</v>
      </c>
      <c r="M87" s="99">
        <v>963</v>
      </c>
      <c r="N87" s="99">
        <v>508</v>
      </c>
      <c r="O87" s="99">
        <v>284</v>
      </c>
      <c r="P87" s="159">
        <v>284</v>
      </c>
      <c r="Q87" s="99">
        <v>31</v>
      </c>
      <c r="R87" s="99">
        <v>63</v>
      </c>
      <c r="S87" s="99">
        <v>62</v>
      </c>
      <c r="T87" s="99">
        <v>43</v>
      </c>
      <c r="U87" s="99">
        <v>8</v>
      </c>
      <c r="V87" s="99">
        <v>61</v>
      </c>
      <c r="W87" s="99">
        <v>87</v>
      </c>
      <c r="X87" s="99">
        <v>44</v>
      </c>
      <c r="Y87" s="99">
        <v>115</v>
      </c>
      <c r="Z87" s="99">
        <v>61</v>
      </c>
      <c r="AA87" s="99" t="s">
        <v>660</v>
      </c>
      <c r="AB87" s="99" t="s">
        <v>660</v>
      </c>
      <c r="AC87" s="99" t="s">
        <v>660</v>
      </c>
      <c r="AD87" s="98" t="s">
        <v>374</v>
      </c>
      <c r="AE87" s="100">
        <v>0.1646973012399708</v>
      </c>
      <c r="AF87" s="100">
        <v>0.14</v>
      </c>
      <c r="AG87" s="98">
        <v>510.57622173595917</v>
      </c>
      <c r="AH87" s="98">
        <v>240.70021881838073</v>
      </c>
      <c r="AI87" s="100">
        <v>0.019</v>
      </c>
      <c r="AJ87" s="100">
        <v>0.827525</v>
      </c>
      <c r="AK87" s="100">
        <v>0.84375</v>
      </c>
      <c r="AL87" s="100">
        <v>0.886704</v>
      </c>
      <c r="AM87" s="100">
        <v>0.6181</v>
      </c>
      <c r="AN87" s="100">
        <v>0.661458</v>
      </c>
      <c r="AO87" s="98">
        <v>2071.4806710430344</v>
      </c>
      <c r="AP87" s="158">
        <v>1.114101334</v>
      </c>
      <c r="AQ87" s="100">
        <v>0.10915492957746478</v>
      </c>
      <c r="AR87" s="100">
        <v>0.49206349206349204</v>
      </c>
      <c r="AS87" s="98">
        <v>452.2246535375638</v>
      </c>
      <c r="AT87" s="98">
        <v>313.6396790663749</v>
      </c>
      <c r="AU87" s="98">
        <v>58.351568198395334</v>
      </c>
      <c r="AV87" s="98">
        <v>444.9307075127644</v>
      </c>
      <c r="AW87" s="98">
        <v>634.5733041575493</v>
      </c>
      <c r="AX87" s="98">
        <v>320.93362509117435</v>
      </c>
      <c r="AY87" s="98">
        <v>838.8037928519329</v>
      </c>
      <c r="AZ87" s="98">
        <v>444.9307075127644</v>
      </c>
      <c r="BA87" s="100" t="s">
        <v>660</v>
      </c>
      <c r="BB87" s="100" t="s">
        <v>660</v>
      </c>
      <c r="BC87" s="100" t="s">
        <v>660</v>
      </c>
      <c r="BD87" s="158">
        <v>0.9882832336</v>
      </c>
      <c r="BE87" s="158">
        <v>1.251499557</v>
      </c>
      <c r="BF87" s="162">
        <v>1693</v>
      </c>
      <c r="BG87" s="162">
        <v>1632</v>
      </c>
      <c r="BH87" s="162">
        <v>3407</v>
      </c>
      <c r="BI87" s="162">
        <v>1558</v>
      </c>
      <c r="BJ87" s="162">
        <v>768</v>
      </c>
      <c r="BK87" s="97"/>
      <c r="BL87" s="97"/>
      <c r="BM87" s="97"/>
      <c r="BN87" s="97"/>
    </row>
    <row r="88" spans="1:66" ht="12.75">
      <c r="A88" s="79" t="s">
        <v>624</v>
      </c>
      <c r="B88" s="79" t="s">
        <v>344</v>
      </c>
      <c r="C88" s="79" t="s">
        <v>177</v>
      </c>
      <c r="D88" s="99">
        <v>4761</v>
      </c>
      <c r="E88" s="99">
        <v>840</v>
      </c>
      <c r="F88" s="99" t="s">
        <v>397</v>
      </c>
      <c r="G88" s="99">
        <v>39</v>
      </c>
      <c r="H88" s="99">
        <v>18</v>
      </c>
      <c r="I88" s="99">
        <v>52</v>
      </c>
      <c r="J88" s="99">
        <v>427</v>
      </c>
      <c r="K88" s="99">
        <v>410</v>
      </c>
      <c r="L88" s="99">
        <v>1011</v>
      </c>
      <c r="M88" s="99">
        <v>290</v>
      </c>
      <c r="N88" s="99">
        <v>156</v>
      </c>
      <c r="O88" s="99">
        <v>170</v>
      </c>
      <c r="P88" s="159">
        <v>170</v>
      </c>
      <c r="Q88" s="99">
        <v>13</v>
      </c>
      <c r="R88" s="99">
        <v>28</v>
      </c>
      <c r="S88" s="99">
        <v>39</v>
      </c>
      <c r="T88" s="99">
        <v>31</v>
      </c>
      <c r="U88" s="99" t="s">
        <v>660</v>
      </c>
      <c r="V88" s="99">
        <v>29</v>
      </c>
      <c r="W88" s="99">
        <v>40</v>
      </c>
      <c r="X88" s="99">
        <v>33</v>
      </c>
      <c r="Y88" s="99">
        <v>40</v>
      </c>
      <c r="Z88" s="99">
        <v>37</v>
      </c>
      <c r="AA88" s="99" t="s">
        <v>660</v>
      </c>
      <c r="AB88" s="99" t="s">
        <v>660</v>
      </c>
      <c r="AC88" s="99" t="s">
        <v>660</v>
      </c>
      <c r="AD88" s="98" t="s">
        <v>374</v>
      </c>
      <c r="AE88" s="100">
        <v>0.17643352236925017</v>
      </c>
      <c r="AF88" s="100">
        <v>0.07</v>
      </c>
      <c r="AG88" s="98">
        <v>819.1556395715186</v>
      </c>
      <c r="AH88" s="98">
        <v>378.0718336483932</v>
      </c>
      <c r="AI88" s="100">
        <v>0.011000000000000001</v>
      </c>
      <c r="AJ88" s="100">
        <v>0.777778</v>
      </c>
      <c r="AK88" s="100">
        <v>0.775047</v>
      </c>
      <c r="AL88" s="100">
        <v>0.82329</v>
      </c>
      <c r="AM88" s="100">
        <v>0.606695</v>
      </c>
      <c r="AN88" s="100">
        <v>0.619048</v>
      </c>
      <c r="AO88" s="98">
        <v>3570.6784289014913</v>
      </c>
      <c r="AP88" s="158">
        <v>1.853122559</v>
      </c>
      <c r="AQ88" s="100">
        <v>0.07647058823529412</v>
      </c>
      <c r="AR88" s="100">
        <v>0.4642857142857143</v>
      </c>
      <c r="AS88" s="98">
        <v>819.1556395715186</v>
      </c>
      <c r="AT88" s="98">
        <v>651.123713505566</v>
      </c>
      <c r="AU88" s="98" t="s">
        <v>660</v>
      </c>
      <c r="AV88" s="98">
        <v>609.115731989078</v>
      </c>
      <c r="AW88" s="98">
        <v>840.1596303297626</v>
      </c>
      <c r="AX88" s="98">
        <v>693.1316950220541</v>
      </c>
      <c r="AY88" s="98">
        <v>840.1596303297626</v>
      </c>
      <c r="AZ88" s="98">
        <v>777.1476580550304</v>
      </c>
      <c r="BA88" s="100" t="s">
        <v>660</v>
      </c>
      <c r="BB88" s="100" t="s">
        <v>660</v>
      </c>
      <c r="BC88" s="100" t="s">
        <v>660</v>
      </c>
      <c r="BD88" s="158">
        <v>1.5850205990000001</v>
      </c>
      <c r="BE88" s="158">
        <v>2.15358429</v>
      </c>
      <c r="BF88" s="162">
        <v>549</v>
      </c>
      <c r="BG88" s="162">
        <v>529</v>
      </c>
      <c r="BH88" s="162">
        <v>1228</v>
      </c>
      <c r="BI88" s="162">
        <v>478</v>
      </c>
      <c r="BJ88" s="162">
        <v>252</v>
      </c>
      <c r="BK88" s="97"/>
      <c r="BL88" s="97"/>
      <c r="BM88" s="97"/>
      <c r="BN88" s="97"/>
    </row>
    <row r="89" spans="1:66" ht="12.75">
      <c r="A89" s="79" t="s">
        <v>626</v>
      </c>
      <c r="B89" s="79" t="s">
        <v>346</v>
      </c>
      <c r="C89" s="79" t="s">
        <v>177</v>
      </c>
      <c r="D89" s="99">
        <v>3953</v>
      </c>
      <c r="E89" s="99">
        <v>783</v>
      </c>
      <c r="F89" s="99" t="s">
        <v>395</v>
      </c>
      <c r="G89" s="99">
        <v>20</v>
      </c>
      <c r="H89" s="99">
        <v>10</v>
      </c>
      <c r="I89" s="99">
        <v>45</v>
      </c>
      <c r="J89" s="99">
        <v>365</v>
      </c>
      <c r="K89" s="99">
        <v>9</v>
      </c>
      <c r="L89" s="99">
        <v>803</v>
      </c>
      <c r="M89" s="99">
        <v>253</v>
      </c>
      <c r="N89" s="99">
        <v>140</v>
      </c>
      <c r="O89" s="99">
        <v>87</v>
      </c>
      <c r="P89" s="159">
        <v>87</v>
      </c>
      <c r="Q89" s="99">
        <v>14</v>
      </c>
      <c r="R89" s="99">
        <v>26</v>
      </c>
      <c r="S89" s="99">
        <v>18</v>
      </c>
      <c r="T89" s="99" t="s">
        <v>660</v>
      </c>
      <c r="U89" s="99" t="s">
        <v>660</v>
      </c>
      <c r="V89" s="99">
        <v>22</v>
      </c>
      <c r="W89" s="99">
        <v>26</v>
      </c>
      <c r="X89" s="99">
        <v>22</v>
      </c>
      <c r="Y89" s="99">
        <v>25</v>
      </c>
      <c r="Z89" s="99">
        <v>23</v>
      </c>
      <c r="AA89" s="99" t="s">
        <v>660</v>
      </c>
      <c r="AB89" s="99" t="s">
        <v>660</v>
      </c>
      <c r="AC89" s="99" t="s">
        <v>660</v>
      </c>
      <c r="AD89" s="98" t="s">
        <v>374</v>
      </c>
      <c r="AE89" s="100">
        <v>0.1980774095623577</v>
      </c>
      <c r="AF89" s="100">
        <v>0.1</v>
      </c>
      <c r="AG89" s="98">
        <v>505.94485201113076</v>
      </c>
      <c r="AH89" s="98">
        <v>252.97242600556538</v>
      </c>
      <c r="AI89" s="100">
        <v>0.011000000000000001</v>
      </c>
      <c r="AJ89" s="100">
        <v>0.786638</v>
      </c>
      <c r="AK89" s="100">
        <v>0.642857</v>
      </c>
      <c r="AL89" s="100">
        <v>0.832124</v>
      </c>
      <c r="AM89" s="100">
        <v>0.617073</v>
      </c>
      <c r="AN89" s="100">
        <v>0.636364</v>
      </c>
      <c r="AO89" s="98">
        <v>2200.860106248419</v>
      </c>
      <c r="AP89" s="158">
        <v>1.1002359769999999</v>
      </c>
      <c r="AQ89" s="100">
        <v>0.16091954022988506</v>
      </c>
      <c r="AR89" s="100">
        <v>0.5384615384615384</v>
      </c>
      <c r="AS89" s="98">
        <v>455.3503668100177</v>
      </c>
      <c r="AT89" s="98" t="s">
        <v>660</v>
      </c>
      <c r="AU89" s="98" t="s">
        <v>660</v>
      </c>
      <c r="AV89" s="98">
        <v>556.5393372122438</v>
      </c>
      <c r="AW89" s="98">
        <v>657.72830761447</v>
      </c>
      <c r="AX89" s="98">
        <v>556.5393372122438</v>
      </c>
      <c r="AY89" s="98">
        <v>632.4310650139134</v>
      </c>
      <c r="AZ89" s="98">
        <v>581.8365798128004</v>
      </c>
      <c r="BA89" s="100" t="s">
        <v>660</v>
      </c>
      <c r="BB89" s="100" t="s">
        <v>660</v>
      </c>
      <c r="BC89" s="100" t="s">
        <v>660</v>
      </c>
      <c r="BD89" s="158">
        <v>0.8812438965</v>
      </c>
      <c r="BE89" s="158">
        <v>1.3571369930000001</v>
      </c>
      <c r="BF89" s="162">
        <v>464</v>
      </c>
      <c r="BG89" s="162">
        <v>14</v>
      </c>
      <c r="BH89" s="162">
        <v>965</v>
      </c>
      <c r="BI89" s="162">
        <v>410</v>
      </c>
      <c r="BJ89" s="162">
        <v>220</v>
      </c>
      <c r="BK89" s="97"/>
      <c r="BL89" s="97"/>
      <c r="BM89" s="97"/>
      <c r="BN89" s="97"/>
    </row>
    <row r="90" spans="1:66" ht="12.75">
      <c r="A90" s="79" t="s">
        <v>630</v>
      </c>
      <c r="B90" s="79" t="s">
        <v>350</v>
      </c>
      <c r="C90" s="79" t="s">
        <v>177</v>
      </c>
      <c r="D90" s="99">
        <v>3244</v>
      </c>
      <c r="E90" s="99">
        <v>337</v>
      </c>
      <c r="F90" s="99" t="s">
        <v>397</v>
      </c>
      <c r="G90" s="99" t="s">
        <v>660</v>
      </c>
      <c r="H90" s="99" t="s">
        <v>660</v>
      </c>
      <c r="I90" s="99">
        <v>30</v>
      </c>
      <c r="J90" s="99">
        <v>193</v>
      </c>
      <c r="K90" s="99">
        <v>167</v>
      </c>
      <c r="L90" s="99">
        <v>792</v>
      </c>
      <c r="M90" s="99">
        <v>123</v>
      </c>
      <c r="N90" s="99">
        <v>62</v>
      </c>
      <c r="O90" s="99">
        <v>51</v>
      </c>
      <c r="P90" s="159">
        <v>51</v>
      </c>
      <c r="Q90" s="99" t="s">
        <v>660</v>
      </c>
      <c r="R90" s="99">
        <v>11</v>
      </c>
      <c r="S90" s="99" t="s">
        <v>660</v>
      </c>
      <c r="T90" s="99" t="s">
        <v>660</v>
      </c>
      <c r="U90" s="99" t="s">
        <v>660</v>
      </c>
      <c r="V90" s="99">
        <v>22</v>
      </c>
      <c r="W90" s="99">
        <v>11</v>
      </c>
      <c r="X90" s="99">
        <v>17</v>
      </c>
      <c r="Y90" s="99">
        <v>26</v>
      </c>
      <c r="Z90" s="99">
        <v>13</v>
      </c>
      <c r="AA90" s="99" t="s">
        <v>660</v>
      </c>
      <c r="AB90" s="99" t="s">
        <v>660</v>
      </c>
      <c r="AC90" s="99" t="s">
        <v>660</v>
      </c>
      <c r="AD90" s="98" t="s">
        <v>374</v>
      </c>
      <c r="AE90" s="100">
        <v>0.10388409371146733</v>
      </c>
      <c r="AF90" s="100">
        <v>0.07</v>
      </c>
      <c r="AG90" s="98" t="s">
        <v>660</v>
      </c>
      <c r="AH90" s="98" t="s">
        <v>660</v>
      </c>
      <c r="AI90" s="100">
        <v>0.009000000000000001</v>
      </c>
      <c r="AJ90" s="100">
        <v>0.824786</v>
      </c>
      <c r="AK90" s="100">
        <v>0.830846</v>
      </c>
      <c r="AL90" s="100">
        <v>0.878049</v>
      </c>
      <c r="AM90" s="100">
        <v>0.615</v>
      </c>
      <c r="AN90" s="100">
        <v>0.639175</v>
      </c>
      <c r="AO90" s="98">
        <v>1572.1331689272504</v>
      </c>
      <c r="AP90" s="158">
        <v>1.062588348</v>
      </c>
      <c r="AQ90" s="100" t="s">
        <v>660</v>
      </c>
      <c r="AR90" s="100" t="s">
        <v>660</v>
      </c>
      <c r="AS90" s="98" t="s">
        <v>660</v>
      </c>
      <c r="AT90" s="98" t="s">
        <v>660</v>
      </c>
      <c r="AU90" s="98" t="s">
        <v>660</v>
      </c>
      <c r="AV90" s="98">
        <v>678.1750924784217</v>
      </c>
      <c r="AW90" s="98">
        <v>339.08754623921084</v>
      </c>
      <c r="AX90" s="98">
        <v>524.0443896424167</v>
      </c>
      <c r="AY90" s="98">
        <v>801.4796547472256</v>
      </c>
      <c r="AZ90" s="98">
        <v>400.7398273736128</v>
      </c>
      <c r="BA90" s="100" t="s">
        <v>660</v>
      </c>
      <c r="BB90" s="100" t="s">
        <v>660</v>
      </c>
      <c r="BC90" s="100" t="s">
        <v>660</v>
      </c>
      <c r="BD90" s="158">
        <v>0.7911668396</v>
      </c>
      <c r="BE90" s="158">
        <v>1.397107391</v>
      </c>
      <c r="BF90" s="162">
        <v>234</v>
      </c>
      <c r="BG90" s="162">
        <v>201</v>
      </c>
      <c r="BH90" s="162">
        <v>902</v>
      </c>
      <c r="BI90" s="162">
        <v>200</v>
      </c>
      <c r="BJ90" s="162">
        <v>97</v>
      </c>
      <c r="BK90" s="97"/>
      <c r="BL90" s="97"/>
      <c r="BM90" s="97"/>
      <c r="BN90" s="97"/>
    </row>
    <row r="91" spans="1:66" ht="12.75">
      <c r="A91" s="79" t="s">
        <v>563</v>
      </c>
      <c r="B91" s="79" t="s">
        <v>284</v>
      </c>
      <c r="C91" s="79" t="s">
        <v>177</v>
      </c>
      <c r="D91" s="99">
        <v>6400</v>
      </c>
      <c r="E91" s="99">
        <v>1187</v>
      </c>
      <c r="F91" s="99" t="s">
        <v>395</v>
      </c>
      <c r="G91" s="99">
        <v>34</v>
      </c>
      <c r="H91" s="99">
        <v>26</v>
      </c>
      <c r="I91" s="99">
        <v>137</v>
      </c>
      <c r="J91" s="99">
        <v>603</v>
      </c>
      <c r="K91" s="99" t="s">
        <v>660</v>
      </c>
      <c r="L91" s="99">
        <v>1203</v>
      </c>
      <c r="M91" s="99">
        <v>448</v>
      </c>
      <c r="N91" s="99">
        <v>226</v>
      </c>
      <c r="O91" s="99">
        <v>183</v>
      </c>
      <c r="P91" s="159">
        <v>183</v>
      </c>
      <c r="Q91" s="99">
        <v>29</v>
      </c>
      <c r="R91" s="99">
        <v>40</v>
      </c>
      <c r="S91" s="99">
        <v>22</v>
      </c>
      <c r="T91" s="99">
        <v>18</v>
      </c>
      <c r="U91" s="99">
        <v>11</v>
      </c>
      <c r="V91" s="99">
        <v>31</v>
      </c>
      <c r="W91" s="99">
        <v>33</v>
      </c>
      <c r="X91" s="99">
        <v>22</v>
      </c>
      <c r="Y91" s="99">
        <v>72</v>
      </c>
      <c r="Z91" s="99">
        <v>53</v>
      </c>
      <c r="AA91" s="99" t="s">
        <v>660</v>
      </c>
      <c r="AB91" s="99" t="s">
        <v>660</v>
      </c>
      <c r="AC91" s="99" t="s">
        <v>660</v>
      </c>
      <c r="AD91" s="98" t="s">
        <v>374</v>
      </c>
      <c r="AE91" s="100">
        <v>0.18546875</v>
      </c>
      <c r="AF91" s="100">
        <v>0.1</v>
      </c>
      <c r="AG91" s="98">
        <v>531.25</v>
      </c>
      <c r="AH91" s="98">
        <v>406.25</v>
      </c>
      <c r="AI91" s="100">
        <v>0.021</v>
      </c>
      <c r="AJ91" s="100">
        <v>0.75187</v>
      </c>
      <c r="AK91" s="100" t="s">
        <v>660</v>
      </c>
      <c r="AL91" s="100">
        <v>0.763325</v>
      </c>
      <c r="AM91" s="100">
        <v>0.578065</v>
      </c>
      <c r="AN91" s="100">
        <v>0.56927</v>
      </c>
      <c r="AO91" s="98">
        <v>2859.375</v>
      </c>
      <c r="AP91" s="158">
        <v>1.421168365</v>
      </c>
      <c r="AQ91" s="100">
        <v>0.15846994535519127</v>
      </c>
      <c r="AR91" s="100">
        <v>0.725</v>
      </c>
      <c r="AS91" s="98">
        <v>343.75</v>
      </c>
      <c r="AT91" s="98">
        <v>281.25</v>
      </c>
      <c r="AU91" s="98">
        <v>171.875</v>
      </c>
      <c r="AV91" s="98">
        <v>484.375</v>
      </c>
      <c r="AW91" s="98">
        <v>515.625</v>
      </c>
      <c r="AX91" s="98">
        <v>343.75</v>
      </c>
      <c r="AY91" s="98">
        <v>1125</v>
      </c>
      <c r="AZ91" s="98">
        <v>828.125</v>
      </c>
      <c r="BA91" s="100" t="s">
        <v>660</v>
      </c>
      <c r="BB91" s="100" t="s">
        <v>660</v>
      </c>
      <c r="BC91" s="100" t="s">
        <v>660</v>
      </c>
      <c r="BD91" s="158">
        <v>1.222714005</v>
      </c>
      <c r="BE91" s="158">
        <v>1.642655945</v>
      </c>
      <c r="BF91" s="162">
        <v>802</v>
      </c>
      <c r="BG91" s="162" t="s">
        <v>660</v>
      </c>
      <c r="BH91" s="162">
        <v>1576</v>
      </c>
      <c r="BI91" s="162">
        <v>775</v>
      </c>
      <c r="BJ91" s="162">
        <v>397</v>
      </c>
      <c r="BK91" s="97"/>
      <c r="BL91" s="97"/>
      <c r="BM91" s="97"/>
      <c r="BN91" s="97"/>
    </row>
    <row r="92" spans="1:66" ht="12.75">
      <c r="A92" s="79" t="s">
        <v>644</v>
      </c>
      <c r="B92" s="79" t="s">
        <v>365</v>
      </c>
      <c r="C92" s="79" t="s">
        <v>177</v>
      </c>
      <c r="D92" s="99">
        <v>4496</v>
      </c>
      <c r="E92" s="99">
        <v>725</v>
      </c>
      <c r="F92" s="99" t="s">
        <v>395</v>
      </c>
      <c r="G92" s="99">
        <v>27</v>
      </c>
      <c r="H92" s="99">
        <v>9</v>
      </c>
      <c r="I92" s="99">
        <v>82</v>
      </c>
      <c r="J92" s="99">
        <v>480</v>
      </c>
      <c r="K92" s="99">
        <v>9</v>
      </c>
      <c r="L92" s="99">
        <v>1019</v>
      </c>
      <c r="M92" s="99">
        <v>343</v>
      </c>
      <c r="N92" s="99">
        <v>180</v>
      </c>
      <c r="O92" s="99">
        <v>129</v>
      </c>
      <c r="P92" s="159">
        <v>129</v>
      </c>
      <c r="Q92" s="99">
        <v>6</v>
      </c>
      <c r="R92" s="99">
        <v>20</v>
      </c>
      <c r="S92" s="99">
        <v>40</v>
      </c>
      <c r="T92" s="99">
        <v>15</v>
      </c>
      <c r="U92" s="99" t="s">
        <v>660</v>
      </c>
      <c r="V92" s="99">
        <v>31</v>
      </c>
      <c r="W92" s="99">
        <v>30</v>
      </c>
      <c r="X92" s="99">
        <v>24</v>
      </c>
      <c r="Y92" s="99">
        <v>46</v>
      </c>
      <c r="Z92" s="99">
        <v>18</v>
      </c>
      <c r="AA92" s="99" t="s">
        <v>660</v>
      </c>
      <c r="AB92" s="99" t="s">
        <v>660</v>
      </c>
      <c r="AC92" s="99" t="s">
        <v>660</v>
      </c>
      <c r="AD92" s="98" t="s">
        <v>374</v>
      </c>
      <c r="AE92" s="100">
        <v>0.1612544483985765</v>
      </c>
      <c r="AF92" s="100">
        <v>0.1</v>
      </c>
      <c r="AG92" s="98">
        <v>600.5338078291815</v>
      </c>
      <c r="AH92" s="98">
        <v>200.1779359430605</v>
      </c>
      <c r="AI92" s="100">
        <v>0.018000000000000002</v>
      </c>
      <c r="AJ92" s="100">
        <v>0.760697</v>
      </c>
      <c r="AK92" s="100">
        <v>0.642857</v>
      </c>
      <c r="AL92" s="100">
        <v>0.816506</v>
      </c>
      <c r="AM92" s="100">
        <v>0.627057</v>
      </c>
      <c r="AN92" s="100">
        <v>0.652174</v>
      </c>
      <c r="AO92" s="98">
        <v>2869.2170818505338</v>
      </c>
      <c r="AP92" s="158">
        <v>1.4757731630000002</v>
      </c>
      <c r="AQ92" s="100">
        <v>0.046511627906976744</v>
      </c>
      <c r="AR92" s="100">
        <v>0.3</v>
      </c>
      <c r="AS92" s="98">
        <v>889.6797153024911</v>
      </c>
      <c r="AT92" s="98">
        <v>333.62989323843414</v>
      </c>
      <c r="AU92" s="98" t="s">
        <v>660</v>
      </c>
      <c r="AV92" s="98">
        <v>689.5017793594307</v>
      </c>
      <c r="AW92" s="98">
        <v>667.2597864768683</v>
      </c>
      <c r="AX92" s="98">
        <v>533.8078291814946</v>
      </c>
      <c r="AY92" s="98">
        <v>1023.1316725978647</v>
      </c>
      <c r="AZ92" s="98">
        <v>400.355871886121</v>
      </c>
      <c r="BA92" s="100" t="s">
        <v>660</v>
      </c>
      <c r="BB92" s="100" t="s">
        <v>660</v>
      </c>
      <c r="BC92" s="100" t="s">
        <v>660</v>
      </c>
      <c r="BD92" s="158">
        <v>1.232108459</v>
      </c>
      <c r="BE92" s="158">
        <v>1.753522797</v>
      </c>
      <c r="BF92" s="162">
        <v>631</v>
      </c>
      <c r="BG92" s="162">
        <v>14</v>
      </c>
      <c r="BH92" s="162">
        <v>1248</v>
      </c>
      <c r="BI92" s="162">
        <v>547</v>
      </c>
      <c r="BJ92" s="162">
        <v>276</v>
      </c>
      <c r="BK92" s="97"/>
      <c r="BL92" s="97"/>
      <c r="BM92" s="97"/>
      <c r="BN92" s="97"/>
    </row>
    <row r="93" spans="1:66" ht="12.75">
      <c r="A93" s="79" t="s">
        <v>580</v>
      </c>
      <c r="B93" s="79" t="s">
        <v>301</v>
      </c>
      <c r="C93" s="79" t="s">
        <v>177</v>
      </c>
      <c r="D93" s="99">
        <v>8172</v>
      </c>
      <c r="E93" s="99">
        <v>1827</v>
      </c>
      <c r="F93" s="99" t="s">
        <v>395</v>
      </c>
      <c r="G93" s="99">
        <v>47</v>
      </c>
      <c r="H93" s="99">
        <v>31</v>
      </c>
      <c r="I93" s="99">
        <v>115</v>
      </c>
      <c r="J93" s="99">
        <v>967</v>
      </c>
      <c r="K93" s="99">
        <v>952</v>
      </c>
      <c r="L93" s="99">
        <v>1472</v>
      </c>
      <c r="M93" s="99">
        <v>676</v>
      </c>
      <c r="N93" s="99">
        <v>354</v>
      </c>
      <c r="O93" s="99">
        <v>209</v>
      </c>
      <c r="P93" s="159">
        <v>209</v>
      </c>
      <c r="Q93" s="99">
        <v>27</v>
      </c>
      <c r="R93" s="99">
        <v>56</v>
      </c>
      <c r="S93" s="99">
        <v>49</v>
      </c>
      <c r="T93" s="99">
        <v>23</v>
      </c>
      <c r="U93" s="99">
        <v>6</v>
      </c>
      <c r="V93" s="99">
        <v>40</v>
      </c>
      <c r="W93" s="99">
        <v>75</v>
      </c>
      <c r="X93" s="99">
        <v>48</v>
      </c>
      <c r="Y93" s="99">
        <v>107</v>
      </c>
      <c r="Z93" s="99">
        <v>71</v>
      </c>
      <c r="AA93" s="99" t="s">
        <v>660</v>
      </c>
      <c r="AB93" s="99" t="s">
        <v>660</v>
      </c>
      <c r="AC93" s="99" t="s">
        <v>660</v>
      </c>
      <c r="AD93" s="98" t="s">
        <v>374</v>
      </c>
      <c r="AE93" s="100">
        <v>0.22356828193832598</v>
      </c>
      <c r="AF93" s="100">
        <v>0.12</v>
      </c>
      <c r="AG93" s="98">
        <v>575.1346059716104</v>
      </c>
      <c r="AH93" s="98">
        <v>379.34410181106216</v>
      </c>
      <c r="AI93" s="100">
        <v>0.013999999999999999</v>
      </c>
      <c r="AJ93" s="100">
        <v>0.809883</v>
      </c>
      <c r="AK93" s="100">
        <v>0.811594</v>
      </c>
      <c r="AL93" s="100">
        <v>0.780488</v>
      </c>
      <c r="AM93" s="100">
        <v>0.56569</v>
      </c>
      <c r="AN93" s="100">
        <v>0.604096</v>
      </c>
      <c r="AO93" s="98">
        <v>2557.513460597161</v>
      </c>
      <c r="AP93" s="158">
        <v>1.173555679</v>
      </c>
      <c r="AQ93" s="100">
        <v>0.1291866028708134</v>
      </c>
      <c r="AR93" s="100">
        <v>0.48214285714285715</v>
      </c>
      <c r="AS93" s="98">
        <v>599.608418991679</v>
      </c>
      <c r="AT93" s="98">
        <v>281.4488497307881</v>
      </c>
      <c r="AU93" s="98">
        <v>73.42143906020559</v>
      </c>
      <c r="AV93" s="98">
        <v>489.47626040137055</v>
      </c>
      <c r="AW93" s="98">
        <v>917.7679882525697</v>
      </c>
      <c r="AX93" s="98">
        <v>587.3715124816447</v>
      </c>
      <c r="AY93" s="98">
        <v>1309.3489965736662</v>
      </c>
      <c r="AZ93" s="98">
        <v>868.8203622124327</v>
      </c>
      <c r="BA93" s="100" t="s">
        <v>660</v>
      </c>
      <c r="BB93" s="100" t="s">
        <v>660</v>
      </c>
      <c r="BC93" s="100" t="s">
        <v>660</v>
      </c>
      <c r="BD93" s="158">
        <v>1.019835815</v>
      </c>
      <c r="BE93" s="158">
        <v>1.343903961</v>
      </c>
      <c r="BF93" s="162">
        <v>1194</v>
      </c>
      <c r="BG93" s="162">
        <v>1173</v>
      </c>
      <c r="BH93" s="162">
        <v>1886</v>
      </c>
      <c r="BI93" s="162">
        <v>1195</v>
      </c>
      <c r="BJ93" s="162">
        <v>586</v>
      </c>
      <c r="BK93" s="97"/>
      <c r="BL93" s="97"/>
      <c r="BM93" s="97"/>
      <c r="BN93" s="97"/>
    </row>
    <row r="94" spans="1:66" ht="12.75">
      <c r="A94" s="79" t="s">
        <v>617</v>
      </c>
      <c r="B94" s="79" t="s">
        <v>555</v>
      </c>
      <c r="C94" s="79" t="s">
        <v>177</v>
      </c>
      <c r="D94" s="99">
        <v>11018</v>
      </c>
      <c r="E94" s="99">
        <v>1825</v>
      </c>
      <c r="F94" s="99" t="s">
        <v>396</v>
      </c>
      <c r="G94" s="99">
        <v>64</v>
      </c>
      <c r="H94" s="99">
        <v>19</v>
      </c>
      <c r="I94" s="99">
        <v>160</v>
      </c>
      <c r="J94" s="99">
        <v>1047</v>
      </c>
      <c r="K94" s="99">
        <v>134</v>
      </c>
      <c r="L94" s="99">
        <v>2129</v>
      </c>
      <c r="M94" s="99">
        <v>708</v>
      </c>
      <c r="N94" s="99">
        <v>387</v>
      </c>
      <c r="O94" s="99">
        <v>240</v>
      </c>
      <c r="P94" s="159">
        <v>240</v>
      </c>
      <c r="Q94" s="99">
        <v>29</v>
      </c>
      <c r="R94" s="99">
        <v>55</v>
      </c>
      <c r="S94" s="99">
        <v>50</v>
      </c>
      <c r="T94" s="99">
        <v>29</v>
      </c>
      <c r="U94" s="99" t="s">
        <v>660</v>
      </c>
      <c r="V94" s="99">
        <v>47</v>
      </c>
      <c r="W94" s="99">
        <v>67</v>
      </c>
      <c r="X94" s="99">
        <v>39</v>
      </c>
      <c r="Y94" s="99">
        <v>122</v>
      </c>
      <c r="Z94" s="99">
        <v>67</v>
      </c>
      <c r="AA94" s="99" t="s">
        <v>660</v>
      </c>
      <c r="AB94" s="99" t="s">
        <v>660</v>
      </c>
      <c r="AC94" s="99" t="s">
        <v>660</v>
      </c>
      <c r="AD94" s="98" t="s">
        <v>374</v>
      </c>
      <c r="AE94" s="100">
        <v>0.16563804683245598</v>
      </c>
      <c r="AF94" s="100">
        <v>0.14</v>
      </c>
      <c r="AG94" s="98">
        <v>580.8676710836812</v>
      </c>
      <c r="AH94" s="98">
        <v>172.44508985296787</v>
      </c>
      <c r="AI94" s="100">
        <v>0.015</v>
      </c>
      <c r="AJ94" s="100">
        <v>0.75705</v>
      </c>
      <c r="AK94" s="100">
        <v>0.533865</v>
      </c>
      <c r="AL94" s="100">
        <v>0.790862</v>
      </c>
      <c r="AM94" s="100">
        <v>0.55836</v>
      </c>
      <c r="AN94" s="100">
        <v>0.596302</v>
      </c>
      <c r="AO94" s="98">
        <v>2178.2537665638047</v>
      </c>
      <c r="AP94" s="158">
        <v>1.170832977</v>
      </c>
      <c r="AQ94" s="100">
        <v>0.12083333333333333</v>
      </c>
      <c r="AR94" s="100">
        <v>0.5272727272727272</v>
      </c>
      <c r="AS94" s="98">
        <v>453.802868034126</v>
      </c>
      <c r="AT94" s="98">
        <v>263.2056634597931</v>
      </c>
      <c r="AU94" s="98" t="s">
        <v>660</v>
      </c>
      <c r="AV94" s="98">
        <v>426.5746959520784</v>
      </c>
      <c r="AW94" s="98">
        <v>608.0958431657288</v>
      </c>
      <c r="AX94" s="98">
        <v>353.96623706661825</v>
      </c>
      <c r="AY94" s="98">
        <v>1107.2789980032674</v>
      </c>
      <c r="AZ94" s="98">
        <v>608.0958431657288</v>
      </c>
      <c r="BA94" s="100" t="s">
        <v>660</v>
      </c>
      <c r="BB94" s="100" t="s">
        <v>660</v>
      </c>
      <c r="BC94" s="100" t="s">
        <v>660</v>
      </c>
      <c r="BD94" s="158">
        <v>1.0273783109999999</v>
      </c>
      <c r="BE94" s="158">
        <v>1.3287130740000002</v>
      </c>
      <c r="BF94" s="162">
        <v>1383</v>
      </c>
      <c r="BG94" s="162">
        <v>251</v>
      </c>
      <c r="BH94" s="162">
        <v>2692</v>
      </c>
      <c r="BI94" s="162">
        <v>1268</v>
      </c>
      <c r="BJ94" s="162">
        <v>649</v>
      </c>
      <c r="BK94" s="97"/>
      <c r="BL94" s="97"/>
      <c r="BM94" s="97"/>
      <c r="BN94" s="97"/>
    </row>
    <row r="95" spans="1:66" ht="12.75">
      <c r="A95" s="79" t="s">
        <v>566</v>
      </c>
      <c r="B95" s="79" t="s">
        <v>287</v>
      </c>
      <c r="C95" s="79" t="s">
        <v>177</v>
      </c>
      <c r="D95" s="99">
        <v>13187</v>
      </c>
      <c r="E95" s="99">
        <v>2478</v>
      </c>
      <c r="F95" s="99" t="s">
        <v>394</v>
      </c>
      <c r="G95" s="99">
        <v>74</v>
      </c>
      <c r="H95" s="99">
        <v>39</v>
      </c>
      <c r="I95" s="99">
        <v>247</v>
      </c>
      <c r="J95" s="99">
        <v>1253</v>
      </c>
      <c r="K95" s="99">
        <v>8</v>
      </c>
      <c r="L95" s="99">
        <v>2461</v>
      </c>
      <c r="M95" s="99">
        <v>866</v>
      </c>
      <c r="N95" s="99">
        <v>409</v>
      </c>
      <c r="O95" s="99">
        <v>378</v>
      </c>
      <c r="P95" s="159">
        <v>378</v>
      </c>
      <c r="Q95" s="99">
        <v>36</v>
      </c>
      <c r="R95" s="99">
        <v>80</v>
      </c>
      <c r="S95" s="99">
        <v>78</v>
      </c>
      <c r="T95" s="99">
        <v>58</v>
      </c>
      <c r="U95" s="99">
        <v>17</v>
      </c>
      <c r="V95" s="99">
        <v>81</v>
      </c>
      <c r="W95" s="99">
        <v>75</v>
      </c>
      <c r="X95" s="99">
        <v>67</v>
      </c>
      <c r="Y95" s="99">
        <v>146</v>
      </c>
      <c r="Z95" s="99">
        <v>108</v>
      </c>
      <c r="AA95" s="99" t="s">
        <v>660</v>
      </c>
      <c r="AB95" s="99" t="s">
        <v>660</v>
      </c>
      <c r="AC95" s="99" t="s">
        <v>660</v>
      </c>
      <c r="AD95" s="98" t="s">
        <v>374</v>
      </c>
      <c r="AE95" s="100">
        <v>0.1879123379085463</v>
      </c>
      <c r="AF95" s="100">
        <v>0.18</v>
      </c>
      <c r="AG95" s="98">
        <v>561.158716918177</v>
      </c>
      <c r="AH95" s="98">
        <v>295.7458102676879</v>
      </c>
      <c r="AI95" s="100">
        <v>0.019</v>
      </c>
      <c r="AJ95" s="100">
        <v>0.75165</v>
      </c>
      <c r="AK95" s="100">
        <v>0.888889</v>
      </c>
      <c r="AL95" s="100">
        <v>0.803198</v>
      </c>
      <c r="AM95" s="100">
        <v>0.559793</v>
      </c>
      <c r="AN95" s="100">
        <v>0.592754</v>
      </c>
      <c r="AO95" s="98">
        <v>2866.4593918252826</v>
      </c>
      <c r="AP95" s="158">
        <v>1.469079285</v>
      </c>
      <c r="AQ95" s="100">
        <v>0.09523809523809523</v>
      </c>
      <c r="AR95" s="100">
        <v>0.45</v>
      </c>
      <c r="AS95" s="98">
        <v>591.4916205353758</v>
      </c>
      <c r="AT95" s="98">
        <v>439.827102449382</v>
      </c>
      <c r="AU95" s="98">
        <v>128.9148403730947</v>
      </c>
      <c r="AV95" s="98">
        <v>614.2412982482748</v>
      </c>
      <c r="AW95" s="98">
        <v>568.7419428224766</v>
      </c>
      <c r="AX95" s="98">
        <v>508.0761355880792</v>
      </c>
      <c r="AY95" s="98">
        <v>1107.1509820277547</v>
      </c>
      <c r="AZ95" s="98">
        <v>818.9883976643664</v>
      </c>
      <c r="BA95" s="100" t="s">
        <v>660</v>
      </c>
      <c r="BB95" s="100" t="s">
        <v>660</v>
      </c>
      <c r="BC95" s="100" t="s">
        <v>660</v>
      </c>
      <c r="BD95" s="158">
        <v>1.324696655</v>
      </c>
      <c r="BE95" s="158">
        <v>1.624904938</v>
      </c>
      <c r="BF95" s="162">
        <v>1667</v>
      </c>
      <c r="BG95" s="162">
        <v>9</v>
      </c>
      <c r="BH95" s="162">
        <v>3064</v>
      </c>
      <c r="BI95" s="162">
        <v>1547</v>
      </c>
      <c r="BJ95" s="162">
        <v>690</v>
      </c>
      <c r="BK95" s="97"/>
      <c r="BL95" s="97"/>
      <c r="BM95" s="97"/>
      <c r="BN95" s="97"/>
    </row>
    <row r="96" spans="1:66" ht="12.75">
      <c r="A96" s="79" t="s">
        <v>567</v>
      </c>
      <c r="B96" s="79" t="s">
        <v>288</v>
      </c>
      <c r="C96" s="79" t="s">
        <v>177</v>
      </c>
      <c r="D96" s="99">
        <v>8906</v>
      </c>
      <c r="E96" s="99">
        <v>1446</v>
      </c>
      <c r="F96" s="99" t="s">
        <v>396</v>
      </c>
      <c r="G96" s="99">
        <v>44</v>
      </c>
      <c r="H96" s="99">
        <v>29</v>
      </c>
      <c r="I96" s="99">
        <v>189</v>
      </c>
      <c r="J96" s="99">
        <v>841</v>
      </c>
      <c r="K96" s="99">
        <v>7</v>
      </c>
      <c r="L96" s="99">
        <v>1999</v>
      </c>
      <c r="M96" s="99">
        <v>532</v>
      </c>
      <c r="N96" s="99">
        <v>267</v>
      </c>
      <c r="O96" s="99">
        <v>285</v>
      </c>
      <c r="P96" s="159">
        <v>285</v>
      </c>
      <c r="Q96" s="99">
        <v>24</v>
      </c>
      <c r="R96" s="99">
        <v>53</v>
      </c>
      <c r="S96" s="99">
        <v>70</v>
      </c>
      <c r="T96" s="99">
        <v>33</v>
      </c>
      <c r="U96" s="99">
        <v>8</v>
      </c>
      <c r="V96" s="99">
        <v>38</v>
      </c>
      <c r="W96" s="99">
        <v>46</v>
      </c>
      <c r="X96" s="99">
        <v>35</v>
      </c>
      <c r="Y96" s="99">
        <v>111</v>
      </c>
      <c r="Z96" s="99">
        <v>63</v>
      </c>
      <c r="AA96" s="99" t="s">
        <v>660</v>
      </c>
      <c r="AB96" s="99" t="s">
        <v>660</v>
      </c>
      <c r="AC96" s="99" t="s">
        <v>660</v>
      </c>
      <c r="AD96" s="98" t="s">
        <v>374</v>
      </c>
      <c r="AE96" s="100">
        <v>0.16236245227936222</v>
      </c>
      <c r="AF96" s="100">
        <v>0.15</v>
      </c>
      <c r="AG96" s="98">
        <v>494.0489557601617</v>
      </c>
      <c r="AH96" s="98">
        <v>325.6231753873793</v>
      </c>
      <c r="AI96" s="100">
        <v>0.021</v>
      </c>
      <c r="AJ96" s="100">
        <v>0.777983</v>
      </c>
      <c r="AK96" s="100">
        <v>0.583333</v>
      </c>
      <c r="AL96" s="100">
        <v>0.884122</v>
      </c>
      <c r="AM96" s="100">
        <v>0.545082</v>
      </c>
      <c r="AN96" s="100">
        <v>0.579176</v>
      </c>
      <c r="AO96" s="98">
        <v>3200.0898270828657</v>
      </c>
      <c r="AP96" s="158">
        <v>1.7115550229999998</v>
      </c>
      <c r="AQ96" s="100">
        <v>0.08421052631578947</v>
      </c>
      <c r="AR96" s="100">
        <v>0.4528301886792453</v>
      </c>
      <c r="AS96" s="98">
        <v>785.9869750729845</v>
      </c>
      <c r="AT96" s="98">
        <v>370.5367168201213</v>
      </c>
      <c r="AU96" s="98">
        <v>89.82708286548394</v>
      </c>
      <c r="AV96" s="98">
        <v>426.67864361104876</v>
      </c>
      <c r="AW96" s="98">
        <v>516.5057264765327</v>
      </c>
      <c r="AX96" s="98">
        <v>392.99348753649224</v>
      </c>
      <c r="AY96" s="98">
        <v>1246.3507747585898</v>
      </c>
      <c r="AZ96" s="98">
        <v>707.388277565686</v>
      </c>
      <c r="BA96" s="100" t="s">
        <v>660</v>
      </c>
      <c r="BB96" s="100" t="s">
        <v>660</v>
      </c>
      <c r="BC96" s="100" t="s">
        <v>660</v>
      </c>
      <c r="BD96" s="158">
        <v>1.5185942080000001</v>
      </c>
      <c r="BE96" s="158">
        <v>1.922242889</v>
      </c>
      <c r="BF96" s="162">
        <v>1081</v>
      </c>
      <c r="BG96" s="162">
        <v>12</v>
      </c>
      <c r="BH96" s="162">
        <v>2261</v>
      </c>
      <c r="BI96" s="162">
        <v>976</v>
      </c>
      <c r="BJ96" s="162">
        <v>461</v>
      </c>
      <c r="BK96" s="97"/>
      <c r="BL96" s="97"/>
      <c r="BM96" s="97"/>
      <c r="BN96" s="97"/>
    </row>
    <row r="97" spans="1:66" ht="12.75">
      <c r="A97" s="79" t="s">
        <v>650</v>
      </c>
      <c r="B97" s="79" t="s">
        <v>371</v>
      </c>
      <c r="C97" s="79" t="s">
        <v>177</v>
      </c>
      <c r="D97" s="99">
        <v>4342</v>
      </c>
      <c r="E97" s="99">
        <v>744</v>
      </c>
      <c r="F97" s="99" t="s">
        <v>396</v>
      </c>
      <c r="G97" s="99">
        <v>36</v>
      </c>
      <c r="H97" s="99">
        <v>13</v>
      </c>
      <c r="I97" s="99">
        <v>49</v>
      </c>
      <c r="J97" s="99">
        <v>446</v>
      </c>
      <c r="K97" s="99">
        <v>6</v>
      </c>
      <c r="L97" s="99">
        <v>920</v>
      </c>
      <c r="M97" s="99">
        <v>314</v>
      </c>
      <c r="N97" s="99">
        <v>144</v>
      </c>
      <c r="O97" s="99">
        <v>109</v>
      </c>
      <c r="P97" s="159">
        <v>109</v>
      </c>
      <c r="Q97" s="99">
        <v>15</v>
      </c>
      <c r="R97" s="99">
        <v>25</v>
      </c>
      <c r="S97" s="99">
        <v>24</v>
      </c>
      <c r="T97" s="99" t="s">
        <v>660</v>
      </c>
      <c r="U97" s="99">
        <v>9</v>
      </c>
      <c r="V97" s="99">
        <v>21</v>
      </c>
      <c r="W97" s="99">
        <v>14</v>
      </c>
      <c r="X97" s="99">
        <v>17</v>
      </c>
      <c r="Y97" s="99">
        <v>40</v>
      </c>
      <c r="Z97" s="99">
        <v>37</v>
      </c>
      <c r="AA97" s="99" t="s">
        <v>660</v>
      </c>
      <c r="AB97" s="99" t="s">
        <v>660</v>
      </c>
      <c r="AC97" s="99" t="s">
        <v>660</v>
      </c>
      <c r="AD97" s="98" t="s">
        <v>374</v>
      </c>
      <c r="AE97" s="100">
        <v>0.171349608475357</v>
      </c>
      <c r="AF97" s="100">
        <v>0.17</v>
      </c>
      <c r="AG97" s="98">
        <v>829.1110087517274</v>
      </c>
      <c r="AH97" s="98">
        <v>299.4011976047904</v>
      </c>
      <c r="AI97" s="100">
        <v>0.011000000000000001</v>
      </c>
      <c r="AJ97" s="100">
        <v>0.745819</v>
      </c>
      <c r="AK97" s="100">
        <v>0.857143</v>
      </c>
      <c r="AL97" s="100">
        <v>0.827338</v>
      </c>
      <c r="AM97" s="100">
        <v>0.550877</v>
      </c>
      <c r="AN97" s="100">
        <v>0.571429</v>
      </c>
      <c r="AO97" s="98">
        <v>2510.3638876093964</v>
      </c>
      <c r="AP97" s="158">
        <v>1.300922241</v>
      </c>
      <c r="AQ97" s="100">
        <v>0.13761467889908258</v>
      </c>
      <c r="AR97" s="100">
        <v>0.6</v>
      </c>
      <c r="AS97" s="98">
        <v>552.7406725011515</v>
      </c>
      <c r="AT97" s="98" t="s">
        <v>660</v>
      </c>
      <c r="AU97" s="98">
        <v>207.27775218793184</v>
      </c>
      <c r="AV97" s="98">
        <v>483.6480884385076</v>
      </c>
      <c r="AW97" s="98">
        <v>322.4320589590051</v>
      </c>
      <c r="AX97" s="98">
        <v>391.524643021649</v>
      </c>
      <c r="AY97" s="98">
        <v>921.2344541685859</v>
      </c>
      <c r="AZ97" s="98">
        <v>852.141870105942</v>
      </c>
      <c r="BA97" s="100" t="s">
        <v>660</v>
      </c>
      <c r="BB97" s="100" t="s">
        <v>660</v>
      </c>
      <c r="BC97" s="100" t="s">
        <v>660</v>
      </c>
      <c r="BD97" s="158">
        <v>1.06819252</v>
      </c>
      <c r="BE97" s="158">
        <v>1.569299469</v>
      </c>
      <c r="BF97" s="162">
        <v>598</v>
      </c>
      <c r="BG97" s="162">
        <v>7</v>
      </c>
      <c r="BH97" s="162">
        <v>1112</v>
      </c>
      <c r="BI97" s="162">
        <v>570</v>
      </c>
      <c r="BJ97" s="162">
        <v>252</v>
      </c>
      <c r="BK97" s="97"/>
      <c r="BL97" s="97"/>
      <c r="BM97" s="97"/>
      <c r="BN97" s="97"/>
    </row>
    <row r="98" spans="1:66" ht="12.75">
      <c r="A98" s="79" t="s">
        <v>466</v>
      </c>
      <c r="B98" s="94" t="s">
        <v>177</v>
      </c>
      <c r="C98" s="94" t="s">
        <v>7</v>
      </c>
      <c r="D98" s="99">
        <v>656875</v>
      </c>
      <c r="E98" s="99">
        <v>119257</v>
      </c>
      <c r="F98" s="99">
        <v>80295.06</v>
      </c>
      <c r="G98" s="99">
        <v>3510</v>
      </c>
      <c r="H98" s="99">
        <v>1839</v>
      </c>
      <c r="I98" s="99">
        <v>10875</v>
      </c>
      <c r="J98" s="99">
        <v>66658</v>
      </c>
      <c r="K98" s="99">
        <v>23939</v>
      </c>
      <c r="L98" s="99">
        <v>131882</v>
      </c>
      <c r="M98" s="99">
        <v>47284</v>
      </c>
      <c r="N98" s="99">
        <v>24044</v>
      </c>
      <c r="O98" s="99">
        <v>15685</v>
      </c>
      <c r="P98" s="99">
        <v>15685</v>
      </c>
      <c r="Q98" s="99">
        <v>1692</v>
      </c>
      <c r="R98" s="99">
        <v>3497</v>
      </c>
      <c r="S98" s="99">
        <v>3557</v>
      </c>
      <c r="T98" s="99">
        <v>2002</v>
      </c>
      <c r="U98" s="99">
        <v>573</v>
      </c>
      <c r="V98" s="99">
        <v>3234</v>
      </c>
      <c r="W98" s="99">
        <v>4052</v>
      </c>
      <c r="X98" s="99">
        <v>2873</v>
      </c>
      <c r="Y98" s="99">
        <v>6268</v>
      </c>
      <c r="Z98" s="99">
        <v>4452</v>
      </c>
      <c r="AA98" s="99">
        <v>0</v>
      </c>
      <c r="AB98" s="99">
        <v>0</v>
      </c>
      <c r="AC98" s="99">
        <v>0</v>
      </c>
      <c r="AD98" s="98">
        <v>0</v>
      </c>
      <c r="AE98" s="101">
        <v>0.18155204567078972</v>
      </c>
      <c r="AF98" s="101">
        <v>0.122237960038059</v>
      </c>
      <c r="AG98" s="98">
        <v>534.348239771646</v>
      </c>
      <c r="AH98" s="98">
        <v>279.96194100856326</v>
      </c>
      <c r="AI98" s="101">
        <v>0.016555661274976215</v>
      </c>
      <c r="AJ98" s="101">
        <v>0.7778879929047391</v>
      </c>
      <c r="AK98" s="101">
        <v>0.8100087974555051</v>
      </c>
      <c r="AL98" s="101">
        <v>0.8185581727337616</v>
      </c>
      <c r="AM98" s="101">
        <v>0.5948346353675259</v>
      </c>
      <c r="AN98" s="101">
        <v>0.6395361208639216</v>
      </c>
      <c r="AO98" s="98">
        <v>2387.8211227402476</v>
      </c>
      <c r="AP98" s="98">
        <v>0</v>
      </c>
      <c r="AQ98" s="101">
        <v>0.1078737647433854</v>
      </c>
      <c r="AR98" s="101">
        <v>0.48384329425221617</v>
      </c>
      <c r="AS98" s="98">
        <v>541.5033301617507</v>
      </c>
      <c r="AT98" s="98">
        <v>304.77640342530924</v>
      </c>
      <c r="AU98" s="98">
        <v>87.23120837297812</v>
      </c>
      <c r="AV98" s="98">
        <v>492.3311132254995</v>
      </c>
      <c r="AW98" s="98">
        <v>616.86013320647</v>
      </c>
      <c r="AX98" s="98">
        <v>437.3739295908658</v>
      </c>
      <c r="AY98" s="98">
        <v>954.2150333016175</v>
      </c>
      <c r="AZ98" s="98">
        <v>677.7545195052331</v>
      </c>
      <c r="BA98" s="101">
        <v>0</v>
      </c>
      <c r="BB98" s="101">
        <v>0</v>
      </c>
      <c r="BC98" s="101">
        <v>0</v>
      </c>
      <c r="BD98" s="98">
        <v>0</v>
      </c>
      <c r="BE98" s="98">
        <v>0</v>
      </c>
      <c r="BF98" s="99">
        <v>85691</v>
      </c>
      <c r="BG98" s="99">
        <v>29554</v>
      </c>
      <c r="BH98" s="99">
        <v>161115</v>
      </c>
      <c r="BI98" s="99">
        <v>79491</v>
      </c>
      <c r="BJ98" s="99">
        <v>37596</v>
      </c>
      <c r="BK98" s="97"/>
      <c r="BL98" s="97"/>
      <c r="BM98" s="97"/>
      <c r="BN98" s="97"/>
    </row>
    <row r="99" spans="1:66" ht="12.75">
      <c r="A99" s="79" t="s">
        <v>24</v>
      </c>
      <c r="B99" s="94" t="s">
        <v>7</v>
      </c>
      <c r="C99" s="94" t="s">
        <v>7</v>
      </c>
      <c r="D99" s="99">
        <v>54615830</v>
      </c>
      <c r="E99" s="99">
        <v>8737890</v>
      </c>
      <c r="F99" s="99">
        <v>8198344.169999988</v>
      </c>
      <c r="G99" s="99">
        <v>243379</v>
      </c>
      <c r="H99" s="99">
        <v>127868</v>
      </c>
      <c r="I99" s="99">
        <v>870616</v>
      </c>
      <c r="J99" s="99">
        <v>4592627</v>
      </c>
      <c r="K99" s="99">
        <v>1679592</v>
      </c>
      <c r="L99" s="99">
        <v>10150944</v>
      </c>
      <c r="M99" s="99">
        <v>2959539</v>
      </c>
      <c r="N99" s="99">
        <v>1629320</v>
      </c>
      <c r="O99" s="99">
        <v>989730</v>
      </c>
      <c r="P99" s="99">
        <v>989730</v>
      </c>
      <c r="Q99" s="99">
        <v>108072</v>
      </c>
      <c r="R99" s="99">
        <v>238330</v>
      </c>
      <c r="S99" s="99">
        <v>206300</v>
      </c>
      <c r="T99" s="99">
        <v>154264</v>
      </c>
      <c r="U99" s="99">
        <v>38486</v>
      </c>
      <c r="V99" s="99">
        <v>176535</v>
      </c>
      <c r="W99" s="99">
        <v>307276</v>
      </c>
      <c r="X99" s="99">
        <v>221506</v>
      </c>
      <c r="Y99" s="99">
        <v>578574</v>
      </c>
      <c r="Z99" s="99">
        <v>318377</v>
      </c>
      <c r="AA99" s="99">
        <v>0</v>
      </c>
      <c r="AB99" s="99">
        <v>0</v>
      </c>
      <c r="AC99" s="99">
        <v>0</v>
      </c>
      <c r="AD99" s="98">
        <v>0</v>
      </c>
      <c r="AE99" s="101">
        <v>0.1599882305185145</v>
      </c>
      <c r="AF99" s="101">
        <v>0.15010930292554353</v>
      </c>
      <c r="AG99" s="98">
        <v>445.6198871279627</v>
      </c>
      <c r="AH99" s="98">
        <v>234.12259778895606</v>
      </c>
      <c r="AI99" s="101">
        <v>0.015940726342527432</v>
      </c>
      <c r="AJ99" s="101">
        <v>0.7248631360507991</v>
      </c>
      <c r="AK99" s="101">
        <v>0.7467412166569077</v>
      </c>
      <c r="AL99" s="101">
        <v>0.7559681673907895</v>
      </c>
      <c r="AM99" s="101">
        <v>0.5147293797466616</v>
      </c>
      <c r="AN99" s="101">
        <v>0.5752927626212945</v>
      </c>
      <c r="AO99" s="98">
        <v>1812.1669120472948</v>
      </c>
      <c r="AP99" s="98">
        <v>1</v>
      </c>
      <c r="AQ99" s="101">
        <v>0.10919341638628717</v>
      </c>
      <c r="AR99" s="101">
        <v>0.4534552930810221</v>
      </c>
      <c r="AS99" s="98">
        <v>377.7293140102421</v>
      </c>
      <c r="AT99" s="98">
        <v>282.45290788403287</v>
      </c>
      <c r="AU99" s="98">
        <v>70.46674929228394</v>
      </c>
      <c r="AV99" s="98">
        <v>323.23046266988894</v>
      </c>
      <c r="AW99" s="98">
        <v>562.6134400960308</v>
      </c>
      <c r="AX99" s="98">
        <v>405.57105879375996</v>
      </c>
      <c r="AY99" s="98">
        <v>1059.3522061277838</v>
      </c>
      <c r="AZ99" s="98">
        <v>582.9390489900089</v>
      </c>
      <c r="BA99" s="101">
        <v>0</v>
      </c>
      <c r="BB99" s="101">
        <v>0</v>
      </c>
      <c r="BC99" s="101">
        <v>0</v>
      </c>
      <c r="BD99" s="98">
        <v>0</v>
      </c>
      <c r="BE99" s="98">
        <v>0</v>
      </c>
      <c r="BF99" s="99">
        <v>6335854</v>
      </c>
      <c r="BG99" s="99">
        <v>2249229</v>
      </c>
      <c r="BH99" s="99">
        <v>13427740</v>
      </c>
      <c r="BI99" s="99">
        <v>5749699</v>
      </c>
      <c r="BJ99" s="99">
        <v>2832158</v>
      </c>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423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379</v>
      </c>
      <c r="O4" s="75" t="s">
        <v>378</v>
      </c>
      <c r="P4" s="75" t="s">
        <v>505</v>
      </c>
      <c r="Q4" s="75" t="s">
        <v>506</v>
      </c>
      <c r="R4" s="75" t="s">
        <v>507</v>
      </c>
      <c r="S4" s="75" t="s">
        <v>508</v>
      </c>
      <c r="T4" s="39" t="s">
        <v>278</v>
      </c>
      <c r="U4" s="40" t="s">
        <v>279</v>
      </c>
      <c r="V4" s="41" t="s">
        <v>7</v>
      </c>
      <c r="W4" s="24" t="s">
        <v>2</v>
      </c>
      <c r="X4" s="24" t="s">
        <v>3</v>
      </c>
      <c r="Y4" s="75" t="s">
        <v>666</v>
      </c>
      <c r="Z4" s="75" t="s">
        <v>665</v>
      </c>
      <c r="AA4" s="26" t="s">
        <v>280</v>
      </c>
      <c r="AB4" s="24" t="s">
        <v>5</v>
      </c>
      <c r="AC4" s="75" t="s">
        <v>35</v>
      </c>
      <c r="AD4" s="24" t="s">
        <v>6</v>
      </c>
      <c r="AE4" s="24" t="s">
        <v>281</v>
      </c>
      <c r="AF4" s="24" t="s">
        <v>16</v>
      </c>
      <c r="AG4" s="24" t="s">
        <v>15</v>
      </c>
      <c r="AH4" s="24" t="s">
        <v>14</v>
      </c>
      <c r="AI4" s="25" t="s">
        <v>30</v>
      </c>
      <c r="AJ4" s="47" t="s">
        <v>10</v>
      </c>
      <c r="AK4" s="26" t="s">
        <v>21</v>
      </c>
      <c r="AL4" s="25" t="s">
        <v>22</v>
      </c>
      <c r="AQ4" s="102" t="s">
        <v>420</v>
      </c>
      <c r="AR4" s="102" t="s">
        <v>422</v>
      </c>
      <c r="AS4" s="102" t="s">
        <v>421</v>
      </c>
      <c r="AY4" s="102" t="s">
        <v>502</v>
      </c>
      <c r="AZ4" s="102" t="s">
        <v>503</v>
      </c>
      <c r="BA4" s="102" t="s">
        <v>504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443</v>
      </c>
      <c r="BA5" s="103" t="s">
        <v>374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428</v>
      </c>
      <c r="BA6" s="103" t="s">
        <v>374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609</v>
      </c>
      <c r="E7" s="38">
        <f>IF(LEFT(VLOOKUP($B7,'Indicator chart'!$D$1:$J$36,5,FALSE),1)=" "," ",VLOOKUP($B7,'Indicator chart'!$D$1:$J$36,5,FALSE))</f>
        <v>0.1425895574806837</v>
      </c>
      <c r="F7" s="38">
        <f>IF(LEFT(VLOOKUP($B7,'Indicator chart'!$D$1:$J$36,6,FALSE),1)=" "," ",VLOOKUP($B7,'Indicator chart'!$D$1:$J$36,6,FALSE))</f>
        <v>0.13242406345214397</v>
      </c>
      <c r="G7" s="38">
        <f>IF(LEFT(VLOOKUP($B7,'Indicator chart'!$D$1:$J$36,7,FALSE),1)=" "," ",VLOOKUP($B7,'Indicator chart'!$D$1:$J$36,7,FALSE))</f>
        <v>0.1533974275710556</v>
      </c>
      <c r="H7" s="50">
        <f aca="true" t="shared" si="0" ref="H7:H31">IF(LEFT(F7,1)=" ",4,IF(AND(ABS(N7-E7)&gt;SQRT((E7-G7)^2+(N7-R7)^2),E7&lt;N7),1,IF(AND(ABS(N7-E7)&gt;SQRT((E7-F7)^2+(N7-S7)^2),E7&gt;N7),3,2)))</f>
        <v>1</v>
      </c>
      <c r="I7" s="38">
        <v>0.08852458745241165</v>
      </c>
      <c r="J7" s="38">
        <v>0.1597604900598526</v>
      </c>
      <c r="K7" s="38">
        <v>0.18005812168121338</v>
      </c>
      <c r="L7" s="38">
        <v>0.19852465391159058</v>
      </c>
      <c r="M7" s="38">
        <v>0.2844036817550659</v>
      </c>
      <c r="N7" s="80">
        <f>VLOOKUP('Hide - Control'!B$3,'All practice data'!A:CA,A7+29,FALSE)</f>
        <v>0.18155204567078972</v>
      </c>
      <c r="O7" s="80">
        <f>VLOOKUP('Hide - Control'!C$3,'All practice data'!A:CA,A7+29,FALSE)</f>
        <v>0.1599882305185145</v>
      </c>
      <c r="P7" s="38">
        <f>VLOOKUP('Hide - Control'!$B$4,'All practice data'!B:BC,A7+2,FALSE)</f>
        <v>119257</v>
      </c>
      <c r="Q7" s="38">
        <f>VLOOKUP('Hide - Control'!$B$4,'All practice data'!B:BC,3,FALSE)</f>
        <v>656875</v>
      </c>
      <c r="R7" s="38">
        <f>+((2*P7+1.96^2-1.96*SQRT(1.96^2+4*P7*(1-P7/Q7)))/(2*(Q7+1.96^2)))</f>
        <v>0.18062170522622675</v>
      </c>
      <c r="S7" s="38">
        <f>+((2*P7+1.96^2+1.96*SQRT(1.96^2+4*P7*(1-P7/Q7)))/(2*(Q7+1.96^2)))</f>
        <v>0.18248611084991218</v>
      </c>
      <c r="T7" s="53">
        <f>IF($C7=1,M7,I7)</f>
        <v>0.2844036817550659</v>
      </c>
      <c r="U7" s="51">
        <f aca="true" t="shared" si="1" ref="U7:U15">IF($C7=1,I7,M7)</f>
        <v>0.08852458745241165</v>
      </c>
      <c r="V7" s="7">
        <v>1</v>
      </c>
      <c r="W7" s="27">
        <f aca="true" t="shared" si="2" ref="W7:W31">IF((K7-I7)&gt;(M7-K7),I7,(K7-(M7-K7)))</f>
        <v>0.07571256160736084</v>
      </c>
      <c r="X7" s="27">
        <f aca="true" t="shared" si="3" ref="X7:X31">IF(W7=I7,K7+(K7-I7),M7)</f>
        <v>0.2844036817550659</v>
      </c>
      <c r="Y7" s="27">
        <f aca="true" t="shared" si="4" ref="Y7:Y31">IF(C7=1,W7,X7)</f>
        <v>0.07571256160736084</v>
      </c>
      <c r="Z7" s="27">
        <f aca="true" t="shared" si="5" ref="Z7:Z31">IF(C7=1,X7,W7)</f>
        <v>0.2844036817550659</v>
      </c>
      <c r="AA7" s="32">
        <f aca="true" t="shared" si="6" ref="AA7:AA31">IF(ISERROR(IF(C7=1,(I7-$Y7)/($Z7-$Y7),(U7-$Y7)/($Z7-$Y7))),"",IF(C7=1,(I7-$Y7)/($Z7-$Y7),(U7-$Y7)/($Z7-$Y7)))</f>
        <v>0.06139229036665699</v>
      </c>
      <c r="AB7" s="33">
        <f aca="true" t="shared" si="7" ref="AB7:AB31">IF(ISERROR(IF(C7=1,(J7-$Y7)/($Z7-$Y7),(L7-$Y7)/($Z7-$Y7))),"",IF(C7=1,(J7-$Y7)/($Z7-$Y7),(L7-$Y7)/($Z7-$Y7)))</f>
        <v>0.40273840301880237</v>
      </c>
      <c r="AC7" s="33">
        <v>0.5</v>
      </c>
      <c r="AD7" s="33">
        <f aca="true" t="shared" si="8" ref="AD7:AD31">IF(ISERROR(IF(C7=1,(L7-$Y7)/($Z7-$Y7),(J7-$Y7)/($Z7-$Y7))),"",IF(C7=1,(L7-$Y7)/($Z7-$Y7),(J7-$Y7)/($Z7-$Y7)))</f>
        <v>0.5884873885257176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0.32045923097249845</v>
      </c>
      <c r="AI7" s="34">
        <f aca="true" t="shared" si="13" ref="AI7:AI31">IF(ISERROR((O7-$Y7)/($Z7-$Y7)),-999,(O7-$Y7)/($Z7-$Y7))</f>
        <v>0.403829683081417</v>
      </c>
      <c r="AJ7" s="4">
        <v>2.7020512924389086</v>
      </c>
      <c r="AK7" s="32">
        <f aca="true" t="shared" si="14" ref="AK7:AK31">IF(H7=1,(E7-$Y7)/($Z7-$Y7),-999)</f>
        <v>0.32045923097249845</v>
      </c>
      <c r="AL7" s="34">
        <f aca="true" t="shared" si="15" ref="AL7:AL31">IF(H7=3,(E7-$Y7)/($Z7-$Y7),-999)</f>
        <v>-999</v>
      </c>
      <c r="AQ7" s="103">
        <v>2</v>
      </c>
      <c r="AR7" s="103">
        <v>0.2422</v>
      </c>
      <c r="AS7" s="103">
        <v>7.2247</v>
      </c>
      <c r="AY7" s="103" t="s">
        <v>68</v>
      </c>
      <c r="AZ7" s="103" t="s">
        <v>427</v>
      </c>
      <c r="BA7" s="103" t="s">
        <v>374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v>
      </c>
      <c r="F8" s="38">
        <f>IF(LEFT(VLOOKUP($B8,'Indicator chart'!$D$1:$J$36,6,FALSE),1)=" "," ",VLOOKUP($B8,'Indicator chart'!$D$1:$J$36,6,FALSE))</f>
        <v>0.18827554781103192</v>
      </c>
      <c r="G8" s="38">
        <f>IF(LEFT(VLOOKUP($B8,'Indicator chart'!$D$1:$J$36,7,FALSE),1)=" "," ",VLOOKUP($B8,'Indicator chart'!$D$1:$J$36,7,FALSE))</f>
        <v>0.2122636440972718</v>
      </c>
      <c r="H8" s="50">
        <f t="shared" si="0"/>
        <v>3</v>
      </c>
      <c r="I8" s="38">
        <v>0.05000000074505806</v>
      </c>
      <c r="J8" s="38">
        <v>0.07999999821186066</v>
      </c>
      <c r="K8" s="38">
        <v>0.12999999523162842</v>
      </c>
      <c r="L8" s="38">
        <v>0.1599999964237213</v>
      </c>
      <c r="M8" s="38">
        <v>0.23000000417232513</v>
      </c>
      <c r="N8" s="80">
        <f>VLOOKUP('Hide - Control'!B$3,'All practice data'!A:CA,A8+29,FALSE)</f>
        <v>0.122237960038059</v>
      </c>
      <c r="O8" s="80">
        <f>VLOOKUP('Hide - Control'!C$3,'All practice data'!A:CA,A8+29,FALSE)</f>
        <v>0.15010930292554353</v>
      </c>
      <c r="P8" s="38">
        <f>VLOOKUP('Hide - Control'!$B$4,'All practice data'!B:BC,A8+2,FALSE)</f>
        <v>80295.06</v>
      </c>
      <c r="Q8" s="38">
        <f>VLOOKUP('Hide - Control'!$B$4,'All practice data'!B:BC,3,FALSE)</f>
        <v>656875</v>
      </c>
      <c r="R8" s="38">
        <f>+((2*P8+1.96^2-1.96*SQRT(1.96^2+4*P8*(1-P8/Q8)))/(2*(Q8+1.96^2)))</f>
        <v>0.12144802085536577</v>
      </c>
      <c r="S8" s="38">
        <f>+((2*P8+1.96^2+1.96*SQRT(1.96^2+4*P8*(1-P8/Q8)))/(2*(Q8+1.96^2)))</f>
        <v>0.12303231772401586</v>
      </c>
      <c r="T8" s="53">
        <f aca="true" t="shared" si="16" ref="T8:T15">IF($C8=1,M8,I8)</f>
        <v>0.23000000417232513</v>
      </c>
      <c r="U8" s="51">
        <f t="shared" si="1"/>
        <v>0.05000000074505806</v>
      </c>
      <c r="V8" s="7"/>
      <c r="W8" s="27">
        <f t="shared" si="2"/>
        <v>0.0299999862909317</v>
      </c>
      <c r="X8" s="27">
        <f t="shared" si="3"/>
        <v>0.23000000417232513</v>
      </c>
      <c r="Y8" s="27">
        <f t="shared" si="4"/>
        <v>0.0299999862909317</v>
      </c>
      <c r="Z8" s="27">
        <f t="shared" si="5"/>
        <v>0.23000000417232513</v>
      </c>
      <c r="AA8" s="32">
        <f t="shared" si="6"/>
        <v>0.10000006332992942</v>
      </c>
      <c r="AB8" s="33">
        <f t="shared" si="7"/>
        <v>0.25000003725289965</v>
      </c>
      <c r="AC8" s="33">
        <v>0.5</v>
      </c>
      <c r="AD8" s="33">
        <f t="shared" si="8"/>
        <v>0.6499999925494201</v>
      </c>
      <c r="AE8" s="33">
        <f t="shared" si="9"/>
        <v>1</v>
      </c>
      <c r="AF8" s="33">
        <f t="shared" si="10"/>
        <v>-999</v>
      </c>
      <c r="AG8" s="33">
        <f t="shared" si="11"/>
        <v>-999</v>
      </c>
      <c r="AH8" s="33">
        <f t="shared" si="12"/>
        <v>0.8499999925494202</v>
      </c>
      <c r="AI8" s="34">
        <f t="shared" si="13"/>
        <v>0.6005465294800153</v>
      </c>
      <c r="AJ8" s="4">
        <v>3.778046717820832</v>
      </c>
      <c r="AK8" s="32">
        <f t="shared" si="14"/>
        <v>-999</v>
      </c>
      <c r="AL8" s="34">
        <f t="shared" si="15"/>
        <v>0.8499999925494202</v>
      </c>
      <c r="AQ8" s="103">
        <v>3</v>
      </c>
      <c r="AR8" s="103">
        <v>0.6187</v>
      </c>
      <c r="AS8" s="103">
        <v>8.7673</v>
      </c>
      <c r="AY8" s="103" t="s">
        <v>118</v>
      </c>
      <c r="AZ8" s="103" t="s">
        <v>119</v>
      </c>
      <c r="BA8" s="103" t="s">
        <v>374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22</v>
      </c>
      <c r="E9" s="38">
        <f>IF(LEFT(VLOOKUP($B9,'Indicator chart'!$D$1:$J$36,5,FALSE),1)=" "," ",VLOOKUP($B9,'Indicator chart'!$D$1:$J$36,5,FALSE))</f>
        <v>515.1018496839148</v>
      </c>
      <c r="F9" s="38">
        <f>IF(LEFT(VLOOKUP($B9,'Indicator chart'!$D$1:$J$36,6,FALSE),1)=" "," ",VLOOKUP($B9,'Indicator chart'!$D$1:$J$36,6,FALSE))</f>
        <v>322.69653595834114</v>
      </c>
      <c r="G9" s="38">
        <f>IF(LEFT(VLOOKUP($B9,'Indicator chart'!$D$1:$J$36,7,FALSE),1)=" "," ",VLOOKUP($B9,'Indicator chart'!$D$1:$J$36,7,FALSE))</f>
        <v>779.9110249749026</v>
      </c>
      <c r="H9" s="50">
        <f t="shared" si="0"/>
        <v>2</v>
      </c>
      <c r="I9" s="38">
        <v>92.60600280761719</v>
      </c>
      <c r="J9" s="38">
        <v>406.5835876464844</v>
      </c>
      <c r="K9" s="38">
        <v>550.55078125</v>
      </c>
      <c r="L9" s="38">
        <v>633.56591796875</v>
      </c>
      <c r="M9" s="38">
        <v>946.6437377929688</v>
      </c>
      <c r="N9" s="80">
        <f>VLOOKUP('Hide - Control'!B$3,'All practice data'!A:CA,A9+29,FALSE)</f>
        <v>534.348239771646</v>
      </c>
      <c r="O9" s="80">
        <f>VLOOKUP('Hide - Control'!C$3,'All practice data'!A:CA,A9+29,FALSE)</f>
        <v>445.6198871279627</v>
      </c>
      <c r="P9" s="38">
        <f>VLOOKUP('Hide - Control'!$B$4,'All practice data'!B:BC,A9+2,FALSE)</f>
        <v>3510</v>
      </c>
      <c r="Q9" s="38">
        <f>VLOOKUP('Hide - Control'!$B$4,'All practice data'!B:BC,3,FALSE)</f>
        <v>656875</v>
      </c>
      <c r="R9" s="38">
        <f>100000*(P9*(1-1/(9*P9)-1.96/(3*SQRT(P9)))^3)/Q9</f>
        <v>516.8150894362891</v>
      </c>
      <c r="S9" s="38">
        <f>100000*((P9+1)*(1-1/(9*(P9+1))+1.96/(3*SQRT(P9+1)))^3)/Q9</f>
        <v>552.3245308336625</v>
      </c>
      <c r="T9" s="53">
        <f t="shared" si="16"/>
        <v>946.6437377929688</v>
      </c>
      <c r="U9" s="51">
        <f t="shared" si="1"/>
        <v>92.60600280761719</v>
      </c>
      <c r="V9" s="7"/>
      <c r="W9" s="27">
        <f t="shared" si="2"/>
        <v>92.60600280761719</v>
      </c>
      <c r="X9" s="27">
        <f t="shared" si="3"/>
        <v>1008.4955596923828</v>
      </c>
      <c r="Y9" s="27">
        <f t="shared" si="4"/>
        <v>92.60600280761719</v>
      </c>
      <c r="Z9" s="27">
        <f t="shared" si="5"/>
        <v>1008.4955596923828</v>
      </c>
      <c r="AA9" s="32">
        <f t="shared" si="6"/>
        <v>0</v>
      </c>
      <c r="AB9" s="33">
        <f t="shared" si="7"/>
        <v>0.34281162229516593</v>
      </c>
      <c r="AC9" s="33">
        <v>0.5</v>
      </c>
      <c r="AD9" s="33">
        <f t="shared" si="8"/>
        <v>0.5906388069333502</v>
      </c>
      <c r="AE9" s="33">
        <f t="shared" si="9"/>
        <v>0.932468034563259</v>
      </c>
      <c r="AF9" s="33">
        <f t="shared" si="10"/>
        <v>-999</v>
      </c>
      <c r="AG9" s="33">
        <f t="shared" si="11"/>
        <v>0.46129562642175065</v>
      </c>
      <c r="AH9" s="33">
        <f t="shared" si="12"/>
        <v>-999</v>
      </c>
      <c r="AI9" s="34">
        <f t="shared" si="13"/>
        <v>0.38543280864677515</v>
      </c>
      <c r="AJ9" s="4">
        <v>4.854042143202755</v>
      </c>
      <c r="AK9" s="32">
        <f t="shared" si="14"/>
        <v>-999</v>
      </c>
      <c r="AL9" s="34">
        <f t="shared" si="15"/>
        <v>-999</v>
      </c>
      <c r="AQ9" s="103">
        <v>4</v>
      </c>
      <c r="AR9" s="103">
        <v>1.0899</v>
      </c>
      <c r="AS9" s="103">
        <v>10.2416</v>
      </c>
      <c r="AY9" s="103" t="s">
        <v>90</v>
      </c>
      <c r="AZ9" s="103" t="s">
        <v>437</v>
      </c>
      <c r="BA9" s="103" t="s">
        <v>374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8</v>
      </c>
      <c r="E10" s="38">
        <f>IF(LEFT(VLOOKUP($B10,'Indicator chart'!$D$1:$J$36,5,FALSE),1)=" "," ",VLOOKUP($B10,'Indicator chart'!$D$1:$J$36,5,FALSE))</f>
        <v>187.30976352142355</v>
      </c>
      <c r="F10" s="38">
        <f>IF(LEFT(VLOOKUP($B10,'Indicator chart'!$D$1:$J$36,6,FALSE),1)=" "," ",VLOOKUP($B10,'Indicator chart'!$D$1:$J$36,6,FALSE))</f>
        <v>80.651663864662</v>
      </c>
      <c r="G10" s="38">
        <f>IF(LEFT(VLOOKUP($B10,'Indicator chart'!$D$1:$J$36,7,FALSE),1)=" "," ",VLOOKUP($B10,'Indicator chart'!$D$1:$J$36,7,FALSE))</f>
        <v>369.0975764921854</v>
      </c>
      <c r="H10" s="50">
        <f t="shared" si="0"/>
        <v>2</v>
      </c>
      <c r="I10" s="38">
        <v>44.173431396484375</v>
      </c>
      <c r="J10" s="38">
        <v>201.29942321777344</v>
      </c>
      <c r="K10" s="38">
        <v>273.02825927734375</v>
      </c>
      <c r="L10" s="38">
        <v>319.33721923828125</v>
      </c>
      <c r="M10" s="38">
        <v>655.3079833984375</v>
      </c>
      <c r="N10" s="80">
        <f>VLOOKUP('Hide - Control'!B$3,'All practice data'!A:CA,A10+29,FALSE)</f>
        <v>279.96194100856326</v>
      </c>
      <c r="O10" s="80">
        <f>VLOOKUP('Hide - Control'!C$3,'All practice data'!A:CA,A10+29,FALSE)</f>
        <v>234.12259778895606</v>
      </c>
      <c r="P10" s="38">
        <f>VLOOKUP('Hide - Control'!$B$4,'All practice data'!B:BC,A10+2,FALSE)</f>
        <v>1839</v>
      </c>
      <c r="Q10" s="38">
        <f>VLOOKUP('Hide - Control'!$B$4,'All practice data'!B:BC,3,FALSE)</f>
        <v>656875</v>
      </c>
      <c r="R10" s="38">
        <f>100000*(P10*(1-1/(9*P10)-1.96/(3*SQRT(P10)))^3)/Q10</f>
        <v>267.3109818655815</v>
      </c>
      <c r="S10" s="38">
        <f>100000*((P10+1)*(1-1/(9*(P10+1))+1.96/(3*SQRT(P10+1)))^3)/Q10</f>
        <v>293.0569931734232</v>
      </c>
      <c r="T10" s="53">
        <f t="shared" si="16"/>
        <v>655.3079833984375</v>
      </c>
      <c r="U10" s="51">
        <f t="shared" si="1"/>
        <v>44.173431396484375</v>
      </c>
      <c r="V10" s="7"/>
      <c r="W10" s="27">
        <f t="shared" si="2"/>
        <v>-109.25146484375</v>
      </c>
      <c r="X10" s="27">
        <f t="shared" si="3"/>
        <v>655.3079833984375</v>
      </c>
      <c r="Y10" s="27">
        <f t="shared" si="4"/>
        <v>-109.25146484375</v>
      </c>
      <c r="Z10" s="27">
        <f t="shared" si="5"/>
        <v>655.3079833984375</v>
      </c>
      <c r="AA10" s="32">
        <f t="shared" si="6"/>
        <v>0.20067098326098295</v>
      </c>
      <c r="AB10" s="33">
        <f t="shared" si="7"/>
        <v>0.4061827877158756</v>
      </c>
      <c r="AC10" s="33">
        <v>0.5</v>
      </c>
      <c r="AD10" s="33">
        <f t="shared" si="8"/>
        <v>0.5605694692118544</v>
      </c>
      <c r="AE10" s="33">
        <f t="shared" si="9"/>
        <v>1</v>
      </c>
      <c r="AF10" s="33">
        <f t="shared" si="10"/>
        <v>-999</v>
      </c>
      <c r="AG10" s="33">
        <f t="shared" si="11"/>
        <v>0.3878851135081815</v>
      </c>
      <c r="AH10" s="33">
        <f t="shared" si="12"/>
        <v>-999</v>
      </c>
      <c r="AI10" s="34">
        <f t="shared" si="13"/>
        <v>0.44911362147464606</v>
      </c>
      <c r="AJ10" s="4">
        <v>5.930037568584676</v>
      </c>
      <c r="AK10" s="32">
        <f t="shared" si="14"/>
        <v>-999</v>
      </c>
      <c r="AL10" s="34">
        <f t="shared" si="15"/>
        <v>-999</v>
      </c>
      <c r="AY10" s="103" t="s">
        <v>96</v>
      </c>
      <c r="AZ10" s="103" t="s">
        <v>97</v>
      </c>
      <c r="BA10" s="103" t="s">
        <v>554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72</v>
      </c>
      <c r="E11" s="38">
        <f>IF(LEFT(VLOOKUP($B11,'Indicator chart'!$D$1:$J$36,5,FALSE),1)=" "," ",VLOOKUP($B11,'Indicator chart'!$D$1:$J$36,5,FALSE))</f>
        <v>0.017</v>
      </c>
      <c r="F11" s="38">
        <f>IF(LEFT(VLOOKUP($B11,'Indicator chart'!$D$1:$J$36,6,FALSE),1)=" "," ",VLOOKUP($B11,'Indicator chart'!$D$1:$J$36,6,FALSE))</f>
        <v>0.013408435232290314</v>
      </c>
      <c r="G11" s="38">
        <f>IF(LEFT(VLOOKUP($B11,'Indicator chart'!$D$1:$J$36,7,FALSE),1)=" "," ",VLOOKUP($B11,'Indicator chart'!$D$1:$J$36,7,FALSE))</f>
        <v>0.02117567660942097</v>
      </c>
      <c r="H11" s="50">
        <f t="shared" si="0"/>
        <v>2</v>
      </c>
      <c r="I11" s="38">
        <v>0.004999999888241291</v>
      </c>
      <c r="J11" s="38">
        <v>0.012249999679625034</v>
      </c>
      <c r="K11" s="38">
        <v>0.01549999974668026</v>
      </c>
      <c r="L11" s="38">
        <v>0.01899999938905239</v>
      </c>
      <c r="M11" s="38">
        <v>0.027000000700354576</v>
      </c>
      <c r="N11" s="80">
        <f>VLOOKUP('Hide - Control'!B$3,'All practice data'!A:CA,A11+29,FALSE)</f>
        <v>0.016555661274976215</v>
      </c>
      <c r="O11" s="80">
        <f>VLOOKUP('Hide - Control'!C$3,'All practice data'!A:CA,A11+29,FALSE)</f>
        <v>0.015940726342527432</v>
      </c>
      <c r="P11" s="38">
        <f>VLOOKUP('Hide - Control'!$B$4,'All practice data'!B:BC,A11+2,FALSE)</f>
        <v>10875</v>
      </c>
      <c r="Q11" s="38">
        <f>VLOOKUP('Hide - Control'!$B$4,'All practice data'!B:BC,3,FALSE)</f>
        <v>656875</v>
      </c>
      <c r="R11" s="80">
        <f aca="true" t="shared" si="17" ref="R11:R16">+((2*P11+1.96^2-1.96*SQRT(1.96^2+4*P11*(1-P11/Q11)))/(2*(Q11+1.96^2)))</f>
        <v>0.016249900024320786</v>
      </c>
      <c r="S11" s="80">
        <f aca="true" t="shared" si="18" ref="S11:S16">+((2*P11+1.96^2+1.96*SQRT(1.96^2+4*P11*(1-P11/Q11)))/(2*(Q11+1.96^2)))</f>
        <v>0.016867077144578177</v>
      </c>
      <c r="T11" s="53">
        <f t="shared" si="16"/>
        <v>0.027000000700354576</v>
      </c>
      <c r="U11" s="51">
        <f t="shared" si="1"/>
        <v>0.004999999888241291</v>
      </c>
      <c r="V11" s="7"/>
      <c r="W11" s="27">
        <f t="shared" si="2"/>
        <v>0.003999998793005943</v>
      </c>
      <c r="X11" s="27">
        <f t="shared" si="3"/>
        <v>0.027000000700354576</v>
      </c>
      <c r="Y11" s="27">
        <f t="shared" si="4"/>
        <v>0.003999998793005943</v>
      </c>
      <c r="Z11" s="27">
        <f t="shared" si="5"/>
        <v>0.027000000700354576</v>
      </c>
      <c r="AA11" s="32">
        <f t="shared" si="6"/>
        <v>0.04347830488291576</v>
      </c>
      <c r="AB11" s="33">
        <f t="shared" si="7"/>
        <v>0.3586956609765832</v>
      </c>
      <c r="AC11" s="33">
        <v>0.5</v>
      </c>
      <c r="AD11" s="33">
        <f t="shared" si="8"/>
        <v>0.6521738848749339</v>
      </c>
      <c r="AE11" s="33">
        <f t="shared" si="9"/>
        <v>1</v>
      </c>
      <c r="AF11" s="33">
        <f t="shared" si="10"/>
        <v>-999</v>
      </c>
      <c r="AG11" s="33">
        <f t="shared" si="11"/>
        <v>0.5652173969098883</v>
      </c>
      <c r="AH11" s="33">
        <f t="shared" si="12"/>
        <v>-999</v>
      </c>
      <c r="AI11" s="34">
        <f t="shared" si="13"/>
        <v>0.5191620243173266</v>
      </c>
      <c r="AJ11" s="4">
        <v>7.0060329939666</v>
      </c>
      <c r="AK11" s="32">
        <f t="shared" si="14"/>
        <v>-999</v>
      </c>
      <c r="AL11" s="34">
        <f t="shared" si="15"/>
        <v>-999</v>
      </c>
      <c r="AY11" s="103" t="s">
        <v>214</v>
      </c>
      <c r="AZ11" s="103" t="s">
        <v>215</v>
      </c>
      <c r="BA11" s="103" t="s">
        <v>554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316</v>
      </c>
      <c r="E12" s="38">
        <f>IF(LEFT(VLOOKUP($B12,'Indicator chart'!$D$1:$J$36,5,FALSE),1)=" "," ",VLOOKUP($B12,'Indicator chart'!$D$1:$J$36,5,FALSE))</f>
        <v>0.703786</v>
      </c>
      <c r="F12" s="38">
        <f>IF(LEFT(VLOOKUP($B12,'Indicator chart'!$D$1:$J$36,6,FALSE),1)=" "," ",VLOOKUP($B12,'Indicator chart'!$D$1:$J$36,6,FALSE))</f>
        <v>0.6599680223333124</v>
      </c>
      <c r="G12" s="38">
        <f>IF(LEFT(VLOOKUP($B12,'Indicator chart'!$D$1:$J$36,7,FALSE),1)=" "," ",VLOOKUP($B12,'Indicator chart'!$D$1:$J$36,7,FALSE))</f>
        <v>0.7441467939733167</v>
      </c>
      <c r="H12" s="50">
        <f t="shared" si="0"/>
        <v>1</v>
      </c>
      <c r="I12" s="38">
        <v>0.6228070259094238</v>
      </c>
      <c r="J12" s="38">
        <v>0.7444847226142883</v>
      </c>
      <c r="K12" s="38">
        <v>0.7715855240821838</v>
      </c>
      <c r="L12" s="38">
        <v>0.8027989864349365</v>
      </c>
      <c r="M12" s="38">
        <v>0.8823869824409485</v>
      </c>
      <c r="N12" s="80">
        <f>VLOOKUP('Hide - Control'!B$3,'All practice data'!A:CA,A12+29,FALSE)</f>
        <v>0.7778879929047391</v>
      </c>
      <c r="O12" s="80">
        <f>VLOOKUP('Hide - Control'!C$3,'All practice data'!A:CA,A12+29,FALSE)</f>
        <v>0.7248631360507991</v>
      </c>
      <c r="P12" s="38">
        <f>VLOOKUP('Hide - Control'!$B$4,'All practice data'!B:BC,A12+2,FALSE)</f>
        <v>66658</v>
      </c>
      <c r="Q12" s="38">
        <f>VLOOKUP('Hide - Control'!$B$4,'All practice data'!B:BJ,57,FALSE)</f>
        <v>85691</v>
      </c>
      <c r="R12" s="38">
        <f t="shared" si="17"/>
        <v>0.7750924430531054</v>
      </c>
      <c r="S12" s="38">
        <f t="shared" si="18"/>
        <v>0.7806586279658533</v>
      </c>
      <c r="T12" s="53">
        <f t="shared" si="16"/>
        <v>0.8823869824409485</v>
      </c>
      <c r="U12" s="51">
        <f t="shared" si="1"/>
        <v>0.6228070259094238</v>
      </c>
      <c r="V12" s="7"/>
      <c r="W12" s="27">
        <f t="shared" si="2"/>
        <v>0.6228070259094238</v>
      </c>
      <c r="X12" s="27">
        <f t="shared" si="3"/>
        <v>0.9203640222549438</v>
      </c>
      <c r="Y12" s="27">
        <f t="shared" si="4"/>
        <v>0.6228070259094238</v>
      </c>
      <c r="Z12" s="27">
        <f t="shared" si="5"/>
        <v>0.9203640222549438</v>
      </c>
      <c r="AA12" s="32">
        <f t="shared" si="6"/>
        <v>0</v>
      </c>
      <c r="AB12" s="33">
        <f t="shared" si="7"/>
        <v>0.4089223180743956</v>
      </c>
      <c r="AC12" s="33">
        <v>0.5</v>
      </c>
      <c r="AD12" s="33">
        <f t="shared" si="8"/>
        <v>0.6048991041585456</v>
      </c>
      <c r="AE12" s="33">
        <f t="shared" si="9"/>
        <v>0.8723705364672494</v>
      </c>
      <c r="AF12" s="33">
        <f t="shared" si="10"/>
        <v>-999</v>
      </c>
      <c r="AG12" s="33">
        <f t="shared" si="11"/>
        <v>-999</v>
      </c>
      <c r="AH12" s="33">
        <f t="shared" si="12"/>
        <v>0.27214609330356415</v>
      </c>
      <c r="AI12" s="34">
        <f t="shared" si="13"/>
        <v>0.34298003876497263</v>
      </c>
      <c r="AJ12" s="4">
        <v>8.082028419348523</v>
      </c>
      <c r="AK12" s="32">
        <f t="shared" si="14"/>
        <v>0.27214609330356415</v>
      </c>
      <c r="AL12" s="34">
        <f t="shared" si="15"/>
        <v>-999</v>
      </c>
      <c r="AY12" s="103" t="s">
        <v>261</v>
      </c>
      <c r="AZ12" s="103" t="s">
        <v>490</v>
      </c>
      <c r="BA12" s="103" t="s">
        <v>374</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0.16666699945926666</v>
      </c>
      <c r="J13" s="38">
        <v>0.6262317299842834</v>
      </c>
      <c r="K13" s="38">
        <v>0.7709130048751831</v>
      </c>
      <c r="L13" s="38">
        <v>0.8353214859962463</v>
      </c>
      <c r="M13" s="38">
        <v>1</v>
      </c>
      <c r="N13" s="80">
        <f>VLOOKUP('Hide - Control'!B$3,'All practice data'!A:CA,A13+29,FALSE)</f>
        <v>0.8100087974555051</v>
      </c>
      <c r="O13" s="80">
        <f>VLOOKUP('Hide - Control'!C$3,'All practice data'!A:CA,A13+29,FALSE)</f>
        <v>0.7467412166569077</v>
      </c>
      <c r="P13" s="38">
        <f>VLOOKUP('Hide - Control'!$B$4,'All practice data'!B:BC,A13+2,FALSE)</f>
        <v>23939</v>
      </c>
      <c r="Q13" s="38">
        <f>VLOOKUP('Hide - Control'!$B$4,'All practice data'!B:BJ,58,FALSE)</f>
        <v>29554</v>
      </c>
      <c r="R13" s="38">
        <f t="shared" si="17"/>
        <v>0.8054960203627177</v>
      </c>
      <c r="S13" s="38">
        <f t="shared" si="18"/>
        <v>0.8144409915468392</v>
      </c>
      <c r="T13" s="53">
        <f t="shared" si="16"/>
        <v>1</v>
      </c>
      <c r="U13" s="51">
        <f t="shared" si="1"/>
        <v>0.16666699945926666</v>
      </c>
      <c r="V13" s="7"/>
      <c r="W13" s="27">
        <f t="shared" si="2"/>
        <v>0.16666699945926666</v>
      </c>
      <c r="X13" s="27">
        <f t="shared" si="3"/>
        <v>1.3751590102910995</v>
      </c>
      <c r="Y13" s="27">
        <f t="shared" si="4"/>
        <v>0.16666699945926666</v>
      </c>
      <c r="Z13" s="27">
        <f t="shared" si="5"/>
        <v>1.3751590102910995</v>
      </c>
      <c r="AA13" s="32">
        <f t="shared" si="6"/>
        <v>0</v>
      </c>
      <c r="AB13" s="33">
        <f t="shared" si="7"/>
        <v>0.3802794941182009</v>
      </c>
      <c r="AC13" s="33">
        <v>0.5</v>
      </c>
      <c r="AD13" s="33">
        <f t="shared" si="8"/>
        <v>0.5532965717139738</v>
      </c>
      <c r="AE13" s="33">
        <f t="shared" si="9"/>
        <v>0.6895643438860064</v>
      </c>
      <c r="AF13" s="33">
        <f t="shared" si="10"/>
        <v>-999</v>
      </c>
      <c r="AG13" s="33">
        <f t="shared" si="11"/>
        <v>-999</v>
      </c>
      <c r="AH13" s="33">
        <f t="shared" si="12"/>
        <v>-999</v>
      </c>
      <c r="AI13" s="34">
        <f t="shared" si="13"/>
        <v>0.47999838807239004</v>
      </c>
      <c r="AJ13" s="4">
        <v>9.158023844730446</v>
      </c>
      <c r="AK13" s="32">
        <f t="shared" si="14"/>
        <v>-999</v>
      </c>
      <c r="AL13" s="34">
        <f t="shared" si="15"/>
        <v>-999</v>
      </c>
      <c r="AY13" s="103" t="s">
        <v>260</v>
      </c>
      <c r="AZ13" s="103" t="s">
        <v>489</v>
      </c>
      <c r="BA13" s="103" t="s">
        <v>374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775</v>
      </c>
      <c r="E14" s="38">
        <f>IF(LEFT(VLOOKUP($B14,'Indicator chart'!$D$1:$J$36,5,FALSE),1)=" "," ",VLOOKUP($B14,'Indicator chart'!$D$1:$J$36,5,FALSE))</f>
        <v>0.784413</v>
      </c>
      <c r="F14" s="38">
        <f>IF(LEFT(VLOOKUP($B14,'Indicator chart'!$D$1:$J$36,6,FALSE),1)=" "," ",VLOOKUP($B14,'Indicator chart'!$D$1:$J$36,6,FALSE))</f>
        <v>0.7576948225578087</v>
      </c>
      <c r="G14" s="38">
        <f>IF(LEFT(VLOOKUP($B14,'Indicator chart'!$D$1:$J$36,7,FALSE),1)=" "," ",VLOOKUP($B14,'Indicator chart'!$D$1:$J$36,7,FALSE))</f>
        <v>0.8089279123627674</v>
      </c>
      <c r="H14" s="50">
        <f t="shared" si="0"/>
        <v>1</v>
      </c>
      <c r="I14" s="38">
        <v>0.7039470076560974</v>
      </c>
      <c r="J14" s="38">
        <v>0.7917117476463318</v>
      </c>
      <c r="K14" s="38">
        <v>0.8269035220146179</v>
      </c>
      <c r="L14" s="38">
        <v>0.8529760241508484</v>
      </c>
      <c r="M14" s="38">
        <v>0.8996210098266602</v>
      </c>
      <c r="N14" s="80">
        <f>VLOOKUP('Hide - Control'!B$3,'All practice data'!A:CA,A14+29,FALSE)</f>
        <v>0.8185581727337616</v>
      </c>
      <c r="O14" s="80">
        <f>VLOOKUP('Hide - Control'!C$3,'All practice data'!A:CA,A14+29,FALSE)</f>
        <v>0.7559681673907895</v>
      </c>
      <c r="P14" s="38">
        <f>VLOOKUP('Hide - Control'!$B$4,'All practice data'!B:BC,A14+2,FALSE)</f>
        <v>131882</v>
      </c>
      <c r="Q14" s="38">
        <f>VLOOKUP('Hide - Control'!$B$4,'All practice data'!B:BJ,59,FALSE)</f>
        <v>161115</v>
      </c>
      <c r="R14" s="38">
        <f t="shared" si="17"/>
        <v>0.8166687492768253</v>
      </c>
      <c r="S14" s="38">
        <f t="shared" si="18"/>
        <v>0.8204324052538188</v>
      </c>
      <c r="T14" s="53">
        <f t="shared" si="16"/>
        <v>0.8996210098266602</v>
      </c>
      <c r="U14" s="51">
        <f t="shared" si="1"/>
        <v>0.7039470076560974</v>
      </c>
      <c r="V14" s="7"/>
      <c r="W14" s="27">
        <f t="shared" si="2"/>
        <v>0.7039470076560974</v>
      </c>
      <c r="X14" s="27">
        <f t="shared" si="3"/>
        <v>0.9498600363731384</v>
      </c>
      <c r="Y14" s="27">
        <f t="shared" si="4"/>
        <v>0.7039470076560974</v>
      </c>
      <c r="Z14" s="27">
        <f t="shared" si="5"/>
        <v>0.9498600363731384</v>
      </c>
      <c r="AA14" s="32">
        <f t="shared" si="6"/>
        <v>0</v>
      </c>
      <c r="AB14" s="33">
        <f t="shared" si="7"/>
        <v>0.35689341247234435</v>
      </c>
      <c r="AC14" s="33">
        <v>0.5</v>
      </c>
      <c r="AD14" s="33">
        <f t="shared" si="8"/>
        <v>0.6060232646974988</v>
      </c>
      <c r="AE14" s="33">
        <f t="shared" si="9"/>
        <v>0.7957040877070176</v>
      </c>
      <c r="AF14" s="33">
        <f t="shared" si="10"/>
        <v>-999</v>
      </c>
      <c r="AG14" s="33">
        <f t="shared" si="11"/>
        <v>-999</v>
      </c>
      <c r="AH14" s="33">
        <f t="shared" si="12"/>
        <v>0.32721321340192405</v>
      </c>
      <c r="AI14" s="34">
        <f t="shared" si="13"/>
        <v>0.21154291826705163</v>
      </c>
      <c r="AJ14" s="4">
        <v>10.234019270112368</v>
      </c>
      <c r="AK14" s="32">
        <f t="shared" si="14"/>
        <v>0.32721321340192405</v>
      </c>
      <c r="AL14" s="34">
        <f t="shared" si="15"/>
        <v>-999</v>
      </c>
      <c r="AY14" s="103" t="s">
        <v>53</v>
      </c>
      <c r="AZ14" s="103" t="s">
        <v>497</v>
      </c>
      <c r="BA14" s="103" t="s">
        <v>554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190</v>
      </c>
      <c r="E15" s="38">
        <f>IF(LEFT(VLOOKUP($B15,'Indicator chart'!$D$1:$J$36,5,FALSE),1)=" "," ",VLOOKUP($B15,'Indicator chart'!$D$1:$J$36,5,FALSE))</f>
        <v>0.447059</v>
      </c>
      <c r="F15" s="38">
        <f>IF(LEFT(VLOOKUP($B15,'Indicator chart'!$D$1:$J$36,6,FALSE),1)=" "," ",VLOOKUP($B15,'Indicator chart'!$D$1:$J$36,6,FALSE))</f>
        <v>0.400473123865477</v>
      </c>
      <c r="G15" s="38">
        <f>IF(LEFT(VLOOKUP($B15,'Indicator chart'!$D$1:$J$36,7,FALSE),1)=" "," ",VLOOKUP($B15,'Indicator chart'!$D$1:$J$36,7,FALSE))</f>
        <v>0.4945930264333746</v>
      </c>
      <c r="H15" s="50">
        <f t="shared" si="0"/>
        <v>1</v>
      </c>
      <c r="I15" s="38">
        <v>0.38127100467681885</v>
      </c>
      <c r="J15" s="38">
        <v>0.5576752424240112</v>
      </c>
      <c r="K15" s="38">
        <v>0.5886185169219971</v>
      </c>
      <c r="L15" s="38">
        <v>0.6204494833946228</v>
      </c>
      <c r="M15" s="38">
        <v>0.7005550265312195</v>
      </c>
      <c r="N15" s="80">
        <f>VLOOKUP('Hide - Control'!B$3,'All practice data'!A:CA,A15+29,FALSE)</f>
        <v>0.5948346353675259</v>
      </c>
      <c r="O15" s="80">
        <f>VLOOKUP('Hide - Control'!C$3,'All practice data'!A:CA,A15+29,FALSE)</f>
        <v>0.5147293797466616</v>
      </c>
      <c r="P15" s="38">
        <f>VLOOKUP('Hide - Control'!$B$4,'All practice data'!B:BC,A15+2,FALSE)</f>
        <v>47284</v>
      </c>
      <c r="Q15" s="38">
        <f>VLOOKUP('Hide - Control'!$B$4,'All practice data'!B:BJ,60,FALSE)</f>
        <v>79491</v>
      </c>
      <c r="R15" s="38">
        <f t="shared" si="17"/>
        <v>0.5914173276630679</v>
      </c>
      <c r="S15" s="38">
        <f t="shared" si="18"/>
        <v>0.5982427772763701</v>
      </c>
      <c r="T15" s="53">
        <f t="shared" si="16"/>
        <v>0.7005550265312195</v>
      </c>
      <c r="U15" s="51">
        <f t="shared" si="1"/>
        <v>0.38127100467681885</v>
      </c>
      <c r="V15" s="7"/>
      <c r="W15" s="27">
        <f t="shared" si="2"/>
        <v>0.38127100467681885</v>
      </c>
      <c r="X15" s="27">
        <f t="shared" si="3"/>
        <v>0.7959660291671753</v>
      </c>
      <c r="Y15" s="27">
        <f t="shared" si="4"/>
        <v>0.38127100467681885</v>
      </c>
      <c r="Z15" s="27">
        <f t="shared" si="5"/>
        <v>0.7959660291671753</v>
      </c>
      <c r="AA15" s="32">
        <f t="shared" si="6"/>
        <v>0</v>
      </c>
      <c r="AB15" s="33">
        <f t="shared" si="7"/>
        <v>0.4253830582220901</v>
      </c>
      <c r="AC15" s="33">
        <v>0.5</v>
      </c>
      <c r="AD15" s="33">
        <f t="shared" si="8"/>
        <v>0.5767575316625626</v>
      </c>
      <c r="AE15" s="33">
        <f t="shared" si="9"/>
        <v>0.7699248917847228</v>
      </c>
      <c r="AF15" s="33">
        <f t="shared" si="10"/>
        <v>-999</v>
      </c>
      <c r="AG15" s="33">
        <f t="shared" si="11"/>
        <v>-999</v>
      </c>
      <c r="AH15" s="33">
        <f t="shared" si="12"/>
        <v>0.15864187279322184</v>
      </c>
      <c r="AI15" s="34">
        <f t="shared" si="13"/>
        <v>0.32182294743916373</v>
      </c>
      <c r="AJ15" s="4">
        <v>11.310014695494289</v>
      </c>
      <c r="AK15" s="32">
        <f t="shared" si="14"/>
        <v>0.15864187279322184</v>
      </c>
      <c r="AL15" s="34">
        <f t="shared" si="15"/>
        <v>-999</v>
      </c>
      <c r="AY15" s="103" t="s">
        <v>229</v>
      </c>
      <c r="AZ15" s="103" t="s">
        <v>230</v>
      </c>
      <c r="BA15" s="103" t="s">
        <v>374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85</v>
      </c>
      <c r="E16" s="38">
        <f>IF(LEFT(VLOOKUP($B16,'Indicator chart'!$D$1:$J$36,5,FALSE),1)=" "," ",VLOOKUP($B16,'Indicator chart'!$D$1:$J$36,5,FALSE))</f>
        <v>0.464481</v>
      </c>
      <c r="F16" s="38">
        <f>IF(LEFT(VLOOKUP($B16,'Indicator chart'!$D$1:$J$36,6,FALSE),1)=" "," ",VLOOKUP($B16,'Indicator chart'!$D$1:$J$36,6,FALSE))</f>
        <v>0.3936935067481876</v>
      </c>
      <c r="G16" s="38">
        <f>IF(LEFT(VLOOKUP($B16,'Indicator chart'!$D$1:$J$36,7,FALSE),1)=" "," ",VLOOKUP($B16,'Indicator chart'!$D$1:$J$36,7,FALSE))</f>
        <v>0.536728840309427</v>
      </c>
      <c r="H16" s="50">
        <f t="shared" si="0"/>
        <v>1</v>
      </c>
      <c r="I16" s="38">
        <v>0.464480996131897</v>
      </c>
      <c r="J16" s="38">
        <v>0.5931044816970825</v>
      </c>
      <c r="K16" s="38">
        <v>0.6336600184440613</v>
      </c>
      <c r="L16" s="38">
        <v>0.6624577641487122</v>
      </c>
      <c r="M16" s="38">
        <v>0.7505940198898315</v>
      </c>
      <c r="N16" s="80">
        <f>VLOOKUP('Hide - Control'!B$3,'All practice data'!A:CA,A16+29,FALSE)</f>
        <v>0.6395361208639216</v>
      </c>
      <c r="O16" s="80">
        <f>VLOOKUP('Hide - Control'!C$3,'All practice data'!A:CA,A16+29,FALSE)</f>
        <v>0.5752927626212945</v>
      </c>
      <c r="P16" s="38">
        <f>VLOOKUP('Hide - Control'!$B$4,'All practice data'!B:BC,A16+2,FALSE)</f>
        <v>24044</v>
      </c>
      <c r="Q16" s="38">
        <f>VLOOKUP('Hide - Control'!$B$4,'All practice data'!B:BJ,61,FALSE)</f>
        <v>37596</v>
      </c>
      <c r="R16" s="38">
        <f t="shared" si="17"/>
        <v>0.6346686625384931</v>
      </c>
      <c r="S16" s="38">
        <f t="shared" si="18"/>
        <v>0.6443750661989174</v>
      </c>
      <c r="T16" s="53">
        <f aca="true" t="shared" si="19" ref="T16:T31">IF($C16=1,M16,I16)</f>
        <v>0.7505940198898315</v>
      </c>
      <c r="U16" s="51">
        <f aca="true" t="shared" si="20" ref="U16:U31">IF($C16=1,I16,M16)</f>
        <v>0.464480996131897</v>
      </c>
      <c r="V16" s="7"/>
      <c r="W16" s="27">
        <f t="shared" si="2"/>
        <v>0.464480996131897</v>
      </c>
      <c r="X16" s="27">
        <f t="shared" si="3"/>
        <v>0.8028390407562256</v>
      </c>
      <c r="Y16" s="27">
        <f t="shared" si="4"/>
        <v>0.464480996131897</v>
      </c>
      <c r="Z16" s="27">
        <f t="shared" si="5"/>
        <v>0.8028390407562256</v>
      </c>
      <c r="AA16" s="32">
        <f t="shared" si="6"/>
        <v>0</v>
      </c>
      <c r="AB16" s="33">
        <f t="shared" si="7"/>
        <v>0.38014017283967144</v>
      </c>
      <c r="AC16" s="33">
        <v>0.5</v>
      </c>
      <c r="AD16" s="33">
        <f t="shared" si="8"/>
        <v>0.5851102734578821</v>
      </c>
      <c r="AE16" s="33">
        <f t="shared" si="9"/>
        <v>0.8455924967754187</v>
      </c>
      <c r="AF16" s="33">
        <f t="shared" si="10"/>
        <v>-999</v>
      </c>
      <c r="AG16" s="33">
        <f t="shared" si="11"/>
        <v>-999</v>
      </c>
      <c r="AH16" s="33">
        <f t="shared" si="12"/>
        <v>1.1431981789769387E-08</v>
      </c>
      <c r="AI16" s="34">
        <f t="shared" si="13"/>
        <v>0.3274985425939239</v>
      </c>
      <c r="AJ16" s="4">
        <v>12.386010120876215</v>
      </c>
      <c r="AK16" s="32">
        <f t="shared" si="14"/>
        <v>1.1431981789769387E-08</v>
      </c>
      <c r="AL16" s="34">
        <f t="shared" si="15"/>
        <v>-999</v>
      </c>
      <c r="AY16" s="103" t="s">
        <v>372</v>
      </c>
      <c r="AZ16" s="103" t="s">
        <v>393</v>
      </c>
      <c r="BA16" s="103" t="s">
        <v>554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79</v>
      </c>
      <c r="E17" s="38">
        <f>IF(LEFT(VLOOKUP($B17,'Indicator chart'!$D$1:$J$36,5,FALSE),1)=" "," ",VLOOKUP($B17,'Indicator chart'!$D$1:$J$36,5,FALSE))</f>
        <v>1849.6839147740575</v>
      </c>
      <c r="F17" s="38">
        <f>IF(LEFT(VLOOKUP($B17,'Indicator chart'!$D$1:$J$36,6,FALSE),1)=" "," ",VLOOKUP($B17,'Indicator chart'!$D$1:$J$36,6,FALSE))</f>
        <v>1464.3549605129022</v>
      </c>
      <c r="G17" s="38">
        <f>IF(LEFT(VLOOKUP($B17,'Indicator chart'!$D$1:$J$36,7,FALSE),1)=" "," ",VLOOKUP($B17,'Indicator chart'!$D$1:$J$36,7,FALSE))</f>
        <v>2305.295556160142</v>
      </c>
      <c r="H17" s="50">
        <f t="shared" si="0"/>
        <v>1</v>
      </c>
      <c r="I17" s="38">
        <v>621.1180419921875</v>
      </c>
      <c r="J17" s="38">
        <v>1805.092041015625</v>
      </c>
      <c r="K17" s="38">
        <v>2310.32861328125</v>
      </c>
      <c r="L17" s="38">
        <v>2809.597412109375</v>
      </c>
      <c r="M17" s="38">
        <v>4624.18017578125</v>
      </c>
      <c r="N17" s="80">
        <f>VLOOKUP('Hide - Control'!B$3,'All practice data'!A:CA,A17+29,FALSE)</f>
        <v>2387.8211227402476</v>
      </c>
      <c r="O17" s="80">
        <f>VLOOKUP('Hide - Control'!C$3,'All practice data'!A:CA,A17+29,FALSE)</f>
        <v>1812.1669120472948</v>
      </c>
      <c r="P17" s="38">
        <f>VLOOKUP('Hide - Control'!$B$4,'All practice data'!B:BC,A17+2,FALSE)</f>
        <v>15685</v>
      </c>
      <c r="Q17" s="38">
        <f>VLOOKUP('Hide - Control'!$B$4,'All practice data'!B:BC,3,FALSE)</f>
        <v>656875</v>
      </c>
      <c r="R17" s="38">
        <f>100000*(P17*(1-1/(9*P17)-1.96/(3*SQRT(P17)))^3)/Q17</f>
        <v>2350.5961552910208</v>
      </c>
      <c r="S17" s="38">
        <f>100000*((P17+1)*(1-1/(9*(P17+1))+1.96/(3*SQRT(P17+1)))^3)/Q17</f>
        <v>2425.487911157883</v>
      </c>
      <c r="T17" s="53">
        <f t="shared" si="19"/>
        <v>4624.18017578125</v>
      </c>
      <c r="U17" s="51">
        <f t="shared" si="20"/>
        <v>621.1180419921875</v>
      </c>
      <c r="V17" s="7"/>
      <c r="W17" s="27">
        <f t="shared" si="2"/>
        <v>-3.52294921875</v>
      </c>
      <c r="X17" s="27">
        <f t="shared" si="3"/>
        <v>4624.18017578125</v>
      </c>
      <c r="Y17" s="27">
        <f t="shared" si="4"/>
        <v>-3.52294921875</v>
      </c>
      <c r="Z17" s="27">
        <f t="shared" si="5"/>
        <v>4624.18017578125</v>
      </c>
      <c r="AA17" s="32">
        <f t="shared" si="6"/>
        <v>0.13497862208067582</v>
      </c>
      <c r="AB17" s="33">
        <f t="shared" si="7"/>
        <v>0.3908234693067903</v>
      </c>
      <c r="AC17" s="33">
        <v>0.5</v>
      </c>
      <c r="AD17" s="33">
        <f t="shared" si="8"/>
        <v>0.6078869550060269</v>
      </c>
      <c r="AE17" s="33">
        <f t="shared" si="9"/>
        <v>1</v>
      </c>
      <c r="AF17" s="33">
        <f t="shared" si="10"/>
        <v>-999</v>
      </c>
      <c r="AG17" s="33">
        <f t="shared" si="11"/>
        <v>-999</v>
      </c>
      <c r="AH17" s="33">
        <f t="shared" si="12"/>
        <v>0.4004593237585454</v>
      </c>
      <c r="AI17" s="34">
        <f t="shared" si="13"/>
        <v>0.39235227762499236</v>
      </c>
      <c r="AJ17" s="4">
        <v>13.462005546258133</v>
      </c>
      <c r="AK17" s="32">
        <f t="shared" si="14"/>
        <v>0.4004593237585454</v>
      </c>
      <c r="AL17" s="34">
        <f t="shared" si="15"/>
        <v>-999</v>
      </c>
      <c r="AY17" s="103" t="s">
        <v>103</v>
      </c>
      <c r="AZ17" s="103" t="s">
        <v>104</v>
      </c>
      <c r="BA17" s="103" t="s">
        <v>374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79</v>
      </c>
      <c r="E18" s="80">
        <f>IF(LEFT(VLOOKUP($B18,'Indicator chart'!$D$1:$J$36,5,FALSE),1)=" "," ",VLOOKUP($B18,'Indicator chart'!$D$1:$J$36,5,FALSE))</f>
        <v>1.072524185</v>
      </c>
      <c r="F18" s="81">
        <f>IF(LEFT(VLOOKUP($B18,'Indicator chart'!$D$1:$J$36,6,FALSE),1)=" "," ",VLOOKUP($B18,'Indicator chart'!$D$1:$J$36,6,FALSE))</f>
        <v>0.8491275023999999</v>
      </c>
      <c r="G18" s="38">
        <f>IF(LEFT(VLOOKUP($B18,'Indicator chart'!$D$1:$J$36,7,FALSE),1)=" "," ",VLOOKUP($B18,'Indicator chart'!$D$1:$J$36,7,FALSE))</f>
        <v>1.336685028</v>
      </c>
      <c r="H18" s="50">
        <f>IF(LEFT(F18,1)=" ",4,IF(AND(ABS(N18-E18)&gt;SQRT((E18-G18)^2+(N18-R18)^2),E18&lt;N18),1,IF(AND(ABS(N18-E18)&gt;SQRT((E18-F18)^2+(N18-S18)^2),E18&gt;N18),3,2)))</f>
        <v>2</v>
      </c>
      <c r="I18" s="38">
        <v>0.3139548897743225</v>
      </c>
      <c r="J18" s="38"/>
      <c r="K18" s="38">
        <v>1</v>
      </c>
      <c r="L18" s="38"/>
      <c r="M18" s="38">
        <v>2.3207130432128906</v>
      </c>
      <c r="N18" s="80">
        <v>1</v>
      </c>
      <c r="O18" s="80">
        <f>VLOOKUP('Hide - Control'!C$3,'All practice data'!A:CA,A18+29,FALSE)</f>
        <v>1</v>
      </c>
      <c r="P18" s="38">
        <f>VLOOKUP('Hide - Control'!$B$4,'All practice data'!B:BC,A18+2,FALSE)</f>
        <v>15685</v>
      </c>
      <c r="Q18" s="38">
        <f>VLOOKUP('Hide - Control'!$B$4,'All practice data'!B:BC,14,FALSE)</f>
        <v>15685</v>
      </c>
      <c r="R18" s="81">
        <v>1</v>
      </c>
      <c r="S18" s="38">
        <v>1</v>
      </c>
      <c r="T18" s="53">
        <f t="shared" si="19"/>
        <v>2.3207130432128906</v>
      </c>
      <c r="U18" s="51">
        <f t="shared" si="20"/>
        <v>0.3139548897743225</v>
      </c>
      <c r="V18" s="7"/>
      <c r="W18" s="27">
        <f>IF((K18-I18)&gt;(M18-K18),I18,(K18-(M18-K18)))</f>
        <v>-0.3207130432128906</v>
      </c>
      <c r="X18" s="27">
        <f t="shared" si="3"/>
        <v>2.3207130432128906</v>
      </c>
      <c r="Y18" s="27">
        <f t="shared" si="4"/>
        <v>-0.3207130432128906</v>
      </c>
      <c r="Z18" s="27">
        <f t="shared" si="5"/>
        <v>2.3207130432128906</v>
      </c>
      <c r="AA18" s="32" t="s">
        <v>374</v>
      </c>
      <c r="AB18" s="33" t="s">
        <v>374</v>
      </c>
      <c r="AC18" s="33">
        <v>0.5</v>
      </c>
      <c r="AD18" s="33" t="s">
        <v>374</v>
      </c>
      <c r="AE18" s="33" t="s">
        <v>374</v>
      </c>
      <c r="AF18" s="33">
        <f t="shared" si="10"/>
        <v>-999</v>
      </c>
      <c r="AG18" s="33">
        <f t="shared" si="11"/>
        <v>0.527456450654705</v>
      </c>
      <c r="AH18" s="33">
        <f t="shared" si="12"/>
        <v>-999</v>
      </c>
      <c r="AI18" s="34">
        <v>0.5</v>
      </c>
      <c r="AJ18" s="4">
        <v>14.538000971640056</v>
      </c>
      <c r="AK18" s="32">
        <f t="shared" si="14"/>
        <v>-999</v>
      </c>
      <c r="AL18" s="34">
        <f t="shared" si="15"/>
        <v>-999</v>
      </c>
      <c r="AY18" s="103" t="s">
        <v>105</v>
      </c>
      <c r="AZ18" s="103" t="s">
        <v>106</v>
      </c>
      <c r="BA18" s="103" t="s">
        <v>374</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11</v>
      </c>
      <c r="E19" s="38">
        <f>IF(LEFT(VLOOKUP($B19,'Indicator chart'!$D$1:$J$36,5,FALSE),1)=" "," ",VLOOKUP($B19,'Indicator chart'!$D$1:$J$36,5,FALSE))</f>
        <v>0.13924050632911392</v>
      </c>
      <c r="F19" s="38">
        <f>IF(LEFT(VLOOKUP($B19,'Indicator chart'!$D$1:$J$36,6,FALSE),1)=" "," ",VLOOKUP($B19,'Indicator chart'!$D$1:$J$36,6,FALSE))</f>
        <v>0.07956458969765408</v>
      </c>
      <c r="G19" s="38">
        <f>IF(LEFT(VLOOKUP($B19,'Indicator chart'!$D$1:$J$36,7,FALSE),1)=" "," ",VLOOKUP($B19,'Indicator chart'!$D$1:$J$36,7,FALSE))</f>
        <v>0.23237530523436076</v>
      </c>
      <c r="H19" s="50">
        <f t="shared" si="0"/>
        <v>2</v>
      </c>
      <c r="I19" s="38">
        <v>0.02070442959666252</v>
      </c>
      <c r="J19" s="38">
        <v>0.07992935925722122</v>
      </c>
      <c r="K19" s="38">
        <v>0.1025489792227745</v>
      </c>
      <c r="L19" s="38">
        <v>0.13636364042758942</v>
      </c>
      <c r="M19" s="38">
        <v>0.3103448152542114</v>
      </c>
      <c r="N19" s="80">
        <f>VLOOKUP('Hide - Control'!B$3,'All practice data'!A:CA,A19+29,FALSE)</f>
        <v>0.1078737647433854</v>
      </c>
      <c r="O19" s="80">
        <f>VLOOKUP('Hide - Control'!C$3,'All practice data'!A:CA,A19+29,FALSE)</f>
        <v>0.10919341638628717</v>
      </c>
      <c r="P19" s="38">
        <f>VLOOKUP('Hide - Control'!$B$4,'All practice data'!B:BC,A19+2,FALSE)</f>
        <v>1692</v>
      </c>
      <c r="Q19" s="38">
        <f>VLOOKUP('Hide - Control'!$B$4,'All practice data'!B:BC,15,FALSE)</f>
        <v>15685</v>
      </c>
      <c r="R19" s="38">
        <f>+((2*P19+1.96^2-1.96*SQRT(1.96^2+4*P19*(1-P19/Q19)))/(2*(Q19+1.96^2)))</f>
        <v>0.10311447511263555</v>
      </c>
      <c r="S19" s="38">
        <f>+((2*P19+1.96^2+1.96*SQRT(1.96^2+4*P19*(1-P19/Q19)))/(2*(Q19+1.96^2)))</f>
        <v>0.11282508794599079</v>
      </c>
      <c r="T19" s="53">
        <f t="shared" si="19"/>
        <v>0.3103448152542114</v>
      </c>
      <c r="U19" s="51">
        <f t="shared" si="20"/>
        <v>0.02070442959666252</v>
      </c>
      <c r="V19" s="7"/>
      <c r="W19" s="27">
        <f t="shared" si="2"/>
        <v>-0.10524685680866241</v>
      </c>
      <c r="X19" s="27">
        <f t="shared" si="3"/>
        <v>0.3103448152542114</v>
      </c>
      <c r="Y19" s="27">
        <f t="shared" si="4"/>
        <v>-0.10524685680866241</v>
      </c>
      <c r="Z19" s="27">
        <f t="shared" si="5"/>
        <v>0.3103448152542114</v>
      </c>
      <c r="AA19" s="32">
        <f t="shared" si="6"/>
        <v>0.3030649911249186</v>
      </c>
      <c r="AB19" s="33">
        <f t="shared" si="7"/>
        <v>0.4455724898112703</v>
      </c>
      <c r="AC19" s="33">
        <v>0.5</v>
      </c>
      <c r="AD19" s="33">
        <f t="shared" si="8"/>
        <v>0.5813651078159698</v>
      </c>
      <c r="AE19" s="33">
        <f t="shared" si="9"/>
        <v>1</v>
      </c>
      <c r="AF19" s="33">
        <f t="shared" si="10"/>
        <v>-999</v>
      </c>
      <c r="AG19" s="33">
        <f t="shared" si="11"/>
        <v>0.5882874455212578</v>
      </c>
      <c r="AH19" s="33">
        <f t="shared" si="12"/>
        <v>-999</v>
      </c>
      <c r="AI19" s="34">
        <f t="shared" si="13"/>
        <v>0.5159878977615977</v>
      </c>
      <c r="AJ19" s="4">
        <v>15.61399639702198</v>
      </c>
      <c r="AK19" s="32">
        <f t="shared" si="14"/>
        <v>-999</v>
      </c>
      <c r="AL19" s="34">
        <f t="shared" si="15"/>
        <v>-999</v>
      </c>
      <c r="AY19" s="103" t="s">
        <v>270</v>
      </c>
      <c r="AZ19" s="103" t="s">
        <v>493</v>
      </c>
      <c r="BA19" s="103" t="s">
        <v>374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22</v>
      </c>
      <c r="E20" s="38">
        <f>IF(LEFT(VLOOKUP($B20,'Indicator chart'!$D$1:$J$36,5,FALSE),1)=" "," ",VLOOKUP($B20,'Indicator chart'!$D$1:$J$36,5,FALSE))</f>
        <v>0.5</v>
      </c>
      <c r="F20" s="38">
        <f>IF(LEFT(VLOOKUP($B20,'Indicator chart'!$D$1:$J$36,6,FALSE),1)=" "," ",VLOOKUP($B20,'Indicator chart'!$D$1:$J$36,6,FALSE))</f>
        <v>0.30721804692479565</v>
      </c>
      <c r="G20" s="38">
        <f>IF(LEFT(VLOOKUP($B20,'Indicator chart'!$D$1:$J$36,7,FALSE),1)=" "," ",VLOOKUP($B20,'Indicator chart'!$D$1:$J$36,7,FALSE))</f>
        <v>0.6927819530752044</v>
      </c>
      <c r="H20" s="50">
        <f t="shared" si="0"/>
        <v>2</v>
      </c>
      <c r="I20" s="38">
        <v>0.09238772839307785</v>
      </c>
      <c r="J20" s="38">
        <v>0.3939189314842224</v>
      </c>
      <c r="K20" s="38">
        <v>0.4692234992980957</v>
      </c>
      <c r="L20" s="38">
        <v>0.5455827116966248</v>
      </c>
      <c r="M20" s="38">
        <v>0.75</v>
      </c>
      <c r="N20" s="80">
        <f>VLOOKUP('Hide - Control'!B$3,'All practice data'!A:CA,A20+29,FALSE)</f>
        <v>0.48384329425221617</v>
      </c>
      <c r="O20" s="80">
        <f>VLOOKUP('Hide - Control'!C$3,'All practice data'!A:CA,A20+29,FALSE)</f>
        <v>0.4534552930810221</v>
      </c>
      <c r="P20" s="38">
        <f>VLOOKUP('Hide - Control'!$B$4,'All practice data'!B:BC,A20+1,FALSE)</f>
        <v>1692</v>
      </c>
      <c r="Q20" s="38">
        <f>VLOOKUP('Hide - Control'!$B$4,'All practice data'!B:BC,A20+2,FALSE)</f>
        <v>3497</v>
      </c>
      <c r="R20" s="38">
        <f>+((2*P20+1.96^2-1.96*SQRT(1.96^2+4*P20*(1-P20/Q20)))/(2*(Q20+1.96^2)))</f>
        <v>0.4673066313905824</v>
      </c>
      <c r="S20" s="38">
        <f>+((2*P20+1.96^2+1.96*SQRT(1.96^2+4*P20*(1-P20/Q20)))/(2*(Q20+1.96^2)))</f>
        <v>0.500415415788016</v>
      </c>
      <c r="T20" s="53">
        <f t="shared" si="19"/>
        <v>0.75</v>
      </c>
      <c r="U20" s="51">
        <f t="shared" si="20"/>
        <v>0.09238772839307785</v>
      </c>
      <c r="V20" s="7"/>
      <c r="W20" s="27">
        <f t="shared" si="2"/>
        <v>0.09238772839307785</v>
      </c>
      <c r="X20" s="27">
        <f t="shared" si="3"/>
        <v>0.8460592702031136</v>
      </c>
      <c r="Y20" s="27">
        <f t="shared" si="4"/>
        <v>0.09238772839307785</v>
      </c>
      <c r="Z20" s="27">
        <f t="shared" si="5"/>
        <v>0.8460592702031136</v>
      </c>
      <c r="AA20" s="32">
        <f t="shared" si="6"/>
        <v>0</v>
      </c>
      <c r="AB20" s="33">
        <f t="shared" si="7"/>
        <v>0.40008304196676975</v>
      </c>
      <c r="AC20" s="33">
        <v>0.5</v>
      </c>
      <c r="AD20" s="33">
        <f t="shared" si="8"/>
        <v>0.6013163004870038</v>
      </c>
      <c r="AE20" s="33">
        <f t="shared" si="9"/>
        <v>0.8725449152923894</v>
      </c>
      <c r="AF20" s="33">
        <f t="shared" si="10"/>
        <v>-999</v>
      </c>
      <c r="AG20" s="33">
        <f t="shared" si="11"/>
        <v>0.5408354289562144</v>
      </c>
      <c r="AH20" s="33">
        <f t="shared" si="12"/>
        <v>-999</v>
      </c>
      <c r="AI20" s="34">
        <f t="shared" si="13"/>
        <v>0.4790781456611666</v>
      </c>
      <c r="AJ20" s="4">
        <v>16.689991822403904</v>
      </c>
      <c r="AK20" s="32">
        <f t="shared" si="14"/>
        <v>-999</v>
      </c>
      <c r="AL20" s="34">
        <f t="shared" si="15"/>
        <v>-999</v>
      </c>
      <c r="AY20" s="103" t="s">
        <v>211</v>
      </c>
      <c r="AZ20" s="103" t="s">
        <v>474</v>
      </c>
      <c r="BA20" s="103" t="s">
        <v>374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10</v>
      </c>
      <c r="E21" s="38">
        <f>IF(LEFT(VLOOKUP($B21,'Indicator chart'!$D$1:$J$36,5,FALSE),1)=" "," ",VLOOKUP($B21,'Indicator chart'!$D$1:$J$36,5,FALSE))</f>
        <v>234.13720440177946</v>
      </c>
      <c r="F21" s="38">
        <f>IF(LEFT(VLOOKUP($B21,'Indicator chart'!$D$1:$J$36,6,FALSE),1)=" "," ",VLOOKUP($B21,'Indicator chart'!$D$1:$J$36,6,FALSE))</f>
        <v>112.09038200734258</v>
      </c>
      <c r="G21" s="38">
        <f>IF(LEFT(VLOOKUP($B21,'Indicator chart'!$D$1:$J$36,7,FALSE),1)=" "," ",VLOOKUP($B21,'Indicator chart'!$D$1:$J$36,7,FALSE))</f>
        <v>430.61641006908263</v>
      </c>
      <c r="H21" s="50">
        <f t="shared" si="0"/>
        <v>1</v>
      </c>
      <c r="I21" s="38">
        <v>61.46357345581055</v>
      </c>
      <c r="J21" s="38">
        <v>378.72760009765625</v>
      </c>
      <c r="K21" s="38">
        <v>548.7986450195312</v>
      </c>
      <c r="L21" s="38">
        <v>650.556640625</v>
      </c>
      <c r="M21" s="38">
        <v>1037.1650390625</v>
      </c>
      <c r="N21" s="80">
        <f>VLOOKUP('Hide - Control'!B$3,'All practice data'!A:CA,A21+29,FALSE)</f>
        <v>541.5033301617507</v>
      </c>
      <c r="O21" s="80">
        <f>VLOOKUP('Hide - Control'!C$3,'All practice data'!A:CA,A21+29,FALSE)</f>
        <v>377.7293140102421</v>
      </c>
      <c r="P21" s="38">
        <f>VLOOKUP('Hide - Control'!$B$4,'All practice data'!B:BC,A21+2,FALSE)</f>
        <v>3557</v>
      </c>
      <c r="Q21" s="38">
        <f>VLOOKUP('Hide - Control'!$B$4,'All practice data'!B:BC,3,FALSE)</f>
        <v>656875</v>
      </c>
      <c r="R21" s="38">
        <f aca="true" t="shared" si="21" ref="R21:R27">100000*(P21*(1-1/(9*P21)-1.96/(3*SQRT(P21)))^3)/Q21</f>
        <v>523.8522155098847</v>
      </c>
      <c r="S21" s="38">
        <f aca="true" t="shared" si="22" ref="S21:S27">100000*((P21+1)*(1-1/(9*(P21+1))+1.96/(3*SQRT(P21+1)))^3)/Q21</f>
        <v>559.5975689710056</v>
      </c>
      <c r="T21" s="53">
        <f t="shared" si="19"/>
        <v>1037.1650390625</v>
      </c>
      <c r="U21" s="51">
        <f t="shared" si="20"/>
        <v>61.46357345581055</v>
      </c>
      <c r="V21" s="7"/>
      <c r="W21" s="27">
        <f t="shared" si="2"/>
        <v>60.4322509765625</v>
      </c>
      <c r="X21" s="27">
        <f t="shared" si="3"/>
        <v>1037.1650390625</v>
      </c>
      <c r="Y21" s="27">
        <f t="shared" si="4"/>
        <v>60.4322509765625</v>
      </c>
      <c r="Z21" s="27">
        <f t="shared" si="5"/>
        <v>1037.1650390625</v>
      </c>
      <c r="AA21" s="32">
        <f t="shared" si="6"/>
        <v>0.0010558900979141762</v>
      </c>
      <c r="AB21" s="33">
        <f t="shared" si="7"/>
        <v>0.3258776125913044</v>
      </c>
      <c r="AC21" s="33">
        <v>0.5</v>
      </c>
      <c r="AD21" s="33">
        <f t="shared" si="8"/>
        <v>0.60418202076013</v>
      </c>
      <c r="AE21" s="33">
        <f t="shared" si="9"/>
        <v>1</v>
      </c>
      <c r="AF21" s="33">
        <f t="shared" si="10"/>
        <v>-999</v>
      </c>
      <c r="AG21" s="33">
        <f t="shared" si="11"/>
        <v>-999</v>
      </c>
      <c r="AH21" s="33">
        <f t="shared" si="12"/>
        <v>0.17784286095854251</v>
      </c>
      <c r="AI21" s="34">
        <f t="shared" si="13"/>
        <v>0.32485554586067844</v>
      </c>
      <c r="AJ21" s="4">
        <v>17.765987247785823</v>
      </c>
      <c r="AK21" s="32">
        <f t="shared" si="14"/>
        <v>0.17784286095854251</v>
      </c>
      <c r="AL21" s="34">
        <f t="shared" si="15"/>
        <v>-999</v>
      </c>
      <c r="AY21" s="103" t="s">
        <v>123</v>
      </c>
      <c r="AZ21" s="103" t="s">
        <v>448</v>
      </c>
      <c r="BA21" s="103" t="s">
        <v>374</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14</v>
      </c>
      <c r="E22" s="38">
        <f>IF(LEFT(VLOOKUP($B22,'Indicator chart'!$D$1:$J$36,5,FALSE),1)=" "," ",VLOOKUP($B22,'Indicator chart'!$D$1:$J$36,5,FALSE))</f>
        <v>327.7920861624912</v>
      </c>
      <c r="F22" s="38">
        <f>IF(LEFT(VLOOKUP($B22,'Indicator chart'!$D$1:$J$36,6,FALSE),1)=" "," ",VLOOKUP($B22,'Indicator chart'!$D$1:$J$36,6,FALSE))</f>
        <v>179.05503747937723</v>
      </c>
      <c r="G22" s="38">
        <f>IF(LEFT(VLOOKUP($B22,'Indicator chart'!$D$1:$J$36,7,FALSE),1)=" "," ",VLOOKUP($B22,'Indicator chart'!$D$1:$J$36,7,FALSE))</f>
        <v>550.0160591763697</v>
      </c>
      <c r="H22" s="50">
        <f t="shared" si="0"/>
        <v>2</v>
      </c>
      <c r="I22" s="38">
        <v>18.07059669494629</v>
      </c>
      <c r="J22" s="38">
        <v>180.96669006347656</v>
      </c>
      <c r="K22" s="38">
        <v>277.8505554199219</v>
      </c>
      <c r="L22" s="38">
        <v>363.2849426269531</v>
      </c>
      <c r="M22" s="38">
        <v>783.4442138671875</v>
      </c>
      <c r="N22" s="80">
        <f>VLOOKUP('Hide - Control'!B$3,'All practice data'!A:CA,A22+29,FALSE)</f>
        <v>304.77640342530924</v>
      </c>
      <c r="O22" s="80">
        <f>VLOOKUP('Hide - Control'!C$3,'All practice data'!A:CA,A22+29,FALSE)</f>
        <v>282.45290788403287</v>
      </c>
      <c r="P22" s="38">
        <f>VLOOKUP('Hide - Control'!$B$4,'All practice data'!B:BC,A22+2,FALSE)</f>
        <v>2002</v>
      </c>
      <c r="Q22" s="38">
        <f>VLOOKUP('Hide - Control'!$B$4,'All practice data'!B:BC,3,FALSE)</f>
        <v>656875</v>
      </c>
      <c r="R22" s="38">
        <f t="shared" si="21"/>
        <v>291.5703852738729</v>
      </c>
      <c r="S22" s="38">
        <f t="shared" si="22"/>
        <v>318.4263714216269</v>
      </c>
      <c r="T22" s="53">
        <f t="shared" si="19"/>
        <v>783.4442138671875</v>
      </c>
      <c r="U22" s="51">
        <f t="shared" si="20"/>
        <v>18.07059669494629</v>
      </c>
      <c r="V22" s="7"/>
      <c r="W22" s="27">
        <f t="shared" si="2"/>
        <v>-227.74310302734375</v>
      </c>
      <c r="X22" s="27">
        <f t="shared" si="3"/>
        <v>783.4442138671875</v>
      </c>
      <c r="Y22" s="27">
        <f t="shared" si="4"/>
        <v>-227.74310302734375</v>
      </c>
      <c r="Z22" s="27">
        <f t="shared" si="5"/>
        <v>783.4442138671875</v>
      </c>
      <c r="AA22" s="32">
        <f t="shared" si="6"/>
        <v>0.24309412866966257</v>
      </c>
      <c r="AB22" s="33">
        <f t="shared" si="7"/>
        <v>0.40418801369662505</v>
      </c>
      <c r="AC22" s="33">
        <v>0.5</v>
      </c>
      <c r="AD22" s="33">
        <f t="shared" si="8"/>
        <v>0.5844891799764753</v>
      </c>
      <c r="AE22" s="33">
        <f t="shared" si="9"/>
        <v>1</v>
      </c>
      <c r="AF22" s="33">
        <f t="shared" si="10"/>
        <v>-999</v>
      </c>
      <c r="AG22" s="33">
        <f t="shared" si="11"/>
        <v>0.54938900034461</v>
      </c>
      <c r="AH22" s="33">
        <f t="shared" si="12"/>
        <v>-999</v>
      </c>
      <c r="AI22" s="34">
        <f t="shared" si="13"/>
        <v>0.5045514341281943</v>
      </c>
      <c r="AJ22" s="4">
        <v>18.841982673167745</v>
      </c>
      <c r="AK22" s="32">
        <f t="shared" si="14"/>
        <v>-999</v>
      </c>
      <c r="AL22" s="34">
        <f t="shared" si="15"/>
        <v>-999</v>
      </c>
      <c r="AY22" s="103" t="s">
        <v>149</v>
      </c>
      <c r="AZ22" s="103" t="s">
        <v>458</v>
      </c>
      <c r="BA22" s="103" t="s">
        <v>374</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187.30976352142355</v>
      </c>
      <c r="F23" s="38">
        <f>IF(LEFT(VLOOKUP($B23,'Indicator chart'!$D$1:$J$36,6,FALSE),1)=" "," ",VLOOKUP($B23,'Indicator chart'!$D$1:$J$36,6,FALSE))</f>
        <v>80.651663864662</v>
      </c>
      <c r="G23" s="38">
        <f>IF(LEFT(VLOOKUP($B23,'Indicator chart'!$D$1:$J$36,7,FALSE),1)=" "," ",VLOOKUP($B23,'Indicator chart'!$D$1:$J$36,7,FALSE))</f>
        <v>369.0975764921854</v>
      </c>
      <c r="H23" s="50">
        <f t="shared" si="0"/>
        <v>2</v>
      </c>
      <c r="I23" s="38">
        <v>3.248678207397461</v>
      </c>
      <c r="J23" s="38">
        <v>48.43891525268555</v>
      </c>
      <c r="K23" s="38">
        <v>67.09735870361328</v>
      </c>
      <c r="L23" s="38">
        <v>111.92630767822266</v>
      </c>
      <c r="M23" s="38">
        <v>266.9039001464844</v>
      </c>
      <c r="N23" s="80">
        <f>VLOOKUP('Hide - Control'!B$3,'All practice data'!A:CA,A23+29,FALSE)</f>
        <v>87.23120837297812</v>
      </c>
      <c r="O23" s="80">
        <f>VLOOKUP('Hide - Control'!C$3,'All practice data'!A:CA,A23+29,FALSE)</f>
        <v>70.46674929228394</v>
      </c>
      <c r="P23" s="38">
        <f>VLOOKUP('Hide - Control'!$B$4,'All practice data'!B:BC,A23+2,FALSE)</f>
        <v>573</v>
      </c>
      <c r="Q23" s="38">
        <f>VLOOKUP('Hide - Control'!$B$4,'All practice data'!B:BC,3,FALSE)</f>
        <v>656875</v>
      </c>
      <c r="R23" s="38">
        <f t="shared" si="21"/>
        <v>80.23386794180583</v>
      </c>
      <c r="S23" s="38">
        <f t="shared" si="22"/>
        <v>94.67535541219709</v>
      </c>
      <c r="T23" s="53">
        <f t="shared" si="19"/>
        <v>266.9039001464844</v>
      </c>
      <c r="U23" s="51">
        <f t="shared" si="20"/>
        <v>3.248678207397461</v>
      </c>
      <c r="V23" s="7"/>
      <c r="W23" s="27">
        <f t="shared" si="2"/>
        <v>-132.7091827392578</v>
      </c>
      <c r="X23" s="27">
        <f t="shared" si="3"/>
        <v>266.9039001464844</v>
      </c>
      <c r="Y23" s="27">
        <f t="shared" si="4"/>
        <v>-132.7091827392578</v>
      </c>
      <c r="Z23" s="27">
        <f t="shared" si="5"/>
        <v>266.9039001464844</v>
      </c>
      <c r="AA23" s="32">
        <f t="shared" si="6"/>
        <v>0.3402237483439162</v>
      </c>
      <c r="AB23" s="33">
        <f t="shared" si="7"/>
        <v>0.4533087272413887</v>
      </c>
      <c r="AC23" s="33">
        <v>0.5</v>
      </c>
      <c r="AD23" s="33">
        <f t="shared" si="8"/>
        <v>0.612180884196494</v>
      </c>
      <c r="AE23" s="33">
        <f t="shared" si="9"/>
        <v>1</v>
      </c>
      <c r="AF23" s="33">
        <f t="shared" si="10"/>
        <v>-999</v>
      </c>
      <c r="AG23" s="33">
        <f t="shared" si="11"/>
        <v>0.8008219949900427</v>
      </c>
      <c r="AH23" s="33">
        <f t="shared" si="12"/>
        <v>-999</v>
      </c>
      <c r="AI23" s="34">
        <f t="shared" si="13"/>
        <v>0.5084316323287995</v>
      </c>
      <c r="AJ23" s="4">
        <v>19.917978098549675</v>
      </c>
      <c r="AK23" s="32">
        <f t="shared" si="14"/>
        <v>-999</v>
      </c>
      <c r="AL23" s="34">
        <f t="shared" si="15"/>
        <v>-999</v>
      </c>
      <c r="AY23" s="103" t="s">
        <v>264</v>
      </c>
      <c r="AZ23" s="103" t="s">
        <v>265</v>
      </c>
      <c r="BA23" s="103" t="s">
        <v>374</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11</v>
      </c>
      <c r="E24" s="38">
        <f>IF(LEFT(VLOOKUP($B24,'Indicator chart'!$D$1:$J$36,5,FALSE),1)=" "," ",VLOOKUP($B24,'Indicator chart'!$D$1:$J$36,5,FALSE))</f>
        <v>257.5509248419574</v>
      </c>
      <c r="F24" s="38">
        <f>IF(LEFT(VLOOKUP($B24,'Indicator chart'!$D$1:$J$36,6,FALSE),1)=" "," ",VLOOKUP($B24,'Indicator chart'!$D$1:$J$36,6,FALSE))</f>
        <v>128.39183092930895</v>
      </c>
      <c r="G24" s="38">
        <f>IF(LEFT(VLOOKUP($B24,'Indicator chart'!$D$1:$J$36,7,FALSE),1)=" "," ",VLOOKUP($B24,'Indicator chart'!$D$1:$J$36,7,FALSE))</f>
        <v>460.86187402045954</v>
      </c>
      <c r="H24" s="50">
        <f t="shared" si="0"/>
        <v>1</v>
      </c>
      <c r="I24" s="38">
        <v>27.3076171875</v>
      </c>
      <c r="J24" s="38">
        <v>309.95489501953125</v>
      </c>
      <c r="K24" s="38">
        <v>450.4544982910156</v>
      </c>
      <c r="L24" s="38">
        <v>569.3928833007812</v>
      </c>
      <c r="M24" s="38">
        <v>2050.78125</v>
      </c>
      <c r="N24" s="80">
        <f>VLOOKUP('Hide - Control'!B$3,'All practice data'!A:CA,A24+29,FALSE)</f>
        <v>492.3311132254995</v>
      </c>
      <c r="O24" s="80">
        <f>VLOOKUP('Hide - Control'!C$3,'All practice data'!A:CA,A24+29,FALSE)</f>
        <v>323.23046266988894</v>
      </c>
      <c r="P24" s="38">
        <f>VLOOKUP('Hide - Control'!$B$4,'All practice data'!B:BC,A24+2,FALSE)</f>
        <v>3234</v>
      </c>
      <c r="Q24" s="38">
        <f>VLOOKUP('Hide - Control'!$B$4,'All practice data'!B:BC,3,FALSE)</f>
        <v>656875</v>
      </c>
      <c r="R24" s="38">
        <f t="shared" si="21"/>
        <v>475.5072297804857</v>
      </c>
      <c r="S24" s="38">
        <f t="shared" si="22"/>
        <v>509.59824185813045</v>
      </c>
      <c r="T24" s="53">
        <f t="shared" si="19"/>
        <v>2050.78125</v>
      </c>
      <c r="U24" s="51">
        <f t="shared" si="20"/>
        <v>27.3076171875</v>
      </c>
      <c r="V24" s="7"/>
      <c r="W24" s="27">
        <f t="shared" si="2"/>
        <v>-1149.8722534179688</v>
      </c>
      <c r="X24" s="27">
        <f t="shared" si="3"/>
        <v>2050.78125</v>
      </c>
      <c r="Y24" s="27">
        <f t="shared" si="4"/>
        <v>-1149.8722534179688</v>
      </c>
      <c r="Z24" s="27">
        <f t="shared" si="5"/>
        <v>2050.78125</v>
      </c>
      <c r="AA24" s="32">
        <f t="shared" si="6"/>
        <v>0.3677935988223535</v>
      </c>
      <c r="AB24" s="33">
        <f t="shared" si="7"/>
        <v>0.45610283864796825</v>
      </c>
      <c r="AC24" s="33">
        <v>0.5</v>
      </c>
      <c r="AD24" s="33">
        <f t="shared" si="8"/>
        <v>0.5371606563730662</v>
      </c>
      <c r="AE24" s="33">
        <f t="shared" si="9"/>
        <v>1</v>
      </c>
      <c r="AF24" s="33">
        <f t="shared" si="10"/>
        <v>-999</v>
      </c>
      <c r="AG24" s="33">
        <f t="shared" si="11"/>
        <v>-999</v>
      </c>
      <c r="AH24" s="33">
        <f t="shared" si="12"/>
        <v>0.4397299416375259</v>
      </c>
      <c r="AI24" s="34">
        <f t="shared" si="13"/>
        <v>0.4602506064823123</v>
      </c>
      <c r="AJ24" s="4">
        <v>20.99397352393159</v>
      </c>
      <c r="AK24" s="32">
        <f t="shared" si="14"/>
        <v>0.4397299416375259</v>
      </c>
      <c r="AL24" s="34">
        <f t="shared" si="15"/>
        <v>-999</v>
      </c>
      <c r="AY24" s="103" t="s">
        <v>65</v>
      </c>
      <c r="AZ24" s="103" t="s">
        <v>66</v>
      </c>
      <c r="BA24" s="103" t="s">
        <v>554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17</v>
      </c>
      <c r="E25" s="38">
        <f>IF(LEFT(VLOOKUP($B25,'Indicator chart'!$D$1:$J$36,5,FALSE),1)=" "," ",VLOOKUP($B25,'Indicator chart'!$D$1:$J$36,5,FALSE))</f>
        <v>398.03324748302504</v>
      </c>
      <c r="F25" s="38">
        <f>IF(LEFT(VLOOKUP($B25,'Indicator chart'!$D$1:$J$36,6,FALSE),1)=" "," ",VLOOKUP($B25,'Indicator chart'!$D$1:$J$36,6,FALSE))</f>
        <v>231.7343379109507</v>
      </c>
      <c r="G25" s="38">
        <f>IF(LEFT(VLOOKUP($B25,'Indicator chart'!$D$1:$J$36,7,FALSE),1)=" "," ",VLOOKUP($B25,'Indicator chart'!$D$1:$J$36,7,FALSE))</f>
        <v>637.3287454370148</v>
      </c>
      <c r="H25" s="50">
        <f t="shared" si="0"/>
        <v>2</v>
      </c>
      <c r="I25" s="38">
        <v>185.5142822265625</v>
      </c>
      <c r="J25" s="38">
        <v>477.4904479980469</v>
      </c>
      <c r="K25" s="38">
        <v>574.5526123046875</v>
      </c>
      <c r="L25" s="38">
        <v>708.2703247070312</v>
      </c>
      <c r="M25" s="38">
        <v>927.5655517578125</v>
      </c>
      <c r="N25" s="80">
        <f>VLOOKUP('Hide - Control'!B$3,'All practice data'!A:CA,A25+29,FALSE)</f>
        <v>616.86013320647</v>
      </c>
      <c r="O25" s="80">
        <f>VLOOKUP('Hide - Control'!C$3,'All practice data'!A:CA,A25+29,FALSE)</f>
        <v>562.6134400960308</v>
      </c>
      <c r="P25" s="38">
        <f>VLOOKUP('Hide - Control'!$B$4,'All practice data'!B:BC,A25+2,FALSE)</f>
        <v>4052</v>
      </c>
      <c r="Q25" s="38">
        <f>VLOOKUP('Hide - Control'!$B$4,'All practice data'!B:BC,3,FALSE)</f>
        <v>656875</v>
      </c>
      <c r="R25" s="38">
        <f t="shared" si="21"/>
        <v>598.0110682466982</v>
      </c>
      <c r="S25" s="38">
        <f t="shared" si="22"/>
        <v>636.1521656755395</v>
      </c>
      <c r="T25" s="53">
        <f t="shared" si="19"/>
        <v>927.5655517578125</v>
      </c>
      <c r="U25" s="51">
        <f t="shared" si="20"/>
        <v>185.5142822265625</v>
      </c>
      <c r="V25" s="7"/>
      <c r="W25" s="27">
        <f t="shared" si="2"/>
        <v>185.5142822265625</v>
      </c>
      <c r="X25" s="27">
        <f t="shared" si="3"/>
        <v>963.5909423828125</v>
      </c>
      <c r="Y25" s="27">
        <f t="shared" si="4"/>
        <v>185.5142822265625</v>
      </c>
      <c r="Z25" s="27">
        <f t="shared" si="5"/>
        <v>963.5909423828125</v>
      </c>
      <c r="AA25" s="32">
        <f t="shared" si="6"/>
        <v>0</v>
      </c>
      <c r="AB25" s="33">
        <f t="shared" si="7"/>
        <v>0.3752537259154528</v>
      </c>
      <c r="AC25" s="33">
        <v>0.5</v>
      </c>
      <c r="AD25" s="33">
        <f t="shared" si="8"/>
        <v>0.67185673244008</v>
      </c>
      <c r="AE25" s="33">
        <f t="shared" si="9"/>
        <v>0.9536994328839454</v>
      </c>
      <c r="AF25" s="33">
        <f t="shared" si="10"/>
        <v>-999</v>
      </c>
      <c r="AG25" s="33">
        <f t="shared" si="11"/>
        <v>0.2731337105186851</v>
      </c>
      <c r="AH25" s="33">
        <f t="shared" si="12"/>
        <v>-999</v>
      </c>
      <c r="AI25" s="34">
        <f t="shared" si="13"/>
        <v>0.4846555322630303</v>
      </c>
      <c r="AJ25" s="4">
        <v>22.06996894931352</v>
      </c>
      <c r="AK25" s="32">
        <f t="shared" si="14"/>
        <v>-999</v>
      </c>
      <c r="AL25" s="34">
        <f t="shared" si="15"/>
        <v>-999</v>
      </c>
      <c r="AY25" s="103" t="s">
        <v>257</v>
      </c>
      <c r="AZ25" s="103" t="s">
        <v>258</v>
      </c>
      <c r="BA25" s="103" t="s">
        <v>554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17</v>
      </c>
      <c r="E26" s="38">
        <f>IF(LEFT(VLOOKUP($B26,'Indicator chart'!$D$1:$J$36,5,FALSE),1)=" "," ",VLOOKUP($B26,'Indicator chart'!$D$1:$J$36,5,FALSE))</f>
        <v>398.03324748302504</v>
      </c>
      <c r="F26" s="38">
        <f>IF(LEFT(VLOOKUP($B26,'Indicator chart'!$D$1:$J$36,6,FALSE),1)=" "," ",VLOOKUP($B26,'Indicator chart'!$D$1:$J$36,6,FALSE))</f>
        <v>231.7343379109507</v>
      </c>
      <c r="G26" s="38">
        <f>IF(LEFT(VLOOKUP($B26,'Indicator chart'!$D$1:$J$36,7,FALSE),1)=" "," ",VLOOKUP($B26,'Indicator chart'!$D$1:$J$36,7,FALSE))</f>
        <v>637.3287454370148</v>
      </c>
      <c r="H26" s="50">
        <f t="shared" si="0"/>
        <v>2</v>
      </c>
      <c r="I26" s="38">
        <v>132.6846466064453</v>
      </c>
      <c r="J26" s="38">
        <v>341.4119567871094</v>
      </c>
      <c r="K26" s="38">
        <v>423.02288818359375</v>
      </c>
      <c r="L26" s="38">
        <v>510.69342041015625</v>
      </c>
      <c r="M26" s="38">
        <v>931.9500732421875</v>
      </c>
      <c r="N26" s="80">
        <f>VLOOKUP('Hide - Control'!B$3,'All practice data'!A:CA,A26+29,FALSE)</f>
        <v>437.3739295908658</v>
      </c>
      <c r="O26" s="80">
        <f>VLOOKUP('Hide - Control'!C$3,'All practice data'!A:CA,A26+29,FALSE)</f>
        <v>405.57105879375996</v>
      </c>
      <c r="P26" s="38">
        <f>VLOOKUP('Hide - Control'!$B$4,'All practice data'!B:BC,A26+2,FALSE)</f>
        <v>2873</v>
      </c>
      <c r="Q26" s="38">
        <f>VLOOKUP('Hide - Control'!$B$4,'All practice data'!B:BC,3,FALSE)</f>
        <v>656875</v>
      </c>
      <c r="R26" s="38">
        <f t="shared" si="21"/>
        <v>421.5251539570783</v>
      </c>
      <c r="S26" s="38">
        <f t="shared" si="22"/>
        <v>453.6661090869644</v>
      </c>
      <c r="T26" s="53">
        <f t="shared" si="19"/>
        <v>931.9500732421875</v>
      </c>
      <c r="U26" s="51">
        <f t="shared" si="20"/>
        <v>132.6846466064453</v>
      </c>
      <c r="V26" s="7"/>
      <c r="W26" s="27">
        <f t="shared" si="2"/>
        <v>-85.904296875</v>
      </c>
      <c r="X26" s="27">
        <f t="shared" si="3"/>
        <v>931.9500732421875</v>
      </c>
      <c r="Y26" s="27">
        <f t="shared" si="4"/>
        <v>-85.904296875</v>
      </c>
      <c r="Z26" s="27">
        <f t="shared" si="5"/>
        <v>931.9500732421875</v>
      </c>
      <c r="AA26" s="32">
        <f t="shared" si="6"/>
        <v>0.2147546347482683</v>
      </c>
      <c r="AB26" s="33">
        <f t="shared" si="7"/>
        <v>0.4198206209134924</v>
      </c>
      <c r="AC26" s="33">
        <v>0.5</v>
      </c>
      <c r="AD26" s="33">
        <f t="shared" si="8"/>
        <v>0.5861326873474727</v>
      </c>
      <c r="AE26" s="33">
        <f t="shared" si="9"/>
        <v>1</v>
      </c>
      <c r="AF26" s="33">
        <f t="shared" si="10"/>
        <v>-999</v>
      </c>
      <c r="AG26" s="33">
        <f t="shared" si="11"/>
        <v>0.47544870716850035</v>
      </c>
      <c r="AH26" s="33">
        <f t="shared" si="12"/>
        <v>-999</v>
      </c>
      <c r="AI26" s="34">
        <f t="shared" si="13"/>
        <v>0.4828542963490695</v>
      </c>
      <c r="AJ26" s="4">
        <v>23.145964374695435</v>
      </c>
      <c r="AK26" s="32">
        <f t="shared" si="14"/>
        <v>-999</v>
      </c>
      <c r="AL26" s="34">
        <f t="shared" si="15"/>
        <v>-999</v>
      </c>
      <c r="AY26" s="103" t="s">
        <v>120</v>
      </c>
      <c r="AZ26" s="103" t="s">
        <v>447</v>
      </c>
      <c r="BA26" s="103" t="s">
        <v>374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61</v>
      </c>
      <c r="E27" s="38">
        <f>IF(LEFT(VLOOKUP($B27,'Indicator chart'!$D$1:$J$36,5,FALSE),1)=" "," ",VLOOKUP($B27,'Indicator chart'!$D$1:$J$36,5,FALSE))</f>
        <v>1428.2369468508546</v>
      </c>
      <c r="F27" s="38">
        <f>IF(LEFT(VLOOKUP($B27,'Indicator chart'!$D$1:$J$36,6,FALSE),1)=" "," ",VLOOKUP($B27,'Indicator chart'!$D$1:$J$36,6,FALSE))</f>
        <v>1092.423213991184</v>
      </c>
      <c r="G27" s="38">
        <f>IF(LEFT(VLOOKUP($B27,'Indicator chart'!$D$1:$J$36,7,FALSE),1)=" "," ",VLOOKUP($B27,'Indicator chart'!$D$1:$J$36,7,FALSE))</f>
        <v>1834.6688897692918</v>
      </c>
      <c r="H27" s="50">
        <f t="shared" si="0"/>
        <v>3</v>
      </c>
      <c r="I27" s="38">
        <v>476.4522705078125</v>
      </c>
      <c r="J27" s="38">
        <v>774.948486328125</v>
      </c>
      <c r="K27" s="38">
        <v>937.2993774414062</v>
      </c>
      <c r="L27" s="38">
        <v>1117.121337890625</v>
      </c>
      <c r="M27" s="38">
        <v>1777.6097412109375</v>
      </c>
      <c r="N27" s="80">
        <f>VLOOKUP('Hide - Control'!B$3,'All practice data'!A:CA,A27+29,FALSE)</f>
        <v>954.2150333016175</v>
      </c>
      <c r="O27" s="80">
        <f>VLOOKUP('Hide - Control'!C$3,'All practice data'!A:CA,A27+29,FALSE)</f>
        <v>1059.3522061277838</v>
      </c>
      <c r="P27" s="38">
        <f>VLOOKUP('Hide - Control'!$B$4,'All practice data'!B:BC,A27+2,FALSE)</f>
        <v>6268</v>
      </c>
      <c r="Q27" s="38">
        <f>VLOOKUP('Hide - Control'!$B$4,'All practice data'!B:BC,3,FALSE)</f>
        <v>656875</v>
      </c>
      <c r="R27" s="38">
        <f t="shared" si="21"/>
        <v>930.7363786088633</v>
      </c>
      <c r="S27" s="38">
        <f t="shared" si="22"/>
        <v>978.1361990355492</v>
      </c>
      <c r="T27" s="53">
        <f t="shared" si="19"/>
        <v>1777.6097412109375</v>
      </c>
      <c r="U27" s="51">
        <f t="shared" si="20"/>
        <v>476.4522705078125</v>
      </c>
      <c r="V27" s="7"/>
      <c r="W27" s="27">
        <f t="shared" si="2"/>
        <v>96.989013671875</v>
      </c>
      <c r="X27" s="27">
        <f t="shared" si="3"/>
        <v>1777.6097412109375</v>
      </c>
      <c r="Y27" s="27">
        <f t="shared" si="4"/>
        <v>96.989013671875</v>
      </c>
      <c r="Z27" s="27">
        <f t="shared" si="5"/>
        <v>1777.6097412109375</v>
      </c>
      <c r="AA27" s="32">
        <f t="shared" si="6"/>
        <v>0.2257875620703468</v>
      </c>
      <c r="AB27" s="33">
        <f t="shared" si="7"/>
        <v>0.4033982572909165</v>
      </c>
      <c r="AC27" s="33">
        <v>0.5</v>
      </c>
      <c r="AD27" s="33">
        <f t="shared" si="8"/>
        <v>0.6069973477671744</v>
      </c>
      <c r="AE27" s="33">
        <f t="shared" si="9"/>
        <v>1</v>
      </c>
      <c r="AF27" s="33">
        <f t="shared" si="10"/>
        <v>-999</v>
      </c>
      <c r="AG27" s="33">
        <f t="shared" si="11"/>
        <v>-999</v>
      </c>
      <c r="AH27" s="33">
        <f t="shared" si="12"/>
        <v>0.7921168121782775</v>
      </c>
      <c r="AI27" s="34">
        <f t="shared" si="13"/>
        <v>0.5726236602264806</v>
      </c>
      <c r="AJ27" s="4">
        <v>24.221959800077364</v>
      </c>
      <c r="AK27" s="32">
        <f t="shared" si="14"/>
        <v>-999</v>
      </c>
      <c r="AL27" s="34">
        <f t="shared" si="15"/>
        <v>0.7921168121782775</v>
      </c>
      <c r="AY27" s="103" t="s">
        <v>115</v>
      </c>
      <c r="AZ27" s="103" t="s">
        <v>446</v>
      </c>
      <c r="BA27" s="103" t="s">
        <v>554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25</v>
      </c>
      <c r="E28" s="38">
        <f>IF(LEFT(VLOOKUP($B28,'Indicator chart'!$D$1:$J$36,5,FALSE),1)=" "," ",VLOOKUP($B28,'Indicator chart'!$D$1:$J$36,5,FALSE))</f>
        <v>585.3430110044486</v>
      </c>
      <c r="F28" s="38">
        <f>IF(LEFT(VLOOKUP($B28,'Indicator chart'!$D$1:$J$36,6,FALSE),1)=" "," ",VLOOKUP($B28,'Indicator chart'!$D$1:$J$36,6,FALSE))</f>
        <v>378.6965866906649</v>
      </c>
      <c r="G28" s="38">
        <f>IF(LEFT(VLOOKUP($B28,'Indicator chart'!$D$1:$J$36,7,FALSE),1)=" "," ",VLOOKUP($B28,'Indicator chart'!$D$1:$J$36,7,FALSE))</f>
        <v>864.1227497767659</v>
      </c>
      <c r="H28" s="50">
        <f t="shared" si="0"/>
        <v>2</v>
      </c>
      <c r="I28" s="38">
        <v>155.9251708984375</v>
      </c>
      <c r="J28" s="38">
        <v>533.81982421875</v>
      </c>
      <c r="K28" s="38">
        <v>641.1356201171875</v>
      </c>
      <c r="L28" s="38">
        <v>775.9109497070312</v>
      </c>
      <c r="M28" s="38">
        <v>1485.36474609375</v>
      </c>
      <c r="N28" s="80">
        <f>VLOOKUP('Hide - Control'!B$3,'All practice data'!A:CA,A28+29,FALSE)</f>
        <v>677.7545195052331</v>
      </c>
      <c r="O28" s="80">
        <f>VLOOKUP('Hide - Control'!C$3,'All practice data'!A:CA,A28+29,FALSE)</f>
        <v>582.9390489900089</v>
      </c>
      <c r="P28" s="38">
        <f>VLOOKUP('Hide - Control'!$B$4,'All practice data'!B:BC,A28+2,FALSE)</f>
        <v>4452</v>
      </c>
      <c r="Q28" s="38">
        <f>VLOOKUP('Hide - Control'!$B$4,'All practice data'!B:BC,3,FALSE)</f>
        <v>656875</v>
      </c>
      <c r="R28" s="38">
        <f>100000*(P28*(1-1/(9*P28)-1.96/(3*SQRT(P28)))^3)/Q28</f>
        <v>657.9900039385241</v>
      </c>
      <c r="S28" s="38">
        <f>100000*((P28+1)*(1-1/(9*(P28+1))+1.96/(3*SQRT(P28+1)))^3)/Q28</f>
        <v>697.9618955378502</v>
      </c>
      <c r="T28" s="53">
        <f t="shared" si="19"/>
        <v>1485.36474609375</v>
      </c>
      <c r="U28" s="51">
        <f t="shared" si="20"/>
        <v>155.9251708984375</v>
      </c>
      <c r="V28" s="7"/>
      <c r="W28" s="27">
        <f t="shared" si="2"/>
        <v>-203.093505859375</v>
      </c>
      <c r="X28" s="27">
        <f t="shared" si="3"/>
        <v>1485.36474609375</v>
      </c>
      <c r="Y28" s="27">
        <f t="shared" si="4"/>
        <v>-203.093505859375</v>
      </c>
      <c r="Z28" s="27">
        <f t="shared" si="5"/>
        <v>1485.36474609375</v>
      </c>
      <c r="AA28" s="32">
        <f t="shared" si="6"/>
        <v>0.21263106525880485</v>
      </c>
      <c r="AB28" s="33">
        <f t="shared" si="7"/>
        <v>0.4364415461416947</v>
      </c>
      <c r="AC28" s="33">
        <v>0.5</v>
      </c>
      <c r="AD28" s="33">
        <f t="shared" si="8"/>
        <v>0.5798215350802677</v>
      </c>
      <c r="AE28" s="33">
        <f t="shared" si="9"/>
        <v>1</v>
      </c>
      <c r="AF28" s="33">
        <f t="shared" si="10"/>
        <v>-999</v>
      </c>
      <c r="AG28" s="33">
        <f t="shared" si="11"/>
        <v>0.46695647698235904</v>
      </c>
      <c r="AH28" s="33">
        <f t="shared" si="12"/>
        <v>-999</v>
      </c>
      <c r="AI28" s="34">
        <f t="shared" si="13"/>
        <v>0.4655327153870345</v>
      </c>
      <c r="AJ28" s="4">
        <v>25.297955225459287</v>
      </c>
      <c r="AK28" s="32">
        <f t="shared" si="14"/>
        <v>-999</v>
      </c>
      <c r="AL28" s="34">
        <f t="shared" si="15"/>
        <v>-999</v>
      </c>
      <c r="AY28" s="103" t="s">
        <v>241</v>
      </c>
      <c r="AZ28" s="103" t="s">
        <v>242</v>
      </c>
      <c r="BA28" s="103" t="s">
        <v>554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449</v>
      </c>
      <c r="BA29" s="103" t="s">
        <v>374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374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470</v>
      </c>
      <c r="BA31" s="103" t="s">
        <v>374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429</v>
      </c>
      <c r="BA32" s="103" t="s">
        <v>374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494</v>
      </c>
      <c r="BA33" s="103" t="s">
        <v>554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374</v>
      </c>
      <c r="BB34" s="10">
        <v>532801</v>
      </c>
      <c r="BE34" s="77"/>
      <c r="BF34" s="253"/>
    </row>
    <row r="35" spans="2:58" ht="12.75">
      <c r="B35" s="17" t="s">
        <v>41</v>
      </c>
      <c r="C35" s="18"/>
      <c r="H35" s="290" t="s">
        <v>662</v>
      </c>
      <c r="I35" s="291"/>
      <c r="Y35" s="43"/>
      <c r="Z35" s="44"/>
      <c r="AA35" s="44"/>
      <c r="AB35" s="43"/>
      <c r="AC35" s="43"/>
      <c r="AY35" s="103" t="s">
        <v>159</v>
      </c>
      <c r="AZ35" s="103" t="s">
        <v>462</v>
      </c>
      <c r="BA35" s="103" t="s">
        <v>374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451</v>
      </c>
      <c r="BA36" s="103" t="s">
        <v>374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468</v>
      </c>
      <c r="BA37" s="103" t="s">
        <v>374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374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374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374</v>
      </c>
      <c r="BB40" s="10">
        <v>714731</v>
      </c>
      <c r="BF40" s="252"/>
    </row>
    <row r="41" spans="1:58" ht="12.75">
      <c r="A41" s="3"/>
      <c r="B41" s="71"/>
      <c r="C41" s="3"/>
      <c r="T41" s="13"/>
      <c r="U41" s="2"/>
      <c r="W41" s="2"/>
      <c r="X41" s="10"/>
      <c r="Y41" s="44"/>
      <c r="Z41" s="44"/>
      <c r="AA41" s="44"/>
      <c r="AB41" s="44"/>
      <c r="AC41" s="44"/>
      <c r="AD41" s="2"/>
      <c r="AE41" s="2"/>
      <c r="AY41" s="103" t="s">
        <v>272</v>
      </c>
      <c r="AZ41" s="103" t="s">
        <v>495</v>
      </c>
      <c r="BA41" s="103" t="s">
        <v>554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374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492</v>
      </c>
      <c r="BA43" s="103" t="s">
        <v>374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480</v>
      </c>
      <c r="BA44" s="103" t="s">
        <v>374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374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471</v>
      </c>
      <c r="BA46" s="103" t="s">
        <v>554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374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475</v>
      </c>
      <c r="BA48" s="103" t="s">
        <v>554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486</v>
      </c>
      <c r="BA49" s="103" t="s">
        <v>554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374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452</v>
      </c>
      <c r="BA51" s="103" t="s">
        <v>374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374</v>
      </c>
      <c r="BB52" s="10">
        <v>611636</v>
      </c>
      <c r="BF52" s="252"/>
    </row>
    <row r="53" spans="1:58" ht="12.75">
      <c r="A53" s="3"/>
      <c r="B53" s="12"/>
      <c r="C53" s="3"/>
      <c r="I53" s="11"/>
      <c r="J53" s="11"/>
      <c r="K53" s="11"/>
      <c r="L53" s="11"/>
      <c r="S53" s="11"/>
      <c r="U53" s="2"/>
      <c r="X53" s="2"/>
      <c r="Y53" s="2"/>
      <c r="Z53" s="2"/>
      <c r="AA53" s="2"/>
      <c r="AB53" s="2"/>
      <c r="AY53" s="103" t="s">
        <v>244</v>
      </c>
      <c r="AZ53" s="103" t="s">
        <v>485</v>
      </c>
      <c r="BA53" s="103" t="s">
        <v>374</v>
      </c>
      <c r="BB53" s="10">
        <v>230998</v>
      </c>
      <c r="BF53" s="252"/>
    </row>
    <row r="54" spans="1:58" ht="12.75">
      <c r="A54" s="3"/>
      <c r="B54" s="12"/>
      <c r="C54" s="3"/>
      <c r="I54" s="11"/>
      <c r="J54" s="11"/>
      <c r="K54" s="11"/>
      <c r="L54" s="11"/>
      <c r="S54" s="11"/>
      <c r="U54" s="2"/>
      <c r="X54" s="2"/>
      <c r="Y54" s="2"/>
      <c r="Z54" s="2"/>
      <c r="AA54" s="2"/>
      <c r="AB54" s="2"/>
      <c r="AY54" s="103" t="s">
        <v>67</v>
      </c>
      <c r="AZ54" s="103" t="s">
        <v>426</v>
      </c>
      <c r="BA54" s="103" t="s">
        <v>374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472</v>
      </c>
      <c r="BA55" s="103" t="s">
        <v>374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442</v>
      </c>
      <c r="BA56" s="103" t="s">
        <v>374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487</v>
      </c>
      <c r="BA57" s="103" t="s">
        <v>374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432</v>
      </c>
      <c r="BA58" s="103" t="s">
        <v>374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374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374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476</v>
      </c>
      <c r="BA61" s="103" t="s">
        <v>554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554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465</v>
      </c>
      <c r="BA63" s="103" t="s">
        <v>374</v>
      </c>
      <c r="BB63" s="10">
        <v>318405</v>
      </c>
      <c r="BE63" s="70"/>
      <c r="BF63" s="239"/>
    </row>
    <row r="64" spans="1:58" ht="12.75">
      <c r="A64" s="3"/>
      <c r="B64" s="12"/>
      <c r="C64" s="3"/>
      <c r="I64" s="11"/>
      <c r="V64" s="3"/>
      <c r="AY64" s="103" t="s">
        <v>78</v>
      </c>
      <c r="AZ64" s="103" t="s">
        <v>433</v>
      </c>
      <c r="BA64" s="103" t="s">
        <v>554</v>
      </c>
      <c r="BB64" s="10">
        <v>181285</v>
      </c>
      <c r="BE64" s="70"/>
      <c r="BF64" s="241"/>
    </row>
    <row r="65" spans="1:58" ht="12.75">
      <c r="A65" s="3"/>
      <c r="B65" s="12"/>
      <c r="C65" s="3"/>
      <c r="AY65" s="103" t="s">
        <v>543</v>
      </c>
      <c r="AZ65" s="103" t="s">
        <v>544</v>
      </c>
      <c r="BA65" s="103" t="s">
        <v>374</v>
      </c>
      <c r="BB65" s="10">
        <v>1169302</v>
      </c>
      <c r="BE65" s="70"/>
      <c r="BF65" s="241"/>
    </row>
    <row r="66" spans="1:58" ht="12.75">
      <c r="A66" s="3"/>
      <c r="B66" s="12"/>
      <c r="C66" s="3"/>
      <c r="E66" s="2"/>
      <c r="F66" s="2"/>
      <c r="G66" s="2"/>
      <c r="V66" s="2"/>
      <c r="AY66" s="103" t="s">
        <v>200</v>
      </c>
      <c r="AZ66" s="103" t="s">
        <v>473</v>
      </c>
      <c r="BA66" s="103" t="s">
        <v>374</v>
      </c>
      <c r="BB66" s="10">
        <v>217916</v>
      </c>
      <c r="BE66" s="70"/>
      <c r="BF66" s="239"/>
    </row>
    <row r="67" spans="1:58" ht="12.75">
      <c r="A67" s="3"/>
      <c r="B67" s="12"/>
      <c r="C67" s="3"/>
      <c r="AY67" s="103" t="s">
        <v>69</v>
      </c>
      <c r="AZ67" s="103" t="s">
        <v>70</v>
      </c>
      <c r="BA67" s="103" t="s">
        <v>374</v>
      </c>
      <c r="BB67" s="10">
        <v>270842</v>
      </c>
      <c r="BE67" s="70"/>
      <c r="BF67" s="239"/>
    </row>
    <row r="68" spans="1:58" ht="12.75">
      <c r="A68" s="3"/>
      <c r="B68" s="12"/>
      <c r="C68" s="3"/>
      <c r="AY68" s="103" t="s">
        <v>109</v>
      </c>
      <c r="AZ68" s="103" t="s">
        <v>110</v>
      </c>
      <c r="BA68" s="103" t="s">
        <v>374</v>
      </c>
      <c r="BB68" s="10">
        <v>251613</v>
      </c>
      <c r="BF68" s="252"/>
    </row>
    <row r="69" spans="1:58" ht="12.75">
      <c r="A69" s="3"/>
      <c r="B69" s="12"/>
      <c r="C69" s="3"/>
      <c r="AY69" s="103" t="s">
        <v>209</v>
      </c>
      <c r="AZ69" s="103" t="s">
        <v>210</v>
      </c>
      <c r="BA69" s="103" t="s">
        <v>374</v>
      </c>
      <c r="BB69" s="10">
        <v>283547</v>
      </c>
      <c r="BE69" s="70"/>
      <c r="BF69" s="241"/>
    </row>
    <row r="70" spans="1:58" ht="12.75">
      <c r="A70" s="3"/>
      <c r="B70" s="12"/>
      <c r="C70" s="3"/>
      <c r="AY70" s="103" t="s">
        <v>275</v>
      </c>
      <c r="AZ70" s="103" t="s">
        <v>496</v>
      </c>
      <c r="BA70" s="103" t="s">
        <v>553</v>
      </c>
      <c r="BB70" s="10">
        <v>141474</v>
      </c>
      <c r="BE70" s="70"/>
      <c r="BF70" s="239"/>
    </row>
    <row r="71" spans="1:58" ht="12.75">
      <c r="A71" s="3"/>
      <c r="B71" s="12"/>
      <c r="C71" s="3"/>
      <c r="AY71" s="103" t="s">
        <v>127</v>
      </c>
      <c r="AZ71" s="103" t="s">
        <v>450</v>
      </c>
      <c r="BA71" s="103" t="s">
        <v>374</v>
      </c>
      <c r="BB71" s="10">
        <v>213326</v>
      </c>
      <c r="BE71" s="70"/>
      <c r="BF71" s="239"/>
    </row>
    <row r="72" spans="1:58" ht="12.75">
      <c r="A72" s="3"/>
      <c r="B72" s="12"/>
      <c r="C72" s="3"/>
      <c r="AY72" s="103" t="s">
        <v>136</v>
      </c>
      <c r="AZ72" s="103" t="s">
        <v>137</v>
      </c>
      <c r="BA72" s="103" t="s">
        <v>374</v>
      </c>
      <c r="BB72" s="10">
        <v>183220</v>
      </c>
      <c r="BE72" s="250"/>
      <c r="BF72" s="239"/>
    </row>
    <row r="73" spans="1:58" ht="12.75">
      <c r="A73" s="3"/>
      <c r="B73" s="12"/>
      <c r="C73" s="3"/>
      <c r="AY73" s="103" t="s">
        <v>64</v>
      </c>
      <c r="AZ73" s="103" t="s">
        <v>425</v>
      </c>
      <c r="BA73" s="103" t="s">
        <v>374</v>
      </c>
      <c r="BB73" s="10">
        <v>190143</v>
      </c>
      <c r="BE73" s="70"/>
      <c r="BF73" s="239"/>
    </row>
    <row r="74" spans="1:58" ht="12.75">
      <c r="A74" s="3"/>
      <c r="B74" s="12"/>
      <c r="C74" s="3"/>
      <c r="AY74" s="103" t="s">
        <v>165</v>
      </c>
      <c r="AZ74" s="103" t="s">
        <v>166</v>
      </c>
      <c r="BA74" s="103" t="s">
        <v>554</v>
      </c>
      <c r="BB74" s="10">
        <v>419928</v>
      </c>
      <c r="BE74" s="70"/>
      <c r="BF74" s="241"/>
    </row>
    <row r="75" spans="1:58" ht="12.75">
      <c r="A75" s="3"/>
      <c r="B75" s="12"/>
      <c r="C75" s="3"/>
      <c r="AY75" s="103" t="s">
        <v>113</v>
      </c>
      <c r="AZ75" s="103" t="s">
        <v>444</v>
      </c>
      <c r="BA75" s="103" t="s">
        <v>374</v>
      </c>
      <c r="BB75" s="10">
        <v>158106</v>
      </c>
      <c r="BE75" s="70"/>
      <c r="BF75" s="241"/>
    </row>
    <row r="76" spans="1:58" ht="12.75">
      <c r="A76" s="3"/>
      <c r="B76" s="12"/>
      <c r="C76" s="3"/>
      <c r="AY76" s="103" t="s">
        <v>140</v>
      </c>
      <c r="AZ76" s="103" t="s">
        <v>141</v>
      </c>
      <c r="BA76" s="103" t="s">
        <v>374</v>
      </c>
      <c r="BB76" s="10">
        <v>377807</v>
      </c>
      <c r="BE76" s="70"/>
      <c r="BF76" s="241"/>
    </row>
    <row r="77" spans="1:58" ht="12.75">
      <c r="A77" s="3"/>
      <c r="B77" s="12"/>
      <c r="C77" s="3"/>
      <c r="AY77" s="103" t="s">
        <v>163</v>
      </c>
      <c r="AZ77" s="103" t="s">
        <v>164</v>
      </c>
      <c r="BA77" s="103" t="s">
        <v>554</v>
      </c>
      <c r="BB77" s="10">
        <v>799634</v>
      </c>
      <c r="BE77" s="70"/>
      <c r="BF77" s="249"/>
    </row>
    <row r="78" spans="1:58" ht="12.75">
      <c r="A78" s="3"/>
      <c r="B78" s="12"/>
      <c r="C78" s="3"/>
      <c r="AY78" s="103" t="s">
        <v>224</v>
      </c>
      <c r="AZ78" s="103" t="s">
        <v>225</v>
      </c>
      <c r="BA78" s="103" t="s">
        <v>374</v>
      </c>
      <c r="BB78" s="10">
        <v>362638</v>
      </c>
      <c r="BE78" s="70"/>
      <c r="BF78" s="239"/>
    </row>
    <row r="79" spans="1:58" ht="12.75">
      <c r="A79" s="3"/>
      <c r="B79" s="12"/>
      <c r="C79" s="3"/>
      <c r="AY79" s="103" t="s">
        <v>223</v>
      </c>
      <c r="AZ79" s="103" t="s">
        <v>478</v>
      </c>
      <c r="BA79" s="103" t="s">
        <v>374</v>
      </c>
      <c r="BB79" s="10">
        <v>678998</v>
      </c>
      <c r="BF79" s="239"/>
    </row>
    <row r="80" spans="1:58" ht="12.75">
      <c r="A80" s="3"/>
      <c r="B80" s="12"/>
      <c r="C80" s="3"/>
      <c r="AY80" s="103" t="s">
        <v>144</v>
      </c>
      <c r="AZ80" s="103" t="s">
        <v>145</v>
      </c>
      <c r="BA80" s="103" t="s">
        <v>374</v>
      </c>
      <c r="BB80" s="10">
        <v>290986</v>
      </c>
      <c r="BF80" s="252"/>
    </row>
    <row r="81" spans="1:58" ht="12.75">
      <c r="A81" s="3"/>
      <c r="B81" s="12"/>
      <c r="C81" s="3"/>
      <c r="AY81" s="103" t="s">
        <v>178</v>
      </c>
      <c r="AZ81" s="103" t="s">
        <v>467</v>
      </c>
      <c r="BA81" s="103" t="s">
        <v>554</v>
      </c>
      <c r="BB81" s="10">
        <v>747976</v>
      </c>
      <c r="BF81" s="252"/>
    </row>
    <row r="82" spans="1:58" ht="12.75">
      <c r="A82" s="3"/>
      <c r="B82" s="12"/>
      <c r="C82" s="3"/>
      <c r="AY82" s="103" t="s">
        <v>193</v>
      </c>
      <c r="AZ82" s="103" t="s">
        <v>194</v>
      </c>
      <c r="BA82" s="103" t="s">
        <v>374</v>
      </c>
      <c r="BB82" s="10">
        <v>489140</v>
      </c>
      <c r="BF82" s="252"/>
    </row>
    <row r="83" spans="1:58" ht="12.75">
      <c r="A83" s="3"/>
      <c r="B83" s="12"/>
      <c r="C83" s="3"/>
      <c r="AY83" s="103" t="s">
        <v>98</v>
      </c>
      <c r="AZ83" s="103" t="s">
        <v>441</v>
      </c>
      <c r="BA83" s="103" t="s">
        <v>554</v>
      </c>
      <c r="BB83" s="10">
        <v>208442</v>
      </c>
      <c r="BE83" s="70"/>
      <c r="BF83" s="241"/>
    </row>
    <row r="84" spans="1:58" ht="12.75">
      <c r="A84" s="3"/>
      <c r="B84" s="12"/>
      <c r="C84" s="3"/>
      <c r="AY84" s="103" t="s">
        <v>203</v>
      </c>
      <c r="AZ84" s="103" t="s">
        <v>204</v>
      </c>
      <c r="BA84" s="103" t="s">
        <v>554</v>
      </c>
      <c r="BB84" s="10">
        <v>545543</v>
      </c>
      <c r="BE84" s="70"/>
      <c r="BF84" s="241"/>
    </row>
    <row r="85" spans="1:58" ht="12.75">
      <c r="A85" s="3"/>
      <c r="B85" s="12"/>
      <c r="C85" s="3"/>
      <c r="AY85" s="103" t="s">
        <v>135</v>
      </c>
      <c r="AZ85" s="103" t="s">
        <v>456</v>
      </c>
      <c r="BA85" s="103" t="s">
        <v>554</v>
      </c>
      <c r="BB85" s="10">
        <v>274067</v>
      </c>
      <c r="BE85" s="70"/>
      <c r="BF85" s="241"/>
    </row>
    <row r="86" spans="1:58" ht="12.75">
      <c r="A86" s="3"/>
      <c r="B86" s="12"/>
      <c r="C86" s="3"/>
      <c r="AY86" s="103" t="s">
        <v>251</v>
      </c>
      <c r="AZ86" s="103" t="s">
        <v>252</v>
      </c>
      <c r="BA86" s="103" t="s">
        <v>554</v>
      </c>
      <c r="BB86" s="10">
        <v>374861</v>
      </c>
      <c r="BE86" s="70"/>
      <c r="BF86" s="249"/>
    </row>
    <row r="87" spans="1:58" ht="12.75">
      <c r="A87" s="3"/>
      <c r="B87" s="12"/>
      <c r="C87" s="3"/>
      <c r="AY87" s="103" t="s">
        <v>132</v>
      </c>
      <c r="AZ87" s="103" t="s">
        <v>133</v>
      </c>
      <c r="BA87" s="103" t="s">
        <v>374</v>
      </c>
      <c r="BB87" s="10">
        <v>153833</v>
      </c>
      <c r="BE87" s="70"/>
      <c r="BF87" s="249"/>
    </row>
    <row r="88" spans="1:58" ht="12.75">
      <c r="A88" s="3"/>
      <c r="B88" s="12"/>
      <c r="C88" s="3"/>
      <c r="AY88" s="103" t="s">
        <v>79</v>
      </c>
      <c r="AZ88" s="103" t="s">
        <v>80</v>
      </c>
      <c r="BA88" s="103" t="s">
        <v>554</v>
      </c>
      <c r="BB88" s="10">
        <v>258492</v>
      </c>
      <c r="BE88" s="70"/>
      <c r="BF88" s="241"/>
    </row>
    <row r="89" spans="1:58" ht="12.75">
      <c r="A89" s="3"/>
      <c r="B89" s="12"/>
      <c r="C89" s="3"/>
      <c r="AY89" s="103" t="s">
        <v>81</v>
      </c>
      <c r="AZ89" s="103" t="s">
        <v>434</v>
      </c>
      <c r="BA89" s="103" t="s">
        <v>374</v>
      </c>
      <c r="BB89" s="10">
        <v>283085</v>
      </c>
      <c r="BE89" s="70"/>
      <c r="BF89" s="241"/>
    </row>
    <row r="90" spans="1:58" ht="12.75">
      <c r="A90" s="3"/>
      <c r="B90" s="12"/>
      <c r="C90" s="3"/>
      <c r="AY90" s="103" t="s">
        <v>76</v>
      </c>
      <c r="AZ90" s="103" t="s">
        <v>431</v>
      </c>
      <c r="BA90" s="103" t="s">
        <v>374</v>
      </c>
      <c r="BB90" s="10">
        <v>357346</v>
      </c>
      <c r="BE90" s="70"/>
      <c r="BF90" s="241"/>
    </row>
    <row r="91" spans="1:58" ht="12.75">
      <c r="A91" s="3"/>
      <c r="B91" s="12"/>
      <c r="C91" s="3"/>
      <c r="AY91" s="103" t="s">
        <v>243</v>
      </c>
      <c r="AZ91" s="103" t="s">
        <v>484</v>
      </c>
      <c r="BA91" s="103" t="s">
        <v>554</v>
      </c>
      <c r="BB91" s="10">
        <v>748575</v>
      </c>
      <c r="BE91" s="247"/>
      <c r="BF91" s="249"/>
    </row>
    <row r="92" spans="1:58" ht="12.75">
      <c r="A92" s="3"/>
      <c r="B92" s="12"/>
      <c r="C92" s="3"/>
      <c r="AY92" s="103" t="s">
        <v>249</v>
      </c>
      <c r="AZ92" s="103" t="s">
        <v>250</v>
      </c>
      <c r="BA92" s="103" t="s">
        <v>554</v>
      </c>
      <c r="BB92" s="10">
        <v>322673</v>
      </c>
      <c r="BE92" s="247"/>
      <c r="BF92" s="249"/>
    </row>
    <row r="93" spans="1:58" ht="12.75">
      <c r="A93" s="3"/>
      <c r="B93" s="12"/>
      <c r="C93" s="3"/>
      <c r="AY93" s="103" t="s">
        <v>58</v>
      </c>
      <c r="AZ93" s="103" t="s">
        <v>59</v>
      </c>
      <c r="BA93" s="103" t="s">
        <v>374</v>
      </c>
      <c r="BB93" s="10">
        <v>165284</v>
      </c>
      <c r="BF93" s="252"/>
    </row>
    <row r="94" spans="1:58" ht="12.75">
      <c r="A94" s="3"/>
      <c r="B94" s="12"/>
      <c r="C94" s="3"/>
      <c r="AY94" s="103" t="s">
        <v>186</v>
      </c>
      <c r="AZ94" s="103" t="s">
        <v>469</v>
      </c>
      <c r="BA94" s="103" t="s">
        <v>374</v>
      </c>
      <c r="BB94" s="10">
        <v>339272</v>
      </c>
      <c r="BE94" s="70"/>
      <c r="BF94" s="241"/>
    </row>
    <row r="95" spans="1:58" ht="12.75">
      <c r="A95" s="3"/>
      <c r="B95" s="12"/>
      <c r="C95" s="3"/>
      <c r="AY95" s="103" t="s">
        <v>86</v>
      </c>
      <c r="AZ95" s="103" t="s">
        <v>87</v>
      </c>
      <c r="BA95" s="103" t="s">
        <v>374</v>
      </c>
      <c r="BB95" s="10">
        <v>165642</v>
      </c>
      <c r="BE95" s="247"/>
      <c r="BF95" s="249"/>
    </row>
    <row r="96" spans="1:58" ht="12.75">
      <c r="A96" s="3"/>
      <c r="B96" s="12"/>
      <c r="C96" s="3"/>
      <c r="AY96" s="103" t="s">
        <v>157</v>
      </c>
      <c r="AZ96" s="103" t="s">
        <v>158</v>
      </c>
      <c r="BA96" s="103" t="s">
        <v>374</v>
      </c>
      <c r="BB96" s="10">
        <v>208351</v>
      </c>
      <c r="BE96" s="243"/>
      <c r="BF96" s="238"/>
    </row>
    <row r="97" spans="1:58" ht="12.75">
      <c r="A97" s="3"/>
      <c r="B97" s="12"/>
      <c r="C97" s="3"/>
      <c r="AY97" s="103" t="s">
        <v>231</v>
      </c>
      <c r="AZ97" s="103" t="s">
        <v>232</v>
      </c>
      <c r="BA97" s="103" t="s">
        <v>374</v>
      </c>
      <c r="BB97" s="10">
        <v>203178</v>
      </c>
      <c r="BE97" s="243"/>
      <c r="BF97" s="238"/>
    </row>
    <row r="98" spans="1:58" ht="12.75">
      <c r="A98" s="3"/>
      <c r="B98" s="12"/>
      <c r="C98" s="3"/>
      <c r="AY98" s="103" t="s">
        <v>82</v>
      </c>
      <c r="AZ98" s="103" t="s">
        <v>435</v>
      </c>
      <c r="BA98" s="103" t="s">
        <v>374</v>
      </c>
      <c r="BB98" s="10">
        <v>214052</v>
      </c>
      <c r="BE98" s="248"/>
      <c r="BF98" s="241"/>
    </row>
    <row r="99" spans="1:58" ht="12.75">
      <c r="A99" s="3"/>
      <c r="B99" s="12"/>
      <c r="C99" s="3"/>
      <c r="AY99" s="103" t="s">
        <v>205</v>
      </c>
      <c r="AZ99" s="103" t="s">
        <v>206</v>
      </c>
      <c r="BA99" s="103" t="s">
        <v>554</v>
      </c>
      <c r="BB99" s="10">
        <v>795503</v>
      </c>
      <c r="BE99" s="70"/>
      <c r="BF99" s="249"/>
    </row>
    <row r="100" spans="1:58" ht="12.75">
      <c r="A100" s="3"/>
      <c r="B100" s="12"/>
      <c r="C100" s="3"/>
      <c r="AY100" s="103" t="s">
        <v>226</v>
      </c>
      <c r="AZ100" s="103" t="s">
        <v>479</v>
      </c>
      <c r="BA100" s="103" t="s">
        <v>374</v>
      </c>
      <c r="BB100" s="10">
        <v>648340</v>
      </c>
      <c r="BE100" s="70"/>
      <c r="BF100" s="249"/>
    </row>
    <row r="101" spans="51:58" ht="12.75">
      <c r="AY101" s="103" t="s">
        <v>51</v>
      </c>
      <c r="AZ101" s="103" t="s">
        <v>52</v>
      </c>
      <c r="BA101" s="103" t="s">
        <v>374</v>
      </c>
      <c r="BB101" s="10">
        <v>320818</v>
      </c>
      <c r="BE101" s="237"/>
      <c r="BF101" s="238"/>
    </row>
    <row r="102" spans="51:58" ht="12.75">
      <c r="AY102" s="103" t="s">
        <v>88</v>
      </c>
      <c r="AZ102" s="103" t="s">
        <v>89</v>
      </c>
      <c r="BA102" s="103" t="s">
        <v>374</v>
      </c>
      <c r="BB102" s="10">
        <v>339920</v>
      </c>
      <c r="BE102" s="237"/>
      <c r="BF102" s="238"/>
    </row>
    <row r="103" spans="51:58" ht="12.75">
      <c r="AY103" s="103" t="s">
        <v>177</v>
      </c>
      <c r="AZ103" s="103" t="s">
        <v>466</v>
      </c>
      <c r="BA103" s="103" t="s">
        <v>374</v>
      </c>
      <c r="BB103" s="10">
        <v>656875</v>
      </c>
      <c r="BE103" s="70"/>
      <c r="BF103" s="239"/>
    </row>
    <row r="104" spans="51:58" ht="12.75">
      <c r="AY104" s="103" t="s">
        <v>114</v>
      </c>
      <c r="AZ104" s="103" t="s">
        <v>445</v>
      </c>
      <c r="BA104" s="103" t="s">
        <v>374</v>
      </c>
      <c r="BB104" s="10">
        <v>236592</v>
      </c>
      <c r="BF104" s="252"/>
    </row>
    <row r="105" spans="51:58" ht="12.75">
      <c r="AY105" s="103" t="s">
        <v>259</v>
      </c>
      <c r="AZ105" s="103" t="s">
        <v>488</v>
      </c>
      <c r="BA105" s="103" t="s">
        <v>554</v>
      </c>
      <c r="BB105" s="10">
        <v>671572</v>
      </c>
      <c r="BE105" s="237"/>
      <c r="BF105" s="238"/>
    </row>
    <row r="106" spans="51:58" ht="12.75">
      <c r="AY106" s="103" t="s">
        <v>239</v>
      </c>
      <c r="AZ106" s="103" t="s">
        <v>240</v>
      </c>
      <c r="BA106" s="103" t="s">
        <v>554</v>
      </c>
      <c r="BB106" s="10">
        <v>177882</v>
      </c>
      <c r="BF106" s="252"/>
    </row>
    <row r="107" spans="51:58" ht="12.75">
      <c r="AY107" s="103" t="s">
        <v>91</v>
      </c>
      <c r="AZ107" s="103" t="s">
        <v>438</v>
      </c>
      <c r="BA107" s="103" t="s">
        <v>374</v>
      </c>
      <c r="BB107" s="10">
        <v>274443</v>
      </c>
      <c r="BF107" s="252"/>
    </row>
    <row r="108" spans="51:58" ht="12.75">
      <c r="AY108" s="103" t="s">
        <v>95</v>
      </c>
      <c r="AZ108" s="103" t="s">
        <v>440</v>
      </c>
      <c r="BA108" s="103" t="s">
        <v>374</v>
      </c>
      <c r="BB108" s="10">
        <v>213174</v>
      </c>
      <c r="BE108" s="70"/>
      <c r="BF108" s="239"/>
    </row>
    <row r="109" spans="51:58" ht="12.75">
      <c r="AY109" s="103" t="s">
        <v>179</v>
      </c>
      <c r="AZ109" s="103" t="s">
        <v>180</v>
      </c>
      <c r="BA109" s="103" t="s">
        <v>374</v>
      </c>
      <c r="BB109" s="10">
        <v>278950</v>
      </c>
      <c r="BE109" s="237"/>
      <c r="BF109" s="238"/>
    </row>
    <row r="110" spans="51:58" ht="12.75">
      <c r="AY110" s="103" t="s">
        <v>273</v>
      </c>
      <c r="AZ110" s="103" t="s">
        <v>274</v>
      </c>
      <c r="BA110" s="103" t="s">
        <v>374</v>
      </c>
      <c r="BB110" s="10">
        <v>133304</v>
      </c>
      <c r="BE110" s="70"/>
      <c r="BF110" s="249"/>
    </row>
    <row r="111" spans="51:58" ht="12.75">
      <c r="AY111" s="103" t="s">
        <v>155</v>
      </c>
      <c r="AZ111" s="103" t="s">
        <v>460</v>
      </c>
      <c r="BA111" s="103" t="s">
        <v>374</v>
      </c>
      <c r="BB111" s="10">
        <v>197060</v>
      </c>
      <c r="BE111" s="70"/>
      <c r="BF111" s="239"/>
    </row>
    <row r="112" spans="51:58" ht="12.75">
      <c r="AY112" s="103" t="s">
        <v>100</v>
      </c>
      <c r="AZ112" s="103" t="s">
        <v>101</v>
      </c>
      <c r="BA112" s="103" t="s">
        <v>374</v>
      </c>
      <c r="BB112" s="10">
        <v>253140</v>
      </c>
      <c r="BE112" s="250"/>
      <c r="BF112" s="249"/>
    </row>
    <row r="113" spans="51:58" ht="12.75">
      <c r="AY113" s="103" t="s">
        <v>92</v>
      </c>
      <c r="AZ113" s="103" t="s">
        <v>93</v>
      </c>
      <c r="BA113" s="103" t="s">
        <v>374</v>
      </c>
      <c r="BB113" s="10">
        <v>240983</v>
      </c>
      <c r="BE113" s="70"/>
      <c r="BF113" s="241"/>
    </row>
    <row r="114" spans="51:58" ht="12.75">
      <c r="AY114" s="103" t="s">
        <v>228</v>
      </c>
      <c r="AZ114" s="103" t="s">
        <v>481</v>
      </c>
      <c r="BA114" s="103" t="s">
        <v>374</v>
      </c>
      <c r="BB114" s="10">
        <v>340451</v>
      </c>
      <c r="BF114" s="241"/>
    </row>
    <row r="115" spans="51:58" ht="12.75">
      <c r="AY115" s="103" t="s">
        <v>189</v>
      </c>
      <c r="AZ115" s="103" t="s">
        <v>190</v>
      </c>
      <c r="BA115" s="103" t="s">
        <v>374</v>
      </c>
      <c r="BB115" s="10">
        <v>280673</v>
      </c>
      <c r="BE115" s="248"/>
      <c r="BF115" s="241"/>
    </row>
    <row r="116" spans="51:58" ht="12.75">
      <c r="AY116" s="103" t="s">
        <v>169</v>
      </c>
      <c r="AZ116" s="103" t="s">
        <v>170</v>
      </c>
      <c r="BA116" s="103" t="s">
        <v>374</v>
      </c>
      <c r="BB116" s="10">
        <v>565874</v>
      </c>
      <c r="BE116" s="70"/>
      <c r="BF116" s="239"/>
    </row>
    <row r="117" spans="51:58" ht="12.75">
      <c r="AY117" s="103" t="s">
        <v>152</v>
      </c>
      <c r="AZ117" s="103" t="s">
        <v>459</v>
      </c>
      <c r="BA117" s="103" t="s">
        <v>554</v>
      </c>
      <c r="BB117" s="10">
        <v>295379</v>
      </c>
      <c r="BE117" s="237"/>
      <c r="BF117" s="238"/>
    </row>
    <row r="118" spans="51:58" ht="12.75">
      <c r="AY118" s="103" t="s">
        <v>56</v>
      </c>
      <c r="AZ118" s="103" t="s">
        <v>57</v>
      </c>
      <c r="BA118" s="103" t="s">
        <v>374</v>
      </c>
      <c r="BB118" s="10">
        <v>217094</v>
      </c>
      <c r="BE118" s="70"/>
      <c r="BF118" s="239"/>
    </row>
    <row r="119" spans="51:58" ht="12.75">
      <c r="AY119" s="103" t="s">
        <v>268</v>
      </c>
      <c r="AZ119" s="103" t="s">
        <v>491</v>
      </c>
      <c r="BA119" s="103" t="s">
        <v>374</v>
      </c>
      <c r="BB119" s="10">
        <v>538131</v>
      </c>
      <c r="BE119" s="70"/>
      <c r="BF119" s="239"/>
    </row>
    <row r="120" spans="51:58" ht="12.75">
      <c r="AY120" s="103" t="s">
        <v>150</v>
      </c>
      <c r="AZ120" s="103" t="s">
        <v>151</v>
      </c>
      <c r="BA120" s="103" t="s">
        <v>554</v>
      </c>
      <c r="BB120" s="10">
        <v>389725</v>
      </c>
      <c r="BE120" s="70"/>
      <c r="BF120" s="239"/>
    </row>
    <row r="121" spans="51:58" ht="12.75">
      <c r="AY121" s="103" t="s">
        <v>212</v>
      </c>
      <c r="AZ121" s="103" t="s">
        <v>213</v>
      </c>
      <c r="BA121" s="103" t="s">
        <v>554</v>
      </c>
      <c r="BB121" s="10">
        <v>356812</v>
      </c>
      <c r="BE121" s="237"/>
      <c r="BF121" s="238"/>
    </row>
    <row r="122" spans="51:58" ht="12.75">
      <c r="AY122" s="103" t="s">
        <v>60</v>
      </c>
      <c r="AZ122" s="103" t="s">
        <v>61</v>
      </c>
      <c r="BA122" s="103" t="s">
        <v>374</v>
      </c>
      <c r="BB122" s="10">
        <v>256321</v>
      </c>
      <c r="BE122" s="70"/>
      <c r="BF122" s="249"/>
    </row>
    <row r="123" spans="51:58" ht="12.75">
      <c r="AY123" s="103" t="s">
        <v>234</v>
      </c>
      <c r="AZ123" s="103" t="s">
        <v>483</v>
      </c>
      <c r="BA123" s="103" t="s">
        <v>554</v>
      </c>
      <c r="BB123" s="10">
        <v>615835</v>
      </c>
      <c r="BF123" s="252"/>
    </row>
    <row r="124" spans="51:58" ht="12.75">
      <c r="AY124" s="103" t="s">
        <v>130</v>
      </c>
      <c r="AZ124" s="103" t="s">
        <v>453</v>
      </c>
      <c r="BA124" s="103" t="s">
        <v>374</v>
      </c>
      <c r="BB124" s="10">
        <v>150179</v>
      </c>
      <c r="BF124" s="252"/>
    </row>
    <row r="125" spans="51:58" ht="12.75">
      <c r="AY125" s="103" t="s">
        <v>253</v>
      </c>
      <c r="AZ125" s="103" t="s">
        <v>254</v>
      </c>
      <c r="BA125" s="103" t="s">
        <v>374</v>
      </c>
      <c r="BB125" s="10">
        <v>420503</v>
      </c>
      <c r="BE125" s="70"/>
      <c r="BF125" s="249"/>
    </row>
    <row r="126" spans="51:58" ht="12.75">
      <c r="AY126" s="103" t="s">
        <v>134</v>
      </c>
      <c r="AZ126" s="103" t="s">
        <v>455</v>
      </c>
      <c r="BA126" s="103" t="s">
        <v>374</v>
      </c>
      <c r="BB126" s="10">
        <v>263936</v>
      </c>
      <c r="BE126" s="70"/>
      <c r="BF126" s="239"/>
    </row>
    <row r="127" spans="51:58" ht="12.75">
      <c r="AY127" s="103" t="s">
        <v>142</v>
      </c>
      <c r="AZ127" s="103" t="s">
        <v>143</v>
      </c>
      <c r="BA127" s="103" t="s">
        <v>374</v>
      </c>
      <c r="BB127" s="10">
        <v>308593</v>
      </c>
      <c r="BF127" s="252"/>
    </row>
    <row r="128" spans="51:58" ht="12.75">
      <c r="AY128" s="103" t="s">
        <v>94</v>
      </c>
      <c r="AZ128" s="103" t="s">
        <v>439</v>
      </c>
      <c r="BA128" s="103" t="s">
        <v>554</v>
      </c>
      <c r="BB128" s="10">
        <v>298190</v>
      </c>
      <c r="BE128" s="250"/>
      <c r="BF128" s="249"/>
    </row>
    <row r="129" spans="51:58" ht="12.75">
      <c r="AY129" s="103" t="s">
        <v>85</v>
      </c>
      <c r="AZ129" s="103" t="s">
        <v>436</v>
      </c>
      <c r="BA129" s="103" t="s">
        <v>374</v>
      </c>
      <c r="BB129" s="10">
        <v>191885</v>
      </c>
      <c r="BE129" s="70"/>
      <c r="BF129" s="249"/>
    </row>
    <row r="130" spans="51:58" ht="12.75">
      <c r="AY130" s="103" t="s">
        <v>233</v>
      </c>
      <c r="AZ130" s="103" t="s">
        <v>482</v>
      </c>
      <c r="BA130" s="103" t="s">
        <v>374</v>
      </c>
      <c r="BB130" s="10">
        <v>268223</v>
      </c>
      <c r="BE130" s="70"/>
      <c r="BF130" s="249"/>
    </row>
    <row r="131" spans="51:58" ht="12.75">
      <c r="AY131" s="103" t="s">
        <v>245</v>
      </c>
      <c r="AZ131" s="103" t="s">
        <v>246</v>
      </c>
      <c r="BA131" s="103" t="s">
        <v>554</v>
      </c>
      <c r="BB131" s="10">
        <v>616983</v>
      </c>
      <c r="BE131" s="247"/>
      <c r="BF131" s="249"/>
    </row>
    <row r="132" spans="51:58" ht="12.75">
      <c r="AY132" s="103" t="s">
        <v>131</v>
      </c>
      <c r="AZ132" s="103" t="s">
        <v>454</v>
      </c>
      <c r="BA132" s="103" t="s">
        <v>374</v>
      </c>
      <c r="BB132" s="10">
        <v>283991</v>
      </c>
      <c r="BE132" s="247"/>
      <c r="BF132" s="249"/>
    </row>
    <row r="133" spans="51:58" ht="12.75">
      <c r="AY133" s="103" t="s">
        <v>216</v>
      </c>
      <c r="AZ133" s="103" t="s">
        <v>217</v>
      </c>
      <c r="BA133" s="103" t="s">
        <v>374</v>
      </c>
      <c r="BB133" s="10">
        <v>1156805</v>
      </c>
      <c r="BE133" s="247"/>
      <c r="BF133" s="251"/>
    </row>
    <row r="134" spans="51:58" ht="12.75">
      <c r="AY134" s="103" t="s">
        <v>156</v>
      </c>
      <c r="AZ134" s="103" t="s">
        <v>461</v>
      </c>
      <c r="BA134" s="103" t="s">
        <v>374</v>
      </c>
      <c r="BB134" s="10">
        <v>390971</v>
      </c>
      <c r="BE134" s="243"/>
      <c r="BF134" s="238"/>
    </row>
    <row r="135" spans="51:58" ht="12.75">
      <c r="AY135" s="103" t="s">
        <v>121</v>
      </c>
      <c r="AZ135" s="103" t="s">
        <v>122</v>
      </c>
      <c r="BA135" s="103" t="s">
        <v>553</v>
      </c>
      <c r="BB135" s="10">
        <v>218182</v>
      </c>
      <c r="BE135" s="250"/>
      <c r="BF135" s="249"/>
    </row>
    <row r="136" spans="51:58" ht="12.75">
      <c r="AY136" s="103" t="s">
        <v>148</v>
      </c>
      <c r="AZ136" s="103" t="s">
        <v>457</v>
      </c>
      <c r="BA136" s="103" t="s">
        <v>554</v>
      </c>
      <c r="BB136" s="10">
        <v>236598</v>
      </c>
      <c r="BE136" s="237"/>
      <c r="BF136" s="238"/>
    </row>
    <row r="137" spans="51:58" ht="12.75">
      <c r="AY137" s="103" t="s">
        <v>160</v>
      </c>
      <c r="AZ137" s="103" t="s">
        <v>463</v>
      </c>
      <c r="BA137" s="103" t="s">
        <v>554</v>
      </c>
      <c r="BB137" s="10">
        <v>165993</v>
      </c>
      <c r="BF137" s="252"/>
    </row>
    <row r="138" spans="51:58" ht="12.75">
      <c r="AY138" s="103" t="s">
        <v>54</v>
      </c>
      <c r="AZ138" s="103" t="s">
        <v>55</v>
      </c>
      <c r="BA138" s="103" t="s">
        <v>374</v>
      </c>
      <c r="BB138" s="10">
        <v>145889</v>
      </c>
      <c r="BE138" s="70"/>
      <c r="BF138" s="239"/>
    </row>
    <row r="139" spans="51:58" ht="12.75">
      <c r="AY139" s="103" t="s">
        <v>75</v>
      </c>
      <c r="AZ139" s="103" t="s">
        <v>430</v>
      </c>
      <c r="BA139" s="103" t="s">
        <v>374</v>
      </c>
      <c r="BB139" s="10">
        <v>267393</v>
      </c>
      <c r="BE139" s="237"/>
      <c r="BF139" s="238"/>
    </row>
    <row r="140" spans="51:58" ht="12.75">
      <c r="AY140" s="103" t="s">
        <v>201</v>
      </c>
      <c r="AZ140" s="103" t="s">
        <v>202</v>
      </c>
      <c r="BA140" s="103" t="s">
        <v>554</v>
      </c>
      <c r="BB140" s="10">
        <v>232551</v>
      </c>
      <c r="BE140" s="70"/>
      <c r="BF140" s="239"/>
    </row>
    <row r="141" spans="51:58" ht="12.75">
      <c r="AY141" s="103" t="s">
        <v>167</v>
      </c>
      <c r="AZ141" s="103" t="s">
        <v>168</v>
      </c>
      <c r="BA141" s="103" t="s">
        <v>554</v>
      </c>
      <c r="BB141" s="10">
        <v>350958</v>
      </c>
      <c r="BE141" s="70"/>
      <c r="BF141" s="239"/>
    </row>
    <row r="142" spans="51:58" ht="12.75">
      <c r="AY142" s="103" t="s">
        <v>153</v>
      </c>
      <c r="AZ142" s="103" t="s">
        <v>154</v>
      </c>
      <c r="BA142" s="103" t="s">
        <v>374</v>
      </c>
      <c r="BB142" s="10">
        <v>265654</v>
      </c>
      <c r="BE142" s="70"/>
      <c r="BF142" s="241"/>
    </row>
    <row r="143" spans="51:58" ht="12.75">
      <c r="AY143" s="103" t="s">
        <v>181</v>
      </c>
      <c r="AZ143" s="103" t="s">
        <v>182</v>
      </c>
      <c r="BA143" s="103" t="s">
        <v>374</v>
      </c>
      <c r="BB143" s="10">
        <v>284466</v>
      </c>
      <c r="BE143" s="70"/>
      <c r="BF143" s="249"/>
    </row>
    <row r="144" spans="51:58" ht="12.75">
      <c r="AY144" s="103" t="s">
        <v>146</v>
      </c>
      <c r="AZ144" s="103" t="s">
        <v>147</v>
      </c>
      <c r="BA144" s="103" t="s">
        <v>374</v>
      </c>
      <c r="BB144" s="10">
        <v>319933</v>
      </c>
      <c r="BE144" s="70"/>
      <c r="BF144" s="241"/>
    </row>
    <row r="145" spans="51:58" ht="12.75">
      <c r="AY145" s="103" t="s">
        <v>111</v>
      </c>
      <c r="AZ145" s="103" t="s">
        <v>112</v>
      </c>
      <c r="BA145" s="103" t="s">
        <v>374</v>
      </c>
      <c r="BB145" s="10">
        <v>192336</v>
      </c>
      <c r="BE145" s="248"/>
      <c r="BF145" s="249"/>
    </row>
    <row r="146" spans="51:58" ht="12.75">
      <c r="AY146" s="103" t="s">
        <v>237</v>
      </c>
      <c r="AZ146" s="103" t="s">
        <v>238</v>
      </c>
      <c r="BA146" s="103" t="s">
        <v>374</v>
      </c>
      <c r="BB146" s="10">
        <v>548313</v>
      </c>
      <c r="BF146" s="252"/>
    </row>
    <row r="147" spans="51:58" ht="12.75">
      <c r="AY147" s="103" t="s">
        <v>247</v>
      </c>
      <c r="AZ147" s="103" t="s">
        <v>248</v>
      </c>
      <c r="BA147" s="103" t="s">
        <v>374</v>
      </c>
      <c r="BB147" s="10">
        <v>287229</v>
      </c>
      <c r="BF147" s="252"/>
    </row>
    <row r="148" spans="51:58" ht="12.75">
      <c r="AY148" s="103" t="s">
        <v>222</v>
      </c>
      <c r="AZ148" s="103" t="s">
        <v>477</v>
      </c>
      <c r="BA148" s="103" t="s">
        <v>554</v>
      </c>
      <c r="BB148" s="10">
        <v>707573</v>
      </c>
      <c r="BF148" s="252"/>
    </row>
    <row r="149" spans="51:58" ht="12.75">
      <c r="AY149" s="103" t="s">
        <v>218</v>
      </c>
      <c r="AZ149" s="103" t="s">
        <v>219</v>
      </c>
      <c r="BA149" s="103" t="s">
        <v>554</v>
      </c>
      <c r="BB149" s="10">
        <v>825533</v>
      </c>
      <c r="BE149" s="248"/>
      <c r="BF149" s="249"/>
    </row>
    <row r="150" spans="51:58" ht="12.75">
      <c r="AY150" s="103" t="s">
        <v>196</v>
      </c>
      <c r="AZ150" s="103" t="s">
        <v>197</v>
      </c>
      <c r="BA150" s="103" t="s">
        <v>374</v>
      </c>
      <c r="BB150" s="10">
        <v>259945</v>
      </c>
      <c r="BF150" s="252"/>
    </row>
    <row r="151" spans="51:58" ht="12.75">
      <c r="AY151" s="103" t="s">
        <v>138</v>
      </c>
      <c r="AZ151" s="103" t="s">
        <v>139</v>
      </c>
      <c r="BA151" s="103" t="s">
        <v>374</v>
      </c>
      <c r="BB151" s="10">
        <v>246573</v>
      </c>
      <c r="BF151" s="252"/>
    </row>
    <row r="152" spans="51:58" ht="12.75">
      <c r="AY152" s="103" t="s">
        <v>266</v>
      </c>
      <c r="AZ152" s="103" t="s">
        <v>267</v>
      </c>
      <c r="BA152" s="103" t="s">
        <v>554</v>
      </c>
      <c r="BB152" s="10">
        <v>462395</v>
      </c>
      <c r="BE152" s="250"/>
      <c r="BF152" s="239"/>
    </row>
    <row r="153" spans="51:58" ht="12.75">
      <c r="AY153" s="103" t="s">
        <v>191</v>
      </c>
      <c r="AZ153" s="103" t="s">
        <v>192</v>
      </c>
      <c r="BA153" s="103" t="s">
        <v>374</v>
      </c>
      <c r="BB153" s="10">
        <v>332176</v>
      </c>
      <c r="BF153" s="252"/>
    </row>
    <row r="154" spans="51:58" ht="12.75">
      <c r="AY154" s="103" t="s">
        <v>161</v>
      </c>
      <c r="AZ154" s="103" t="s">
        <v>464</v>
      </c>
      <c r="BA154" s="103" t="s">
        <v>374</v>
      </c>
      <c r="BB154" s="10">
        <v>246213</v>
      </c>
      <c r="BE154" s="237"/>
      <c r="BF154" s="238"/>
    </row>
    <row r="155" spans="51:58" ht="12.75">
      <c r="AY155" s="103" t="s">
        <v>235</v>
      </c>
      <c r="AZ155" s="103" t="s">
        <v>236</v>
      </c>
      <c r="BA155" s="103" t="s">
        <v>554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663</v>
      </c>
      <c r="B3" s="56" t="s">
        <v>466</v>
      </c>
      <c r="C3" s="56" t="s">
        <v>24</v>
      </c>
    </row>
    <row r="4" spans="1:2" ht="12.75">
      <c r="A4" s="76">
        <v>1</v>
      </c>
      <c r="B4" s="78" t="s">
        <v>177</v>
      </c>
    </row>
    <row r="5" ht="12.75">
      <c r="A5" s="280" t="s">
        <v>663</v>
      </c>
    </row>
    <row r="6" ht="12.75">
      <c r="A6" s="280" t="s">
        <v>594</v>
      </c>
    </row>
    <row r="7" ht="12.75">
      <c r="A7" s="280" t="s">
        <v>618</v>
      </c>
    </row>
    <row r="8" ht="12.75">
      <c r="A8" s="280" t="s">
        <v>596</v>
      </c>
    </row>
    <row r="9" ht="12.75">
      <c r="A9" s="280" t="s">
        <v>649</v>
      </c>
    </row>
    <row r="10" ht="12.75">
      <c r="A10" s="280" t="s">
        <v>634</v>
      </c>
    </row>
    <row r="11" ht="12.75">
      <c r="A11" s="280" t="s">
        <v>565</v>
      </c>
    </row>
    <row r="12" ht="12.75">
      <c r="A12" s="280" t="s">
        <v>569</v>
      </c>
    </row>
    <row r="13" ht="12.75">
      <c r="A13" s="280" t="s">
        <v>616</v>
      </c>
    </row>
    <row r="14" ht="12.75">
      <c r="A14" s="280" t="s">
        <v>582</v>
      </c>
    </row>
    <row r="15" ht="12.75">
      <c r="A15" s="280" t="s">
        <v>610</v>
      </c>
    </row>
    <row r="16" ht="12.75">
      <c r="A16" s="280" t="s">
        <v>648</v>
      </c>
    </row>
    <row r="17" ht="12.75">
      <c r="A17" s="280" t="s">
        <v>579</v>
      </c>
    </row>
    <row r="18" ht="12.75">
      <c r="A18" s="280" t="s">
        <v>562</v>
      </c>
    </row>
    <row r="19" ht="12.75">
      <c r="A19" s="280" t="s">
        <v>571</v>
      </c>
    </row>
    <row r="20" ht="12.75">
      <c r="A20" s="280" t="s">
        <v>592</v>
      </c>
    </row>
    <row r="21" ht="12.75">
      <c r="A21" s="280" t="s">
        <v>584</v>
      </c>
    </row>
    <row r="22" ht="12.75">
      <c r="A22" s="280" t="s">
        <v>639</v>
      </c>
    </row>
    <row r="23" ht="12.75">
      <c r="A23" s="280" t="s">
        <v>595</v>
      </c>
    </row>
    <row r="24" ht="12.75">
      <c r="A24" s="280" t="s">
        <v>643</v>
      </c>
    </row>
    <row r="25" ht="12.75">
      <c r="A25" s="280" t="s">
        <v>619</v>
      </c>
    </row>
    <row r="26" ht="12.75">
      <c r="A26" s="280" t="s">
        <v>578</v>
      </c>
    </row>
    <row r="27" ht="12.75">
      <c r="A27" s="280" t="s">
        <v>664</v>
      </c>
    </row>
    <row r="28" ht="12.75">
      <c r="A28" s="280" t="s">
        <v>573</v>
      </c>
    </row>
    <row r="29" ht="12.75">
      <c r="A29" s="280" t="s">
        <v>564</v>
      </c>
    </row>
    <row r="30" ht="12.75">
      <c r="A30" s="280" t="s">
        <v>598</v>
      </c>
    </row>
    <row r="31" ht="12.75">
      <c r="A31" s="280" t="s">
        <v>642</v>
      </c>
    </row>
    <row r="32" ht="12.75">
      <c r="A32" s="280" t="s">
        <v>570</v>
      </c>
    </row>
    <row r="33" ht="12.75">
      <c r="A33" s="280" t="s">
        <v>640</v>
      </c>
    </row>
    <row r="34" ht="12.75">
      <c r="A34" s="280" t="s">
        <v>631</v>
      </c>
    </row>
    <row r="35" ht="12.75">
      <c r="A35" s="280" t="s">
        <v>593</v>
      </c>
    </row>
    <row r="36" ht="12.75">
      <c r="A36" s="280" t="s">
        <v>612</v>
      </c>
    </row>
    <row r="37" ht="12.75">
      <c r="A37" s="280" t="s">
        <v>646</v>
      </c>
    </row>
    <row r="38" ht="12.75">
      <c r="A38" s="280" t="s">
        <v>590</v>
      </c>
    </row>
    <row r="39" ht="12.75">
      <c r="A39" s="280" t="s">
        <v>636</v>
      </c>
    </row>
    <row r="40" ht="12.75">
      <c r="A40" s="280" t="s">
        <v>638</v>
      </c>
    </row>
    <row r="41" ht="12.75">
      <c r="A41" s="280" t="s">
        <v>600</v>
      </c>
    </row>
    <row r="42" ht="12.75">
      <c r="A42" s="280" t="s">
        <v>635</v>
      </c>
    </row>
    <row r="43" ht="12.75">
      <c r="A43" s="280" t="s">
        <v>586</v>
      </c>
    </row>
    <row r="44" ht="12.75">
      <c r="A44" s="280" t="s">
        <v>652</v>
      </c>
    </row>
    <row r="45" ht="12.75">
      <c r="A45" s="280" t="s">
        <v>599</v>
      </c>
    </row>
    <row r="46" ht="12.75">
      <c r="A46" s="280" t="s">
        <v>576</v>
      </c>
    </row>
    <row r="47" ht="12.75">
      <c r="A47" s="280" t="s">
        <v>629</v>
      </c>
    </row>
    <row r="48" ht="12.75">
      <c r="A48" s="280" t="s">
        <v>622</v>
      </c>
    </row>
    <row r="49" ht="12.75">
      <c r="A49" s="280" t="s">
        <v>627</v>
      </c>
    </row>
    <row r="50" ht="12.75">
      <c r="A50" s="280" t="s">
        <v>611</v>
      </c>
    </row>
    <row r="51" ht="12.75">
      <c r="A51" s="280" t="s">
        <v>637</v>
      </c>
    </row>
    <row r="52" ht="12.75">
      <c r="A52" s="280" t="s">
        <v>572</v>
      </c>
    </row>
    <row r="53" ht="12.75">
      <c r="A53" s="280" t="s">
        <v>608</v>
      </c>
    </row>
    <row r="54" ht="12.75">
      <c r="A54" s="280" t="s">
        <v>606</v>
      </c>
    </row>
    <row r="55" ht="12.75">
      <c r="A55" s="280" t="s">
        <v>620</v>
      </c>
    </row>
    <row r="56" ht="12.75">
      <c r="A56" s="280" t="s">
        <v>641</v>
      </c>
    </row>
    <row r="57" ht="12.75">
      <c r="A57" s="280" t="s">
        <v>607</v>
      </c>
    </row>
    <row r="58" ht="12.75">
      <c r="A58" s="280" t="s">
        <v>568</v>
      </c>
    </row>
    <row r="59" ht="12.75">
      <c r="A59" s="280" t="s">
        <v>588</v>
      </c>
    </row>
    <row r="60" ht="12.75">
      <c r="A60" s="280" t="s">
        <v>561</v>
      </c>
    </row>
    <row r="61" ht="12.75">
      <c r="A61" s="280" t="s">
        <v>615</v>
      </c>
    </row>
    <row r="62" ht="12.75">
      <c r="A62" s="280" t="s">
        <v>647</v>
      </c>
    </row>
    <row r="63" ht="12.75">
      <c r="A63" s="280" t="s">
        <v>613</v>
      </c>
    </row>
    <row r="64" ht="12.75">
      <c r="A64" s="280" t="s">
        <v>591</v>
      </c>
    </row>
    <row r="65" ht="12.75">
      <c r="A65" s="280" t="s">
        <v>603</v>
      </c>
    </row>
    <row r="66" ht="12.75">
      <c r="A66" s="280" t="s">
        <v>605</v>
      </c>
    </row>
    <row r="67" ht="12.75">
      <c r="A67" s="280" t="s">
        <v>581</v>
      </c>
    </row>
    <row r="68" ht="12.75">
      <c r="A68" s="280" t="s">
        <v>597</v>
      </c>
    </row>
    <row r="69" ht="12.75">
      <c r="A69" s="280" t="s">
        <v>632</v>
      </c>
    </row>
    <row r="70" ht="12.75">
      <c r="A70" s="280" t="s">
        <v>583</v>
      </c>
    </row>
    <row r="71" ht="12.75">
      <c r="A71" s="280" t="s">
        <v>623</v>
      </c>
    </row>
    <row r="72" ht="12.75">
      <c r="A72" s="280" t="s">
        <v>602</v>
      </c>
    </row>
    <row r="73" ht="12.75">
      <c r="A73" s="280" t="s">
        <v>625</v>
      </c>
    </row>
    <row r="74" ht="12.75">
      <c r="A74" s="280" t="s">
        <v>587</v>
      </c>
    </row>
    <row r="75" ht="12.75">
      <c r="A75" s="280" t="s">
        <v>604</v>
      </c>
    </row>
    <row r="76" ht="12.75">
      <c r="A76" s="280" t="s">
        <v>574</v>
      </c>
    </row>
    <row r="77" ht="12.75">
      <c r="A77" s="280" t="s">
        <v>585</v>
      </c>
    </row>
    <row r="78" ht="12.75">
      <c r="A78" s="280" t="s">
        <v>645</v>
      </c>
    </row>
    <row r="79" ht="12.75">
      <c r="A79" s="280" t="s">
        <v>633</v>
      </c>
    </row>
    <row r="80" ht="12.75">
      <c r="A80" s="280" t="s">
        <v>609</v>
      </c>
    </row>
    <row r="81" ht="12.75">
      <c r="A81" s="280" t="s">
        <v>601</v>
      </c>
    </row>
    <row r="82" ht="12.75">
      <c r="A82" s="280" t="s">
        <v>577</v>
      </c>
    </row>
    <row r="83" ht="12.75">
      <c r="A83" s="280" t="s">
        <v>651</v>
      </c>
    </row>
    <row r="84" ht="12.75">
      <c r="A84" s="280" t="s">
        <v>621</v>
      </c>
    </row>
    <row r="85" ht="12.75">
      <c r="A85" s="280" t="s">
        <v>575</v>
      </c>
    </row>
    <row r="86" ht="12.75">
      <c r="A86" s="280" t="s">
        <v>614</v>
      </c>
    </row>
    <row r="87" ht="12.75">
      <c r="A87" s="280" t="s">
        <v>628</v>
      </c>
    </row>
    <row r="88" ht="12.75">
      <c r="A88" s="280" t="s">
        <v>589</v>
      </c>
    </row>
    <row r="89" ht="12.75">
      <c r="A89" s="280" t="s">
        <v>624</v>
      </c>
    </row>
    <row r="90" ht="12.75">
      <c r="A90" s="280" t="s">
        <v>626</v>
      </c>
    </row>
    <row r="91" ht="12.75">
      <c r="A91" s="280" t="s">
        <v>630</v>
      </c>
    </row>
    <row r="92" ht="12.75">
      <c r="A92" s="280" t="s">
        <v>563</v>
      </c>
    </row>
    <row r="93" ht="12.75">
      <c r="A93" s="280" t="s">
        <v>644</v>
      </c>
    </row>
    <row r="94" ht="12.75">
      <c r="A94" s="280" t="s">
        <v>580</v>
      </c>
    </row>
    <row r="95" ht="12.75">
      <c r="A95" s="280" t="s">
        <v>617</v>
      </c>
    </row>
    <row r="96" ht="12.75">
      <c r="A96" s="280" t="s">
        <v>566</v>
      </c>
    </row>
    <row r="97" ht="12.75">
      <c r="A97" s="280" t="s">
        <v>567</v>
      </c>
    </row>
    <row r="98" ht="12.75">
      <c r="A98" s="280" t="s">
        <v>650</v>
      </c>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