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<sst xmlns="http://schemas.openxmlformats.org/spreadsheetml/2006/main" count="1651" uniqueCount="600">
  <si>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</si>
  <si>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</si>
  <si>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</si>
  <si>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</si>
  <si>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</si>
  <si>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</si>
  <si>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</si>
  <si>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</si>
  <si>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</si>
  <si>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</si>
  <si>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</si>
  <si>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</si>
  <si>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</si>
  <si>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</si>
  <si>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</si>
  <si>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</si>
  <si>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</si>
  <si>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</si>
  <si>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</si>
  <si>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</si>
  <si>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</si>
  <si>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</si>
  <si>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</si>
  <si>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</si>
  <si>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</si>
  <si>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</si>
  <si>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</si>
  <si>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</si>
  <si>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</si>
  <si>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</si>
  <si>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</si>
  <si>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</si>
  <si>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</si>
  <si>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</si>
  <si>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</si>
  <si>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</si>
  <si>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</si>
  <si>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</si>
  <si>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</si>
  <si>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</si>
  <si>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</si>
  <si>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</si>
  <si>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</si>
  <si>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</si>
  <si>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</si>
  <si>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</si>
  <si>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</si>
  <si>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</si>
  <si>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</si>
  <si>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</si>
  <si>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</si>
  <si>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</si>
  <si>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</si>
  <si>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</si>
  <si>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</si>
  <si>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</si>
  <si>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</si>
  <si>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</si>
  <si>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</si>
  <si>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</si>
  <si>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</si>
  <si>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</si>
  <si>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</si>
  <si>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</si>
  <si>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</si>
  <si>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</si>
  <si>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</si>
  <si>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</si>
  <si>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</si>
  <si>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</si>
  <si>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</si>
  <si>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</si>
  <si>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</si>
  <si>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</si>
  <si>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</si>
  <si>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</si>
  <si>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</si>
  <si>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</si>
  <si>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</si>
  <si>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</si>
  <si>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</si>
  <si>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</si>
  <si>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</si>
  <si>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</si>
  <si>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</si>
  <si>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</si>
  <si>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</si>
  <si>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</si>
  <si>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</si>
  <si>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</si>
  <si>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</si>
  <si>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</si>
  <si>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</si>
  <si>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</si>
  <si>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</si>
  <si>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</si>
  <si>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</si>
  <si>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</si>
  <si>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</si>
  <si>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</si>
  <si>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</si>
  <si>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</si>
  <si>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</si>
  <si>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</si>
  <si>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</si>
  <si>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</si>
  <si>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</si>
  <si>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</si>
  <si>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</si>
  <si>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</si>
  <si>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</si>
  <si>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</si>
  <si>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</si>
  <si>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</si>
  <si>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</si>
  <si>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</si>
  <si>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</si>
  <si>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</si>
  <si>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</si>
  <si>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</si>
  <si>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</si>
  <si>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</si>
  <si>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</si>
  <si>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</si>
  <si>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</si>
  <si>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</si>
  <si>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</si>
  <si>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</si>
  <si>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</si>
  <si>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</si>
  <si>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</si>
  <si>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</si>
  <si>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</si>
  <si>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</si>
  <si>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</si>
  <si>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</si>
  <si>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</si>
  <si>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</si>
  <si>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</si>
  <si>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</si>
  <si>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</si>
  <si>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</si>
  <si>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</si>
  <si>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</si>
  <si>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</si>
  <si>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</si>
  <si>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</si>
  <si>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</si>
  <si>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</si>
  <si>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</si>
  <si>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</si>
  <si>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</si>
  <si>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</si>
  <si>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</si>
  <si>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</si>
  <si>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</si>
  <si>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</si>
  <si>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</si>
  <si>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</si>
  <si>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</si>
  <si>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</si>
  <si>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</si>
  <si>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</si>
  <si>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</si>
  <si>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</si>
  <si>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</si>
  <si>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</si>
  <si>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</si>
  <si>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</si>
  <si>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</si>
  <si>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</si>
  <si>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</si>
  <si>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</si>
  <si>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</si>
  <si>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</si>
  <si>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</si>
  <si>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</si>
  <si>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</si>
  <si>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</si>
  <si>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</si>
  <si>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</si>
  <si>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</si>
  <si>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</si>
  <si>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</si>
  <si>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</si>
  <si>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</si>
  <si>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</si>
  <si>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</si>
  <si>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</si>
  <si>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</si>
  <si>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</si>
  <si>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</si>
  <si>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</si>
  <si>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</si>
  <si>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</si>
  <si>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</si>
  <si>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</si>
  <si>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</si>
  <si>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</si>
  <si>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</si>
  <si>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</si>
  <si>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</si>
  <si>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</si>
  <si>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</si>
  <si>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</si>
  <si>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</si>
  <si>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</si>
  <si>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</si>
  <si>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</si>
  <si>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</si>
  <si>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</si>
  <si>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</si>
  <si>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</si>
  <si>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</si>
  <si>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</si>
  <si>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</si>
  <si>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</si>
  <si>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</si>
  <si>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</si>
  <si>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</si>
  <si>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</si>
  <si>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</si>
  <si>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</si>
  <si>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</si>
  <si>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</si>
  <si>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</si>
  <si>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</si>
  <si>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</si>
  <si>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</si>
  <si>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</si>
  <si>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</si>
  <si>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</si>
  <si>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</si>
  <si>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</si>
  <si>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</si>
  <si>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</si>
  <si>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</si>
  <si>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</si>
  <si>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</si>
  <si>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</si>
  <si>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</si>
  <si>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</si>
  <si>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</si>
  <si>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</si>
  <si>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</si>
  <si>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</si>
  <si>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</si>
  <si>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</si>
  <si>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</si>
  <si>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</si>
  <si>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</si>
  <si>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</si>
  <si>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</si>
  <si>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</si>
  <si>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</si>
  <si>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</si>
  <si>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</si>
  <si>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</si>
  <si>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</si>
  <si>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</si>
  <si>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</si>
  <si>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</si>
  <si>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</si>
  <si>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</si>
  <si>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</si>
  <si>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</si>
  <si>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</si>
  <si>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</si>
  <si>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</si>
  <si>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</si>
  <si>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</si>
  <si>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</si>
  <si>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</si>
  <si>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</si>
  <si>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</si>
  <si>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</si>
  <si>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</si>
  <si>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</si>
  <si>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</si>
  <si>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</si>
  <si>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</si>
  <si>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</si>
  <si>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N85001</t>
  </si>
  <si>
    <t>N85002</t>
  </si>
  <si>
    <t>N85003</t>
  </si>
  <si>
    <t>N85004</t>
  </si>
  <si>
    <t>N85005</t>
  </si>
  <si>
    <t>N85006</t>
  </si>
  <si>
    <t>N85007</t>
  </si>
  <si>
    <t>N85008</t>
  </si>
  <si>
    <t>N85009</t>
  </si>
  <si>
    <t>N85011</t>
  </si>
  <si>
    <t>N85012</t>
  </si>
  <si>
    <t>N85013</t>
  </si>
  <si>
    <t>N85014</t>
  </si>
  <si>
    <t>N85015</t>
  </si>
  <si>
    <t>N85016</t>
  </si>
  <si>
    <t>N85017</t>
  </si>
  <si>
    <t>N85018</t>
  </si>
  <si>
    <t>N85019</t>
  </si>
  <si>
    <t>N85020</t>
  </si>
  <si>
    <t>N85021</t>
  </si>
  <si>
    <t>N85022</t>
  </si>
  <si>
    <t>N85023</t>
  </si>
  <si>
    <t>N85024</t>
  </si>
  <si>
    <t>N85025</t>
  </si>
  <si>
    <t>N85027</t>
  </si>
  <si>
    <t>N85028</t>
  </si>
  <si>
    <t>N85029</t>
  </si>
  <si>
    <t>N85031</t>
  </si>
  <si>
    <t>N85032</t>
  </si>
  <si>
    <t>N85034</t>
  </si>
  <si>
    <t>N85037</t>
  </si>
  <si>
    <t>N85038</t>
  </si>
  <si>
    <t>N85040</t>
  </si>
  <si>
    <t>N85041</t>
  </si>
  <si>
    <t>N85044</t>
  </si>
  <si>
    <t>N85046</t>
  </si>
  <si>
    <t>N85047</t>
  </si>
  <si>
    <t>N85048</t>
  </si>
  <si>
    <t>N85051</t>
  </si>
  <si>
    <t>N85052</t>
  </si>
  <si>
    <t>N85053</t>
  </si>
  <si>
    <t>N85054</t>
  </si>
  <si>
    <t>N85056</t>
  </si>
  <si>
    <t>N85057</t>
  </si>
  <si>
    <t>N85058</t>
  </si>
  <si>
    <t>N85059</t>
  </si>
  <si>
    <t>N85614</t>
  </si>
  <si>
    <t>N85616</t>
  </si>
  <si>
    <t>N85617</t>
  </si>
  <si>
    <t>N85619</t>
  </si>
  <si>
    <t>N85620</t>
  </si>
  <si>
    <t>N85625</t>
  </si>
  <si>
    <t>N85629</t>
  </si>
  <si>
    <t>N85633</t>
  </si>
  <si>
    <t>N85634</t>
  </si>
  <si>
    <t>N85635</t>
  </si>
  <si>
    <t>N85640</t>
  </si>
  <si>
    <t>N85643</t>
  </si>
  <si>
    <t>N85648</t>
  </si>
  <si>
    <t>5CC</t>
  </si>
  <si>
    <t>Y02162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</si>
  <si>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</si>
  <si>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</si>
  <si>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</si>
  <si>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</si>
  <si>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</si>
  <si>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</si>
  <si>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</si>
  <si>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</si>
  <si>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</si>
  <si>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</si>
  <si>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</si>
  <si>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</si>
  <si>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</si>
  <si>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</si>
  <si>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</si>
  <si>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</si>
  <si>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</si>
  <si>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</si>
  <si>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</si>
  <si>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</si>
  <si>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</si>
  <si>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</si>
  <si>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</si>
  <si>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</si>
  <si>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</si>
  <si>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</si>
  <si>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</si>
  <si>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</si>
  <si>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</si>
  <si>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</si>
  <si>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</si>
  <si>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</si>
  <si>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</si>
  <si>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</si>
  <si>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</si>
  <si>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</si>
  <si>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</si>
  <si>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</si>
  <si>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</si>
  <si>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</si>
  <si>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</si>
  <si>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</si>
  <si>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</si>
  <si>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</si>
  <si>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</si>
  <si>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</si>
  <si>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</si>
  <si>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</si>
  <si>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</si>
  <si>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</si>
  <si>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</si>
  <si>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</si>
  <si>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</si>
  <si>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</si>
  <si>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</si>
  <si>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</si>
  <si>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</si>
  <si>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</si>
  <si>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</si>
  <si>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</si>
  <si>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</si>
  <si>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</si>
  <si>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</si>
  <si>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</si>
  <si>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</si>
  <si>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</si>
  <si>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</si>
  <si>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</si>
  <si>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</si>
  <si>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</si>
  <si>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</si>
  <si>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</si>
  <si>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</si>
  <si>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</si>
  <si>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</si>
  <si>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</si>
  <si>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</si>
  <si>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</si>
  <si>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</si>
  <si>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</si>
  <si>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</si>
  <si>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</si>
  <si>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</si>
  <si>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</si>
  <si>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</si>
  <si>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</si>
  <si>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</si>
  <si>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</si>
  <si>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</si>
  <si>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</si>
  <si>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</si>
  <si>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</si>
  <si>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</si>
  <si>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</si>
  <si>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</si>
  <si>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</si>
  <si>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</si>
  <si>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</si>
  <si>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</si>
  <si>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</si>
  <si>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</si>
  <si>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</si>
  <si>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</si>
  <si>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</si>
  <si>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</si>
  <si>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</si>
  <si>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</si>
  <si>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</si>
  <si>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</si>
  <si>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</si>
  <si>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</si>
  <si>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</si>
  <si>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</si>
  <si>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</si>
  <si>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</si>
  <si>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</si>
  <si>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</si>
  <si>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</si>
  <si>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</si>
  <si>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</si>
  <si>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</si>
  <si>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</si>
  <si>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</si>
  <si>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</si>
  <si>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</si>
  <si>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</si>
  <si>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</si>
  <si>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</si>
  <si>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</si>
  <si>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</si>
  <si>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</si>
  <si>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</si>
  <si>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</si>
  <si>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</si>
  <si>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</si>
  <si>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</si>
  <si>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</si>
  <si>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</si>
  <si>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</si>
  <si>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</si>
  <si>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</si>
  <si>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</si>
  <si>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</si>
  <si>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</si>
  <si>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</si>
  <si>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</si>
  <si>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</si>
  <si>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</si>
  <si>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</si>
  <si>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</si>
  <si>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</si>
  <si>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</si>
  <si>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</si>
  <si>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</si>
  <si>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</si>
  <si>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</si>
  <si>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</si>
  <si>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</si>
  <si>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</si>
  <si>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</si>
  <si>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</si>
  <si>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</si>
  <si>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</si>
  <si>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</si>
  <si>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</si>
  <si>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</si>
  <si>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</si>
  <si>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</si>
  <si>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</si>
  <si>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</si>
  <si>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</si>
  <si>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</si>
  <si>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</si>
  <si>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</si>
  <si>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</si>
  <si>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</si>
  <si>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</si>
  <si>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</si>
  <si>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</si>
  <si>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</si>
  <si>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</si>
  <si>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</si>
  <si>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</si>
  <si>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</si>
  <si>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</si>
  <si>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(N85002) WEST KIRBY HEALTH CENTRE WELLS SM</t>
  </si>
  <si>
    <t>(N85003) ALLPORT MEDICAL CENTRE WALTON H</t>
  </si>
  <si>
    <t>(N85014) TOWNFIELD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</si>
  <si>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</si>
  <si>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</si>
  <si>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</si>
  <si>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</si>
  <si>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</si>
  <si>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</si>
  <si>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</si>
  <si>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</si>
  <si>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</si>
  <si>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</si>
  <si>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(N85001) SANDSTONE MEDICAL CENTRE, ALAM NM</t>
  </si>
  <si>
    <t>(N85004) WEST KIRBY HEALTH CENTRE, SIDA EC</t>
  </si>
  <si>
    <t>(N85005) EASTHAM GROUP PRACTICE, BUSH KJ</t>
  </si>
  <si>
    <t>(N85006) CIVIC MEDICAL CENTRE, PILLOW SJ</t>
  </si>
  <si>
    <t>(N85008) WEST WIRRAL GROUP PRACTICE, JOHNSTON AR</t>
  </si>
  <si>
    <t>(N85009) COMMONFIELD RD SURGERY, BRODBIN C</t>
  </si>
  <si>
    <t>(N85011) WEST KIRBY HEALTH CENTRE, SMETHURST ME</t>
  </si>
  <si>
    <t>(N85012) ST. GEORGES MEDICAL CENTRE, RUDNICK S</t>
  </si>
  <si>
    <t>(N85013) UPTON GROUP PRACTICE, LARKIN PS</t>
  </si>
  <si>
    <t>(N85015) DEVANEY MEDICAL CENTRE, BATES JW</t>
  </si>
  <si>
    <t>(N85016) RIVERSIDE SURGERY, WILLIAMS RM</t>
  </si>
  <si>
    <t>(N85017) CAVENDISH MEDICAL CENTRE, MELVILLE JA</t>
  </si>
  <si>
    <t>(N85018) VILLA MEDICAL CENTRE, COOKSON NMP</t>
  </si>
  <si>
    <t>(N85019) WHETSTONE LANE MEDICAL CENTRE, PLEASANCE CM</t>
  </si>
  <si>
    <t>(N85020) VICTORIA PARK HEALTH CENTRE, FREEMAN MJ</t>
  </si>
  <si>
    <t>(N85021) HAMILTON MEDICAL CENTRE, JAYAPRAKASAN CA</t>
  </si>
  <si>
    <t>(N85022) HOLMLANDS MEDICAL CENTRE, JOSHI VK</t>
  </si>
  <si>
    <t>(N85023) MANOR HEALTH CENTRE, MAGENNIS SPM</t>
  </si>
  <si>
    <t>(N85024) SOMERVILLE MEDICAL CENTRE, SMYE RA</t>
  </si>
  <si>
    <t>(N85025) ST. HILARY BROW GROUP PRACTICE, KINGSLAND JP</t>
  </si>
  <si>
    <t>(N85027) CENTRAL PARK MEDICAL CENTRE, MUKHERJEE SK</t>
  </si>
  <si>
    <t>(N85028) MORETON CROSS GROUP PRACTICE, ALMAN R</t>
  </si>
  <si>
    <t>(N85029) FENDER WAY HEALTH CENTRE, REAM JE</t>
  </si>
  <si>
    <t>(N85031) GLADSTONE MEDICAL CENTRE, SALAHUDDIN M</t>
  </si>
  <si>
    <t>(N85032) GREASBY GROUP PRACTICE, COPPOCK PJ</t>
  </si>
  <si>
    <t>(N85034) PARKFIELD MEDICAL CENTRE, HAWTHORNTHWAITE EM</t>
  </si>
  <si>
    <t>(N85037) HEATHERLANDS MEDICAL CENTRE, CAMPHOR IA</t>
  </si>
  <si>
    <t>(N85038) VITTORIA MEDICAL CENTRE, EDWARDS RW</t>
  </si>
  <si>
    <t>(N85040) MORETON HEALTH CENTRE, WRIGHT JEM</t>
  </si>
  <si>
    <t>(N85041) GREENWAY RD SURGERY, DOW SC</t>
  </si>
  <si>
    <t>(N85044) CLAUGHTON MEDICAL CENTRE, RENWICK JA</t>
  </si>
  <si>
    <t>(N85046) HOYLAKE RD MEDICAL CENTRE, ALI A</t>
  </si>
  <si>
    <t>(N85047) ORCHARD SURGERY, LANNIGAN BG</t>
  </si>
  <si>
    <t>(N85048) MORETON MEDICAL CENTRE, PEREIRA A</t>
  </si>
  <si>
    <t>(N85051) PARKFIELD MEDICAL CENTRE, CHESTERS SA</t>
  </si>
  <si>
    <t>(N85052) GROVE RD SURGERY, TANDON R</t>
  </si>
  <si>
    <t>(N85053) FIELD RD HEALTH CENTRE, DOWNWARD DC</t>
  </si>
  <si>
    <t>(N85054) KINGS LANE MEDICAL CENTRE, KERSHAW D</t>
  </si>
  <si>
    <t>(N85056) WALLASEY VILLAGE GROUP PRACTICE, CAMERON EF</t>
  </si>
  <si>
    <t>(N85057) TEEHEY LANE SURGERY, SAGAR A</t>
  </si>
  <si>
    <t>(N85058) SILVERDALE MEDICAL CENTRE, HENNESSY TD</t>
  </si>
  <si>
    <t>(N85616) LISCARD GROUP PRACTICE, STAPLES B</t>
  </si>
  <si>
    <t>(N85617) SPITAL SURGERY, FRANCIS GG</t>
  </si>
  <si>
    <t>(N85620) GROVE MEDICAL CENTRE, ROBERTS A</t>
  </si>
  <si>
    <t>(N85629) EGREMONT MEDICAL CENTRE, HICKEY JJM</t>
  </si>
  <si>
    <t>(N85633) CHURCH ROAD SURGERY, PATWALA DY</t>
  </si>
  <si>
    <t>(N85634) VITTORIA MEDICAL CENTRE, MURTY KS</t>
  </si>
  <si>
    <t>(N85635) MILL LANE SURGERY, KIDD S</t>
  </si>
  <si>
    <t>(N85640) LEASOWE PRIMARY CARE CENTRE, SWIFT ND</t>
  </si>
  <si>
    <t>(N85643) PRENTON MEDICAL CENTRE, SYED MF</t>
  </si>
  <si>
    <t>(N85648) BLACKHEATH MEDICAL CENTRE, QUINN BNE</t>
  </si>
  <si>
    <t>(Y02162) WOODCHURCH MEDICAL CENTRE, MARTIN-HIERRO ME</t>
  </si>
  <si>
    <t>(N85007) HESWALL + PENSBY GROUP PRACTICE, RULE EM</t>
  </si>
  <si>
    <t>(N85059) HOYLAKE + MEOLS MEDICAL CENTRE, WIGHT JA</t>
  </si>
  <si>
    <t>(N85614) MANTGANI AB + PARTNERS (SEABANK)</t>
  </si>
  <si>
    <t>(N85619) MANTGANI AB + PARTNERS (EARLSTON)</t>
  </si>
  <si>
    <t>(N85625) MANTGANI AB + PARTNERS (MIRIAM)</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</si>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</sst>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0.7625707649836967</c:v>
                </c:pt>
                <c:pt idx="5">
                  <c:v>0.8477027043092658</c:v>
                </c:pt>
                <c:pt idx="6">
                  <c:v>0.9999998835846882</c:v>
                </c:pt>
                <c:pt idx="7">
                  <c:v>0.9310316077062554</c:v>
                </c:pt>
                <c:pt idx="8">
                  <c:v>0.7384613651072892</c:v>
                </c:pt>
                <c:pt idx="9">
                  <c:v>0.7024262625008663</c:v>
                </c:pt>
                <c:pt idx="10">
                  <c:v>1</c:v>
                </c:pt>
                <c:pt idx="11">
                  <c:v>0.9365108508011185</c:v>
                </c:pt>
                <c:pt idx="12">
                  <c:v>1</c:v>
                </c:pt>
                <c:pt idx="13">
                  <c:v>0</c:v>
                </c:pt>
                <c:pt idx="14">
                  <c:v>1</c:v>
                </c:pt>
                <c:pt idx="15">
                  <c:v>1</c:v>
                </c:pt>
                <c:pt idx="16">
                  <c:v>1</c:v>
                </c:pt>
                <c:pt idx="17">
                  <c:v>1</c:v>
                </c:pt>
                <c:pt idx="18">
                  <c:v>1</c:v>
                </c:pt>
                <c:pt idx="19">
                  <c:v>1</c:v>
                </c:pt>
                <c:pt idx="20">
                  <c:v>1</c:v>
                </c:pt>
                <c:pt idx="21">
                  <c:v>1</c:v>
                </c:pt>
                <c:pt idx="22">
                  <c:v>1</c:v>
                </c:pt>
                <c:pt idx="23">
                  <c:v>0.9589444312205821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0.616506650745521</c:v>
                </c:pt>
                <c:pt idx="3">
                  <c:v>0.6249999767169351</c:v>
                </c:pt>
                <c:pt idx="4">
                  <c:v>0.5771198582950672</c:v>
                </c:pt>
                <c:pt idx="5">
                  <c:v>0.6167781644392588</c:v>
                </c:pt>
                <c:pt idx="6">
                  <c:v>0.6249999320910681</c:v>
                </c:pt>
                <c:pt idx="7">
                  <c:v>0.6844288591319547</c:v>
                </c:pt>
                <c:pt idx="8">
                  <c:v>0.5746054694294928</c:v>
                </c:pt>
                <c:pt idx="9">
                  <c:v>0.569469527460607</c:v>
                </c:pt>
                <c:pt idx="10">
                  <c:v>0.6785843062631942</c:v>
                </c:pt>
                <c:pt idx="11">
                  <c:v>0.6153824441736075</c:v>
                </c:pt>
                <c:pt idx="12">
                  <c:v>0.6367654881837427</c:v>
                </c:pt>
                <c:pt idx="13">
                  <c:v>0</c:v>
                </c:pt>
                <c:pt idx="14">
                  <c:v>0.5944954129059573</c:v>
                </c:pt>
                <c:pt idx="15">
                  <c:v>0.576187282799951</c:v>
                </c:pt>
                <c:pt idx="16">
                  <c:v>0.5642918723196615</c:v>
                </c:pt>
                <c:pt idx="17">
                  <c:v>0.5990465972330621</c:v>
                </c:pt>
                <c:pt idx="18">
                  <c:v>0.5510435729605103</c:v>
                </c:pt>
                <c:pt idx="19">
                  <c:v>0.5675323310039962</c:v>
                </c:pt>
                <c:pt idx="20">
                  <c:v>0.5812581642062382</c:v>
                </c:pt>
                <c:pt idx="21">
                  <c:v>0.5908858115377598</c:v>
                </c:pt>
                <c:pt idx="22">
                  <c:v>0.5780876956698132</c:v>
                </c:pt>
                <c:pt idx="23">
                  <c:v>0.6744173331065109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0.3740982933616041</c:v>
                </c:pt>
                <c:pt idx="3">
                  <c:v>0.34895831878141775</c:v>
                </c:pt>
                <c:pt idx="4">
                  <c:v>0.365654892229837</c:v>
                </c:pt>
                <c:pt idx="5">
                  <c:v>0.366378765208166</c:v>
                </c:pt>
                <c:pt idx="6">
                  <c:v>0.374999990298724</c:v>
                </c:pt>
                <c:pt idx="7">
                  <c:v>0.3728002365003263</c:v>
                </c:pt>
                <c:pt idx="8">
                  <c:v>0.3692306825536446</c:v>
                </c:pt>
                <c:pt idx="9">
                  <c:v>0.4351629895211287</c:v>
                </c:pt>
                <c:pt idx="10">
                  <c:v>0.37202984543562606</c:v>
                </c:pt>
                <c:pt idx="11">
                  <c:v>0.35636991114482813</c:v>
                </c:pt>
                <c:pt idx="12">
                  <c:v>0.38020040720248294</c:v>
                </c:pt>
                <c:pt idx="13">
                  <c:v>0</c:v>
                </c:pt>
                <c:pt idx="14">
                  <c:v>0.4367017164877763</c:v>
                </c:pt>
                <c:pt idx="15">
                  <c:v>0.4463485860338141</c:v>
                </c:pt>
                <c:pt idx="16">
                  <c:v>0.39346449018248153</c:v>
                </c:pt>
                <c:pt idx="17">
                  <c:v>0.3802135989942862</c:v>
                </c:pt>
                <c:pt idx="18">
                  <c:v>0.4498172960884438</c:v>
                </c:pt>
                <c:pt idx="19">
                  <c:v>0.39697659200973545</c:v>
                </c:pt>
                <c:pt idx="20">
                  <c:v>0.3613459224408084</c:v>
                </c:pt>
                <c:pt idx="21">
                  <c:v>0.35949703974480773</c:v>
                </c:pt>
                <c:pt idx="22">
                  <c:v>0.4258589679588016</c:v>
                </c:pt>
                <c:pt idx="23">
                  <c:v>0.3902922379254191</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0.018184734282543226</c:v>
                </c:pt>
                <c:pt idx="3">
                  <c:v>0.22916665502513422</c:v>
                </c:pt>
                <c:pt idx="4">
                  <c:v>0</c:v>
                </c:pt>
                <c:pt idx="5">
                  <c:v>0</c:v>
                </c:pt>
                <c:pt idx="6">
                  <c:v>0</c:v>
                </c:pt>
                <c:pt idx="7">
                  <c:v>0</c:v>
                </c:pt>
                <c:pt idx="8">
                  <c:v>0</c:v>
                </c:pt>
                <c:pt idx="9">
                  <c:v>0</c:v>
                </c:pt>
                <c:pt idx="10">
                  <c:v>0.01566300285807005</c:v>
                </c:pt>
                <c:pt idx="11">
                  <c:v>0</c:v>
                </c:pt>
                <c:pt idx="12">
                  <c:v>0.23332929079963066</c:v>
                </c:pt>
                <c:pt idx="13">
                  <c:v>0</c:v>
                </c:pt>
                <c:pt idx="14">
                  <c:v>0.2233600228478974</c:v>
                </c:pt>
                <c:pt idx="15">
                  <c:v>0.016986139673737057</c:v>
                </c:pt>
                <c:pt idx="16">
                  <c:v>0.2686908976065074</c:v>
                </c:pt>
                <c:pt idx="17">
                  <c:v>0.18956285789786534</c:v>
                </c:pt>
                <c:pt idx="18">
                  <c:v>0.3181720554384505</c:v>
                </c:pt>
                <c:pt idx="19">
                  <c:v>0.2546433905461387</c:v>
                </c:pt>
                <c:pt idx="20">
                  <c:v>0.033268736171401</c:v>
                </c:pt>
                <c:pt idx="21">
                  <c:v>0.07068087267582042</c:v>
                </c:pt>
                <c:pt idx="22">
                  <c:v>0.16578040709507297</c:v>
                </c:pt>
                <c:pt idx="23">
                  <c:v>0</c:v>
                </c:pt>
                <c:pt idx="24">
                  <c:v>0</c:v>
                </c:pt>
                <c:pt idx="25">
                  <c:v>0</c:v>
                </c:pt>
                <c:pt idx="26">
                  <c:v>0</c:v>
                </c:pt>
              </c:numCache>
            </c:numRef>
          </c:val>
        </c:ser>
        <c:overlap val="100"/>
        <c:gapWidth val="100"/>
        <c:axId val="54620610"/>
        <c:axId val="2182344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0.41897344292801514</c:v>
                </c:pt>
                <c:pt idx="3">
                  <c:v>0.396061039229515</c:v>
                </c:pt>
                <c:pt idx="4">
                  <c:v>0.371702925463334</c:v>
                </c:pt>
                <c:pt idx="5">
                  <c:v>0.3523688696378183</c:v>
                </c:pt>
                <c:pt idx="6">
                  <c:v>0.45586356291973074</c:v>
                </c:pt>
                <c:pt idx="7">
                  <c:v>0.5261719094866162</c:v>
                </c:pt>
                <c:pt idx="8">
                  <c:v>0.5514395382343381</c:v>
                </c:pt>
                <c:pt idx="9">
                  <c:v>0.530706083775046</c:v>
                </c:pt>
                <c:pt idx="10">
                  <c:v>0.5142558210055845</c:v>
                </c:pt>
                <c:pt idx="11">
                  <c:v>0.5812701613333127</c:v>
                </c:pt>
                <c:pt idx="12">
                  <c:v>0.5332236417177272</c:v>
                </c:pt>
                <c:pt idx="13">
                  <c:v>0.5</c:v>
                </c:pt>
                <c:pt idx="14">
                  <c:v>0.4237615477136382</c:v>
                </c:pt>
                <c:pt idx="15">
                  <c:v>0.4080500682983352</c:v>
                </c:pt>
                <c:pt idx="16">
                  <c:v>0.5865329477179337</c:v>
                </c:pt>
                <c:pt idx="17">
                  <c:v>0.5053714484543591</c:v>
                </c:pt>
                <c:pt idx="18">
                  <c:v>0.4266041293560018</c:v>
                </c:pt>
                <c:pt idx="19">
                  <c:v>0.5176451254866371</c:v>
                </c:pt>
                <c:pt idx="20">
                  <c:v>0.4369232039356076</c:v>
                </c:pt>
                <c:pt idx="21">
                  <c:v>0.7427599026149044</c:v>
                </c:pt>
                <c:pt idx="22">
                  <c:v>0.3120973632525054</c:v>
                </c:pt>
                <c:pt idx="23">
                  <c:v>0.3907322953480758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0.37613275775390687</c:v>
                </c:pt>
                <c:pt idx="5">
                  <c:v>0.8167047172303024</c:v>
                </c:pt>
                <c:pt idx="6">
                  <c:v>-999</c:v>
                </c:pt>
                <c:pt idx="7">
                  <c:v>-999</c:v>
                </c:pt>
                <c:pt idx="8">
                  <c:v>-999</c:v>
                </c:pt>
                <c:pt idx="9">
                  <c:v>-999</c:v>
                </c:pt>
                <c:pt idx="10">
                  <c:v>-999</c:v>
                </c:pt>
                <c:pt idx="11">
                  <c:v>0.46987713275232684</c:v>
                </c:pt>
                <c:pt idx="12">
                  <c:v>0.5824073619565976</c:v>
                </c:pt>
                <c:pt idx="13">
                  <c:v>0.5599763200049047</c:v>
                </c:pt>
                <c:pt idx="14">
                  <c:v>0.4943240310591748</c:v>
                </c:pt>
                <c:pt idx="15">
                  <c:v>0.6389743759245554</c:v>
                </c:pt>
                <c:pt idx="16">
                  <c:v>-999</c:v>
                </c:pt>
                <c:pt idx="17">
                  <c:v>0.7879676565552394</c:v>
                </c:pt>
                <c:pt idx="18">
                  <c:v>-999</c:v>
                </c:pt>
                <c:pt idx="19">
                  <c:v>0.5379000269136387</c:v>
                </c:pt>
                <c:pt idx="20">
                  <c:v>0.538426854348624</c:v>
                </c:pt>
                <c:pt idx="21">
                  <c:v>0.28928701386478545</c:v>
                </c:pt>
                <c:pt idx="22">
                  <c:v>0.548623157087303</c:v>
                </c:pt>
                <c:pt idx="23">
                  <c:v>0.6805372829989927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0.3661867094584397</c:v>
                </c:pt>
                <c:pt idx="3">
                  <c:v>0.5208333275901773</c:v>
                </c:pt>
                <c:pt idx="4">
                  <c:v>-999</c:v>
                </c:pt>
                <c:pt idx="5">
                  <c:v>-999</c:v>
                </c:pt>
                <c:pt idx="6">
                  <c:v>0.7499999399296992</c:v>
                </c:pt>
                <c:pt idx="7">
                  <c:v>0.26381135420571084</c:v>
                </c:pt>
                <c:pt idx="8">
                  <c:v>-999</c:v>
                </c:pt>
                <c:pt idx="9">
                  <c:v>0.6313229986117721</c:v>
                </c:pt>
                <c:pt idx="10">
                  <c:v>0.35679209720023425</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193260"/>
        <c:axId val="22868429"/>
      </c:scatterChart>
      <c:catAx>
        <c:axId val="54620610"/>
        <c:scaling>
          <c:orientation val="maxMin"/>
        </c:scaling>
        <c:axPos val="l"/>
        <c:delete val="0"/>
        <c:numFmt formatCode="General" sourceLinked="1"/>
        <c:majorTickMark val="out"/>
        <c:minorTickMark val="none"/>
        <c:tickLblPos val="none"/>
        <c:spPr>
          <a:ln w="3175">
            <a:noFill/>
          </a:ln>
        </c:spPr>
        <c:crossAx val="21823443"/>
        <c:crosses val="autoZero"/>
        <c:auto val="1"/>
        <c:lblOffset val="100"/>
        <c:tickLblSkip val="1"/>
        <c:noMultiLvlLbl val="0"/>
      </c:catAx>
      <c:valAx>
        <c:axId val="21823443"/>
        <c:scaling>
          <c:orientation val="minMax"/>
          <c:max val="1"/>
          <c:min val="0"/>
        </c:scaling>
        <c:axPos val="t"/>
        <c:delete val="0"/>
        <c:numFmt formatCode="General" sourceLinked="1"/>
        <c:majorTickMark val="none"/>
        <c:minorTickMark val="none"/>
        <c:tickLblPos val="none"/>
        <c:spPr>
          <a:ln w="3175">
            <a:noFill/>
          </a:ln>
        </c:spPr>
        <c:crossAx val="54620610"/>
        <c:crossesAt val="1"/>
        <c:crossBetween val="between"/>
        <c:dispUnits/>
        <c:majorUnit val="1"/>
      </c:valAx>
      <c:valAx>
        <c:axId val="62193260"/>
        <c:scaling>
          <c:orientation val="minMax"/>
          <c:max val="1"/>
          <c:min val="0"/>
        </c:scaling>
        <c:axPos val="t"/>
        <c:delete val="0"/>
        <c:numFmt formatCode="General" sourceLinked="1"/>
        <c:majorTickMark val="none"/>
        <c:minorTickMark val="none"/>
        <c:tickLblPos val="none"/>
        <c:spPr>
          <a:ln w="3175">
            <a:noFill/>
          </a:ln>
        </c:spPr>
        <c:crossAx val="22868429"/>
        <c:crosses val="max"/>
        <c:crossBetween val="midCat"/>
        <c:dispUnits/>
        <c:majorUnit val="0.1"/>
        <c:minorUnit val="0.020000000000000004"/>
      </c:valAx>
      <c:valAx>
        <c:axId val="22868429"/>
        <c:scaling>
          <c:orientation val="maxMin"/>
          <c:max val="29"/>
          <c:min val="0"/>
        </c:scaling>
        <c:axPos val="l"/>
        <c:delete val="0"/>
        <c:numFmt formatCode="General" sourceLinked="1"/>
        <c:majorTickMark val="none"/>
        <c:minorTickMark val="none"/>
        <c:tickLblPos val="none"/>
        <c:spPr>
          <a:ln w="3175">
            <a:noFill/>
          </a:ln>
        </c:spPr>
        <c:crossAx val="621932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(N85648) BLACKHEATH MEDICAL CENTRE, QUINN BNE, WIRRAL PCT (5NK)</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534</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533</v>
      </c>
      <c r="C8" s="115"/>
      <c r="D8" s="115"/>
      <c r="E8" s="128">
        <f>VLOOKUP('Hide - Control'!A$3,'All practice data'!A:CA,4,FALSE)</f>
        <v>2890</v>
      </c>
      <c r="F8" s="310" t="str">
        <f>VLOOKUP('Hide - Control'!B4,'Hide - Calculation'!AY:BA,3,FALSE)</f>
        <v> </v>
      </c>
      <c r="G8" s="310"/>
      <c r="H8" s="310"/>
      <c r="I8" s="115"/>
      <c r="J8" s="115"/>
      <c r="K8" s="115"/>
      <c r="L8" s="115"/>
      <c r="M8" s="109"/>
      <c r="N8" s="314" t="s">
        <v>507</v>
      </c>
      <c r="O8" s="314"/>
      <c r="P8" s="314"/>
      <c r="Q8" s="314" t="s">
        <v>32</v>
      </c>
      <c r="R8" s="314"/>
      <c r="S8" s="314"/>
      <c r="T8" s="314" t="s">
        <v>537</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332176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352</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431</v>
      </c>
      <c r="H13" s="190">
        <f>IF(VLOOKUP('Hide - Control'!A$3,'All practice data'!A:CA,C13+30,FALSE)=" "," ",VLOOKUP('Hide - Control'!A$3,'All practice data'!A:CA,C13+30,FALSE))</f>
        <v>0.14913494809688582</v>
      </c>
      <c r="I13" s="191">
        <f>IF(LEFT(G13,1)=" "," n/a",+((2*G13+1.96^2-1.96*SQRT(1.96^2+4*G13*(1-G13/E$8)))/(2*(E$8+1.96^2))))</f>
        <v>0.13661344369597153</v>
      </c>
      <c r="J13" s="191">
        <f>IF(LEFT(G13,1)=" "," n/a",+((2*G13+1.96^2+1.96*SQRT(1.96^2+4*G13*(1-G13/E$8)))/(2*(E$8+1.96^2))))</f>
        <v>0.1625880053398015</v>
      </c>
      <c r="K13" s="190">
        <f>IF('Hide - Calculation'!N7="","",'Hide - Calculation'!N7)</f>
        <v>0.18388444679928712</v>
      </c>
      <c r="L13" s="192">
        <f>'Hide - Calculation'!O7</f>
        <v>0.1599882305185145</v>
      </c>
      <c r="M13" s="208">
        <f>IF(ISBLANK('Hide - Calculation'!K7),"",'Hide - Calculation'!U7)</f>
        <v>0.07758356630802155</v>
      </c>
      <c r="N13" s="173"/>
      <c r="O13" s="173"/>
      <c r="P13" s="173"/>
      <c r="Q13" s="173"/>
      <c r="R13" s="173"/>
      <c r="S13" s="173"/>
      <c r="T13" s="173"/>
      <c r="U13" s="173"/>
      <c r="V13" s="173"/>
      <c r="W13" s="173"/>
      <c r="X13" s="173"/>
      <c r="Y13" s="173"/>
      <c r="Z13" s="173"/>
      <c r="AA13" s="226">
        <f>IF(ISBLANK('Hide - Calculation'!K7),"",'Hide - Calculation'!T7)</f>
        <v>0.279450923204422</v>
      </c>
      <c r="AB13" s="233" t="s">
        <v>531</v>
      </c>
      <c r="AC13" s="209" t="s">
        <v>532</v>
      </c>
    </row>
    <row r="14" spans="2:29" ht="33.75" customHeight="1">
      <c r="B14" s="306"/>
      <c r="C14" s="137">
        <v>2</v>
      </c>
      <c r="D14" s="132" t="s">
        <v>501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0.21</v>
      </c>
      <c r="I14" s="120">
        <f>IF(LEFT(G14,1)=" "," n/a",+((2*H14*E8+1.96^2-1.96*SQRT(1.96^2+4*H14*E8*(1-H14*E8/E$8)))/(2*(E$8+1.96^2))))</f>
        <v>0.1955397120675326</v>
      </c>
      <c r="J14" s="120">
        <f>IF(LEFT(G14,1)=" "," n/a",+((2*H14*E8+1.96^2+1.96*SQRT(1.96^2+4*H14*E8*(1-H14*E8/E$8)))/(2*(E$8+1.96^2))))</f>
        <v>0.22523024299842534</v>
      </c>
      <c r="K14" s="119">
        <f>IF('Hide - Calculation'!N8="","",'Hide - Calculation'!N8)</f>
        <v>0.19535267448581467</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0.4399999976158142</v>
      </c>
      <c r="AB14" s="234" t="s">
        <v>39</v>
      </c>
      <c r="AC14" s="130" t="s">
        <v>532</v>
      </c>
    </row>
    <row r="15" spans="2:39" s="63" customFormat="1" ht="33.75" customHeight="1">
      <c r="B15" s="306"/>
      <c r="C15" s="137">
        <v>3</v>
      </c>
      <c r="D15" s="132" t="s">
        <v>355</v>
      </c>
      <c r="E15" s="85"/>
      <c r="F15" s="85"/>
      <c r="G15" s="121">
        <f>IF(VLOOKUP('Hide - Control'!A$3,'All practice data'!A:CA,C15+4,FALSE)=" "," ",VLOOKUP('Hide - Control'!A$3,'All practice data'!A:CA,C15+4,FALSE))</f>
        <v>13</v>
      </c>
      <c r="H15" s="122">
        <f>IF(VLOOKUP('Hide - Control'!A$3,'All practice data'!A:CA,C15+30,FALSE)=" "," ",VLOOKUP('Hide - Control'!A$3,'All practice data'!A:CA,C15+30,FALSE))</f>
        <v>449.8269896193772</v>
      </c>
      <c r="I15" s="123">
        <f>IF(LEFT(G15,1)=" "," n/a",IF(G15&lt;5,100000*VLOOKUP(G15,'Hide - Calculation'!AQ:AR,2,FALSE)/$E$8,100000*(G15*(1-1/(9*G15)-1.96/(3*SQRT(G15)))^3)/$E$8))</f>
        <v>239.27874371157537</v>
      </c>
      <c r="J15" s="123">
        <f>IF(LEFT(G15,1)=" "," n/a",IF(G15&lt;5,100000*VLOOKUP(G15,'Hide - Calculation'!AQ:AS,3,FALSE)/$E$8,100000*((G15+1)*(1-1/(9*(G15+1))+1.96/(3*SQRT(G15+1)))^3)/$E$8))</f>
        <v>769.2702571367605</v>
      </c>
      <c r="K15" s="122">
        <f>IF('Hide - Calculation'!N9="","",'Hide - Calculation'!N9)</f>
        <v>559.0409903183854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816.8350830078125</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14</v>
      </c>
      <c r="H16" s="122">
        <f>IF(VLOOKUP('Hide - Control'!A$3,'All practice data'!A:CA,C16+30,FALSE)=" "," ",VLOOKUP('Hide - Control'!A$3,'All practice data'!A:CA,C16+30,FALSE))</f>
        <v>484.42906574394465</v>
      </c>
      <c r="I16" s="123">
        <f>IF(LEFT(G16,1)=" "," n/a",IF(G16&lt;5,100000*VLOOKUP(G16,'Hide - Calculation'!AQ:AR,2,FALSE)/$E$8,100000*(G16*(1-1/(9*G16)-1.96/(3*SQRT(G16)))^3)/$E$8))</f>
        <v>264.61732355516267</v>
      </c>
      <c r="J16" s="123">
        <f>IF(LEFT(G16,1)=" "," n/a",IF(G16&lt;5,100000*VLOOKUP(G16,'Hide - Calculation'!AQ:AS,3,FALSE)/$E$8,100000*((G16+1)*(1-1/(9*(G16+1))+1.96/(3*SQRT(G16+1)))^3)/$E$8))</f>
        <v>812.8438023329672</v>
      </c>
      <c r="K16" s="122">
        <f>IF('Hide - Calculation'!N10="","",'Hide - Calculation'!N10)</f>
        <v>306.46404315784406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501.1389465332031</v>
      </c>
      <c r="AB16" s="234" t="s">
        <v>349</v>
      </c>
      <c r="AC16" s="131" t="s">
        <v>525</v>
      </c>
    </row>
    <row r="17" spans="2:29" s="63" customFormat="1" ht="33.75" customHeight="1" thickBot="1">
      <c r="B17" s="309"/>
      <c r="C17" s="180">
        <v>5</v>
      </c>
      <c r="D17" s="195" t="s">
        <v>354</v>
      </c>
      <c r="E17" s="182"/>
      <c r="F17" s="182"/>
      <c r="G17" s="140">
        <f>IF(VLOOKUP('Hide - Control'!A$3,'All practice data'!A:CA,C17+4,FALSE)=" "," ",VLOOKUP('Hide - Control'!A$3,'All practice data'!A:CA,C17+4,FALSE))</f>
        <v>67</v>
      </c>
      <c r="H17" s="141">
        <f>IF(VLOOKUP('Hide - Control'!A$3,'All practice data'!A:CA,C17+30,FALSE)=" "," ",VLOOKUP('Hide - Control'!A$3,'All practice data'!A:CA,C17+30,FALSE))</f>
        <v>0.023</v>
      </c>
      <c r="I17" s="142">
        <f>IF(LEFT(G17,1)=" "," n/a",+((2*G17+1.96^2-1.96*SQRT(1.96^2+4*G17*(1-G17/E$8)))/(2*(E$8+1.96^2))))</f>
        <v>0.01829701057128853</v>
      </c>
      <c r="J17" s="142">
        <f>IF(LEFT(G17,1)=" "," n/a",+((2*G17+1.96^2+1.96*SQRT(1.96^2+4*G17*(1-G17/E$8)))/(2*(E$8+1.96^2))))</f>
        <v>0.029335727861941534</v>
      </c>
      <c r="K17" s="141">
        <f>IF('Hide - Calculation'!N11="","",'Hide - Calculation'!N11)</f>
        <v>0.017737584894754587</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0.028999999165534973</v>
      </c>
      <c r="AB17" s="235" t="s">
        <v>494</v>
      </c>
      <c r="AC17" s="189" t="s">
        <v>525</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216</v>
      </c>
      <c r="H18" s="220">
        <f>IF(OR(VLOOKUP('Hide - Control'!A$3,'All practice data'!A:CA,C18+30,FALSE)=" ",VLOOKUP('Hide - Control'!A$3,'All practice data'!A:CA,C18+52,FALSE)=0)," n/a",VLOOKUP('Hide - Control'!A$3,'All practice data'!A:CA,C18+30,FALSE))</f>
        <v>0.644776</v>
      </c>
      <c r="I18" s="191">
        <f>IF(OR(LEFT(H18,1)=" ",VLOOKUP('Hide - Control'!A$3,'All practice data'!A:CA,C18+52,FALSE)=0)," n/a",+((2*G18+1.96^2-1.96*SQRT(1.96^2+4*G18*(1-G18/(VLOOKUP('Hide - Control'!A$3,'All practice data'!A:CA,C18+52,FALSE)))))/(2*(((VLOOKUP('Hide - Control'!A$3,'All practice data'!A:CA,C18+52,FALSE)))+1.96^2))))</f>
        <v>0.5921501952319012</v>
      </c>
      <c r="J18" s="191">
        <f>IF(OR(LEFT(H18,1)=" ",VLOOKUP('Hide - Control'!A$3,'All practice data'!A:CA,C18+52,FALSE)=0)," n/a",+((2*G18+1.96^2+1.96*SQRT(1.96^2+4*G18*(1-G18/(VLOOKUP('Hide - Control'!A$3,'All practice data'!A:CA,C18+52,FALSE)))))/(2*((VLOOKUP('Hide - Control'!A$3,'All practice data'!A:CA,C18+52,FALSE))+1.96^2))))</f>
        <v>0.6941192592860801</v>
      </c>
      <c r="K18" s="220">
        <f>IF('Hide - Calculation'!N12="","",'Hide - Calculation'!N12)</f>
        <v>0.73711017989026</v>
      </c>
      <c r="L18" s="192">
        <f>'Hide - Calculation'!O12</f>
        <v>0.7248631360507991</v>
      </c>
      <c r="M18" s="193">
        <f>IF(ISBLANK('Hide - Calculation'!K12),"",'Hide - Calculation'!U12)</f>
        <v>0.5642459988594055</v>
      </c>
      <c r="N18" s="194"/>
      <c r="O18" s="173"/>
      <c r="P18" s="173"/>
      <c r="Q18" s="173"/>
      <c r="R18" s="173"/>
      <c r="S18" s="173"/>
      <c r="T18" s="173"/>
      <c r="U18" s="173"/>
      <c r="V18" s="173"/>
      <c r="W18" s="173"/>
      <c r="X18" s="173"/>
      <c r="Y18" s="173"/>
      <c r="Z18" s="174"/>
      <c r="AA18" s="193">
        <f>IF(ISBLANK('Hide - Calculation'!K12),"",'Hide - Calculation'!T12)</f>
        <v>0.8484489917755127</v>
      </c>
      <c r="AB18" s="233" t="s">
        <v>48</v>
      </c>
      <c r="AC18" s="175" t="s">
        <v>526</v>
      </c>
    </row>
    <row r="19" spans="2:29" s="63" customFormat="1" ht="33.75" customHeight="1">
      <c r="B19" s="306"/>
      <c r="C19" s="137">
        <v>7</v>
      </c>
      <c r="D19" s="132" t="s">
        <v>503</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0.7395334223548817</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525</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401</v>
      </c>
      <c r="H20" s="218">
        <f>IF(OR(VLOOKUP('Hide - Control'!A$3,'All practice data'!A:CA,C20+30,FALSE)=" ",VLOOKUP('Hide - Control'!A$3,'All practice data'!A:CA,C20+52,FALSE)=0)," n/a",VLOOKUP('Hide - Control'!A$3,'All practice data'!A:CA,C20+30,FALSE))</f>
        <v>0.79249</v>
      </c>
      <c r="I20" s="120">
        <f>IF(OR(LEFT(H20,1)=" ",VLOOKUP('Hide - Control'!A$3,'All practice data'!A:CA,C20+52,FALSE)=0)," n/a",+((2*G20+1.96^2-1.96*SQRT(1.96^2+4*G20*(1-G20/(VLOOKUP('Hide - Control'!A$3,'All practice data'!A:CA,C20+52,FALSE)))))/(2*(((VLOOKUP('Hide - Control'!A$3,'All practice data'!A:CA,C20+52,FALSE)))+1.96^2))))</f>
        <v>0.7550163344256121</v>
      </c>
      <c r="J20" s="120">
        <f>IF(OR(LEFT(H20,1)=" ",VLOOKUP('Hide - Control'!A$3,'All practice data'!A:CA,C20+52,FALSE)=0)," n/a",+((2*G20+1.96^2+1.96*SQRT(1.96^2+4*G20*(1-G20/(VLOOKUP('Hide - Control'!A$3,'All practice data'!A:CA,C20+52,FALSE)))))/(2*((VLOOKUP('Hide - Control'!A$3,'All practice data'!A:CA,C20+52,FALSE))+1.96^2))))</f>
        <v>0.8255561414178655</v>
      </c>
      <c r="K20" s="218">
        <f>IF('Hide - Calculation'!N14="","",'Hide - Calculation'!N14)</f>
        <v>0.746144736021941</v>
      </c>
      <c r="L20" s="155">
        <f>'Hide - Calculation'!O14</f>
        <v>0.7559681673907895</v>
      </c>
      <c r="M20" s="152">
        <f>IF(ISBLANK('Hide - Calculation'!K14),"",'Hide - Calculation'!U14)</f>
        <v>0.5633329749107361</v>
      </c>
      <c r="N20" s="160"/>
      <c r="O20" s="84"/>
      <c r="P20" s="84"/>
      <c r="Q20" s="84"/>
      <c r="R20" s="84"/>
      <c r="S20" s="84"/>
      <c r="T20" s="84"/>
      <c r="U20" s="84"/>
      <c r="V20" s="84"/>
      <c r="W20" s="84"/>
      <c r="X20" s="84"/>
      <c r="Y20" s="84"/>
      <c r="Z20" s="88"/>
      <c r="AA20" s="152">
        <f>IF(ISBLANK('Hide - Calculation'!K14),"",'Hide - Calculation'!T14)</f>
        <v>0.8182989954948425</v>
      </c>
      <c r="AB20" s="234" t="s">
        <v>48</v>
      </c>
      <c r="AC20" s="131" t="s">
        <v>527</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142</v>
      </c>
      <c r="H21" s="218">
        <f>IF(OR(VLOOKUP('Hide - Control'!A$3,'All practice data'!A:CA,C21+30,FALSE)=" ",VLOOKUP('Hide - Control'!A$3,'All practice data'!A:CA,C21+52,FALSE)=0)," n/a",VLOOKUP('Hide - Control'!A$3,'All practice data'!A:CA,C21+30,FALSE))</f>
        <v>0.459547</v>
      </c>
      <c r="I21" s="120">
        <f>IF(OR(LEFT(H21,1)=" ",VLOOKUP('Hide - Control'!A$3,'All practice data'!A:CA,C21+52,FALSE)=0)," n/a",+((2*G21+1.96^2-1.96*SQRT(1.96^2+4*G21*(1-G21/(VLOOKUP('Hide - Control'!A$3,'All practice data'!A:CA,C21+52,FALSE)))))/(2*(((VLOOKUP('Hide - Control'!A$3,'All practice data'!A:CA,C21+52,FALSE)))+1.96^2))))</f>
        <v>0.4048161853372062</v>
      </c>
      <c r="J21" s="120">
        <f>IF(OR(LEFT(H21,1)=" ",VLOOKUP('Hide - Control'!A$3,'All practice data'!A:CA,C21+52,FALSE)=0)," n/a",+((2*G21+1.96^2+1.96*SQRT(1.96^2+4*G21*(1-G21/(VLOOKUP('Hide - Control'!A$3,'All practice data'!A:CA,C21+52,FALSE)))))/(2*((VLOOKUP('Hide - Control'!A$3,'All practice data'!A:CA,C21+52,FALSE))+1.96^2))))</f>
        <v>0.5152711687742674</v>
      </c>
      <c r="K21" s="218">
        <f>IF('Hide - Calculation'!N15="","",'Hide - Calculation'!N15)</f>
        <v>0.5302299176837922</v>
      </c>
      <c r="L21" s="155">
        <f>'Hide - Calculation'!O15</f>
        <v>0.5147293797466616</v>
      </c>
      <c r="M21" s="152">
        <f>IF(ISBLANK('Hide - Calculation'!K15),"",'Hide - Calculation'!U15)</f>
        <v>0.3400000035762787</v>
      </c>
      <c r="N21" s="160"/>
      <c r="O21" s="84"/>
      <c r="P21" s="84"/>
      <c r="Q21" s="84"/>
      <c r="R21" s="84"/>
      <c r="S21" s="84"/>
      <c r="T21" s="84"/>
      <c r="U21" s="84"/>
      <c r="V21" s="84"/>
      <c r="W21" s="84"/>
      <c r="X21" s="84"/>
      <c r="Y21" s="84"/>
      <c r="Z21" s="88"/>
      <c r="AA21" s="152">
        <f>IF(ISBLANK('Hide - Calculation'!K15),"",'Hide - Calculation'!T15)</f>
        <v>0.6849560141563416</v>
      </c>
      <c r="AB21" s="234" t="s">
        <v>48</v>
      </c>
      <c r="AC21" s="131" t="s">
        <v>526</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93</v>
      </c>
      <c r="H22" s="223">
        <f>IF(OR(VLOOKUP('Hide - Control'!A$3,'All practice data'!A:CA,C22+30,FALSE)=" ",VLOOKUP('Hide - Control'!A$3,'All practice data'!A:CA,C22+52,FALSE)=0)," n/a",VLOOKUP('Hide - Control'!A$3,'All practice data'!A:CA,C22+30,FALSE))</f>
        <v>0.525424</v>
      </c>
      <c r="I22" s="196">
        <f>IF(OR(LEFT(H22,1)=" ",VLOOKUP('Hide - Control'!A$3,'All practice data'!A:CA,C22+52,FALSE)=0)," n/a",+((2*G22+1.96^2-1.96*SQRT(1.96^2+4*G22*(1-G22/(VLOOKUP('Hide - Control'!A$3,'All practice data'!A:CA,C22+52,FALSE)))))/(2*(((VLOOKUP('Hide - Control'!A$3,'All practice data'!A:CA,C22+52,FALSE)))+1.96^2))))</f>
        <v>0.452101198701844</v>
      </c>
      <c r="J22" s="196">
        <f>IF(OR(LEFT(H22,1)=" ",VLOOKUP('Hide - Control'!A$3,'All practice data'!A:CA,C22+52,FALSE)=0)," n/a",+((2*G22+1.96^2+1.96*SQRT(1.96^2+4*G22*(1-G22/(VLOOKUP('Hide - Control'!A$3,'All practice data'!A:CA,C22+52,FALSE)))))/(2*((VLOOKUP('Hide - Control'!A$3,'All practice data'!A:CA,C22+52,FALSE))+1.96^2))))</f>
        <v>0.5976661114745756</v>
      </c>
      <c r="K22" s="223">
        <f>IF('Hide - Calculation'!N16="","",'Hide - Calculation'!N16)</f>
        <v>0.5604938271604938</v>
      </c>
      <c r="L22" s="197">
        <f>'Hide - Calculation'!O16</f>
        <v>0.5752927626212945</v>
      </c>
      <c r="M22" s="198">
        <f>IF(ISBLANK('Hide - Calculation'!K16),"",'Hide - Calculation'!U16)</f>
        <v>0.31506800651550293</v>
      </c>
      <c r="N22" s="199"/>
      <c r="O22" s="91"/>
      <c r="P22" s="91"/>
      <c r="Q22" s="91"/>
      <c r="R22" s="91"/>
      <c r="S22" s="91"/>
      <c r="T22" s="91"/>
      <c r="U22" s="91"/>
      <c r="V22" s="91"/>
      <c r="W22" s="91"/>
      <c r="X22" s="91"/>
      <c r="Y22" s="91"/>
      <c r="Z22" s="188"/>
      <c r="AA22" s="198">
        <f>IF(ISBLANK('Hide - Calculation'!K16),"",'Hide - Calculation'!T16)</f>
        <v>0.7343279719352722</v>
      </c>
      <c r="AB22" s="235" t="s">
        <v>48</v>
      </c>
      <c r="AC22" s="189" t="s">
        <v>525</v>
      </c>
    </row>
    <row r="23" spans="2:29" s="63" customFormat="1" ht="33.75" customHeight="1">
      <c r="B23" s="308" t="s">
        <v>344</v>
      </c>
      <c r="C23" s="163">
        <v>11</v>
      </c>
      <c r="D23" s="179" t="s">
        <v>356</v>
      </c>
      <c r="E23" s="165"/>
      <c r="F23" s="165"/>
      <c r="G23" s="118">
        <f>IF(VLOOKUP('Hide - Control'!A$3,'All practice data'!A:CA,C23+4,FALSE)=" "," ",VLOOKUP('Hide - Control'!A$3,'All practice data'!A:CA,C23+4,FALSE))</f>
        <v>57</v>
      </c>
      <c r="H23" s="216">
        <f>IF(VLOOKUP('Hide - Control'!A$3,'All practice data'!A:CA,C23+30,FALSE)=" "," ",VLOOKUP('Hide - Control'!A$3,'All practice data'!A:CA,C23+30,FALSE))</f>
        <v>1972.318339100346</v>
      </c>
      <c r="I23" s="215">
        <f>IF(LEFT(G23,1)=" "," n/a",IF(G23&lt;5,100000*VLOOKUP(G23,'Hide - Calculation'!AQ:AR,2,FALSE)/$E$8,100000*(G23*(1-1/(9*G23)-1.96/(3*SQRT(G23)))^3)/$E$8))</f>
        <v>1493.7153891096693</v>
      </c>
      <c r="J23" s="215">
        <f>IF(LEFT(G23,1)=" "," n/a",IF(G23&lt;5,100000*VLOOKUP(G23,'Hide - Calculation'!AQ:AS,3,FALSE)/$E$8,100000*((G23+1)*(1-1/(9*(G23+1))+1.96/(3*SQRT(G23+1)))^3)/$E$8))</f>
        <v>2555.4249655207286</v>
      </c>
      <c r="K23" s="216">
        <f>IF('Hide - Calculation'!N17="","",'Hide - Calculation'!N17)</f>
        <v>1855.0407013149656</v>
      </c>
      <c r="L23" s="217">
        <f>'Hide - Calculation'!O17</f>
        <v>1812.1669120472948</v>
      </c>
      <c r="M23" s="170">
        <f>IF(ISBLANK('Hide - Calculation'!K17),"",'Hide - Calculation'!U17)</f>
        <v>835.6546020507812</v>
      </c>
      <c r="N23" s="171"/>
      <c r="O23" s="172"/>
      <c r="P23" s="172"/>
      <c r="Q23" s="172"/>
      <c r="R23" s="173"/>
      <c r="S23" s="173"/>
      <c r="T23" s="173"/>
      <c r="U23" s="173"/>
      <c r="V23" s="173"/>
      <c r="W23" s="173"/>
      <c r="X23" s="173"/>
      <c r="Y23" s="173"/>
      <c r="Z23" s="174"/>
      <c r="AA23" s="170">
        <f>IF(ISBLANK('Hide - Calculation'!K17),"",'Hide - Calculation'!T17)</f>
        <v>3332.078369140625</v>
      </c>
      <c r="AB23" s="233" t="s">
        <v>26</v>
      </c>
      <c r="AC23" s="175" t="s">
        <v>525</v>
      </c>
    </row>
    <row r="24" spans="2:29" s="63" customFormat="1" ht="33.75" customHeight="1">
      <c r="B24" s="306"/>
      <c r="C24" s="137">
        <v>12</v>
      </c>
      <c r="D24" s="147" t="s">
        <v>512</v>
      </c>
      <c r="E24" s="85"/>
      <c r="F24" s="85"/>
      <c r="G24" s="118">
        <f>IF(VLOOKUP('Hide - Control'!A$3,'All practice data'!A:CA,C24+4,FALSE)=" "," ",VLOOKUP('Hide - Control'!A$3,'All practice data'!A:CA,C24+4,FALSE))</f>
        <v>57</v>
      </c>
      <c r="H24" s="119">
        <f>IF(VLOOKUP('Hide - Control'!A$3,'All practice data'!A:CA,C24+30,FALSE)=" "," ",VLOOKUP('Hide - Control'!A$3,'All practice data'!A:CA,C24+30,FALSE))</f>
        <v>1.073888016</v>
      </c>
      <c r="I24" s="212">
        <f>IF(LEFT(VLOOKUP('Hide - Control'!A$3,'All practice data'!A:CA,C24+44,FALSE),1)=" "," n/a",VLOOKUP('Hide - Control'!A$3,'All practice data'!A:CA,C24+44,FALSE))</f>
        <v>0.8133522797</v>
      </c>
      <c r="J24" s="212">
        <f>IF(LEFT(VLOOKUP('Hide - Control'!A$3,'All practice data'!A:CA,C24+45,FALSE),1)=" "," n/a",VLOOKUP('Hide - Control'!A$3,'All practice data'!A:CA,C24+45,FALSE))</f>
        <v>1.391346436</v>
      </c>
      <c r="K24" s="152" t="s">
        <v>536</v>
      </c>
      <c r="L24" s="213">
        <v>1</v>
      </c>
      <c r="M24" s="152">
        <f>IF(ISBLANK('Hide - Calculation'!K18),"",'Hide - Calculation'!U18)</f>
        <v>0.48872753977775574</v>
      </c>
      <c r="N24" s="86"/>
      <c r="O24" s="87"/>
      <c r="P24" s="87"/>
      <c r="Q24" s="87"/>
      <c r="R24" s="84"/>
      <c r="S24" s="84"/>
      <c r="T24" s="84"/>
      <c r="U24" s="84"/>
      <c r="V24" s="84"/>
      <c r="W24" s="84"/>
      <c r="X24" s="84"/>
      <c r="Y24" s="84"/>
      <c r="Z24" s="88"/>
      <c r="AA24" s="152">
        <f>IF(ISBLANK('Hide - Calculation'!K18),"",'Hide - Calculation'!T18)</f>
        <v>1.6159765720367432</v>
      </c>
      <c r="AB24" s="234" t="s">
        <v>26</v>
      </c>
      <c r="AC24" s="131" t="s">
        <v>525</v>
      </c>
    </row>
    <row r="25" spans="2:29" s="63" customFormat="1" ht="33.75" customHeight="1">
      <c r="B25" s="306"/>
      <c r="C25" s="137">
        <v>13</v>
      </c>
      <c r="D25" s="147" t="s">
        <v>351</v>
      </c>
      <c r="E25" s="85"/>
      <c r="F25" s="85"/>
      <c r="G25" s="118">
        <f>IF(VLOOKUP('Hide - Control'!A$3,'All practice data'!A:CA,C25+4,FALSE)=" "," ",VLOOKUP('Hide - Control'!A$3,'All practice data'!A:CA,C25+4,FALSE))</f>
        <v>8</v>
      </c>
      <c r="H25" s="119">
        <f>IF(VLOOKUP('Hide - Control'!A$3,'All practice data'!A:CA,C25+30,FALSE)=" "," ",VLOOKUP('Hide - Control'!A$3,'All practice data'!A:CA,C25+30,FALSE))</f>
        <v>0.14035087719298245</v>
      </c>
      <c r="I25" s="120">
        <f>IF(LEFT(G25,1)=" "," n/a",IF(G25=0," n/a",+((2*G25+1.96^2-1.96*SQRT(1.96^2+4*G25*(1-G25/G23)))/(2*(G23+1.96^2)))))</f>
        <v>0.07287189227128285</v>
      </c>
      <c r="J25" s="120">
        <f>IF(LEFT(G25,1)=" "," n/a",IF(G25=0," n/a",+((2*G25+1.96^2+1.96*SQRT(1.96^2+4*G25*(1-G25/G23)))/(2*(G23+1.96^2)))))</f>
        <v>0.25324707895892806</v>
      </c>
      <c r="K25" s="125">
        <f>IF('Hide - Calculation'!N19="","",'Hide - Calculation'!N19)</f>
        <v>0.14151249594287568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0.3636363744735718</v>
      </c>
      <c r="AB25" s="234" t="s">
        <v>26</v>
      </c>
      <c r="AC25" s="131" t="s">
        <v>525</v>
      </c>
    </row>
    <row r="26" spans="2:29" s="63" customFormat="1" ht="33.75" customHeight="1">
      <c r="B26" s="306"/>
      <c r="C26" s="137">
        <v>14</v>
      </c>
      <c r="D26" s="147" t="s">
        <v>495</v>
      </c>
      <c r="E26" s="85"/>
      <c r="F26" s="85"/>
      <c r="G26" s="121">
        <f>IF(VLOOKUP('Hide - Control'!A$3,'All practice data'!A:CA,C26+4,FALSE)=" "," ",VLOOKUP('Hide - Control'!A$3,'All practice data'!A:CA,C26+4,FALSE))</f>
        <v>12</v>
      </c>
      <c r="H26" s="119">
        <f>IF(VLOOKUP('Hide - Control'!A$3,'All practice data'!A:CA,C26+30,FALSE)=" "," ",VLOOKUP('Hide - Control'!A$3,'All practice data'!A:CA,C26+30,FALSE))</f>
        <v>0.6666666666666666</v>
      </c>
      <c r="I26" s="120">
        <f>IF(OR(LEFT(G26,1)=" ",LEFT(G25,1)=" ")," n/a",IF(G26=0," n/a",+((2*G25+1.96^2-1.96*SQRT(1.96^2+4*G25*(1-G25/G26)))/(2*(G26+1.96^2)))))</f>
        <v>0.3906175873976138</v>
      </c>
      <c r="J26" s="120">
        <f>IF(OR(LEFT(G26,1)=" ",LEFT(G25,1)=" ")," n/a",IF(G26=0," n/a",+((2*G25+1.96^2+1.96*SQRT(1.96^2+4*G25*(1-G25/G26)))/(2*(G26+1.96^2)))))</f>
        <v>0.8618821601026386</v>
      </c>
      <c r="K26" s="125">
        <f>IF('Hide - Calculation'!N20="","",'Hide - Calculation'!N20)</f>
        <v>0.5352977286678944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525</v>
      </c>
    </row>
    <row r="27" spans="2:29" s="63" customFormat="1" ht="33.75" customHeight="1">
      <c r="B27" s="306"/>
      <c r="C27" s="137">
        <v>15</v>
      </c>
      <c r="D27" s="147" t="s">
        <v>482</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304.95881701266796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789.1458129882812</v>
      </c>
      <c r="AB27" s="234" t="s">
        <v>26</v>
      </c>
      <c r="AC27" s="131" t="s">
        <v>525</v>
      </c>
    </row>
    <row r="28" spans="2:29" s="63" customFormat="1" ht="33.75" customHeight="1">
      <c r="B28" s="306"/>
      <c r="C28" s="137">
        <v>16</v>
      </c>
      <c r="D28" s="147" t="s">
        <v>483</v>
      </c>
      <c r="E28" s="85"/>
      <c r="F28" s="85"/>
      <c r="G28" s="121">
        <f>IF(VLOOKUP('Hide - Control'!A$3,'All practice data'!A:CA,C28+4,FALSE)=" "," ",VLOOKUP('Hide - Control'!A$3,'All practice data'!A:CA,C28+4,FALSE))</f>
        <v>15</v>
      </c>
      <c r="H28" s="122">
        <f>IF(VLOOKUP('Hide - Control'!A$3,'All practice data'!A:CA,C28+30,FALSE)=" "," ",VLOOKUP('Hide - Control'!A$3,'All practice data'!A:CA,C28+30,FALSE))</f>
        <v>519.0311418685121</v>
      </c>
      <c r="I28" s="123">
        <f>IF(LEFT(G28,1)=" "," n/a",IF(G28&lt;5,100000*VLOOKUP(G28,'Hide - Calculation'!AQ:AR,2,FALSE)/$E$8,100000*(G28*(1-1/(9*G28)-1.96/(3*SQRT(G28)))^3)/$E$8))</f>
        <v>290.2826756651014</v>
      </c>
      <c r="J28" s="123">
        <f>IF(LEFT(G28,1)=" "," n/a",IF(G28&lt;5,100000*VLOOKUP(G28,'Hide - Calculation'!AQ:AS,3,FALSE)/$E$8,100000*((G28+1)*(1-1/(9*(G28+1))+1.96/(3*SQRT(G28+1)))^3)/$E$8))</f>
        <v>856.1184770695983</v>
      </c>
      <c r="K28" s="122">
        <f>IF('Hide - Calculation'!N22="","",'Hide - Calculation'!N22)</f>
        <v>293.51909830933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696.5361328125</v>
      </c>
      <c r="AB28" s="234" t="s">
        <v>26</v>
      </c>
      <c r="AC28" s="131" t="s">
        <v>525</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124.63272482057704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425.9202880859375</v>
      </c>
      <c r="AB29" s="234" t="s">
        <v>26</v>
      </c>
      <c r="AC29" s="131" t="s">
        <v>525</v>
      </c>
    </row>
    <row r="30" spans="2:29" s="63" customFormat="1" ht="33.75" customHeight="1" thickBot="1">
      <c r="B30" s="309"/>
      <c r="C30" s="180">
        <v>18</v>
      </c>
      <c r="D30" s="181" t="s">
        <v>485</v>
      </c>
      <c r="E30" s="182"/>
      <c r="F30" s="182"/>
      <c r="G30" s="183">
        <f>IF(VLOOKUP('Hide - Control'!A$3,'All practice data'!A:CA,C30+4,FALSE)=" "," ",VLOOKUP('Hide - Control'!A$3,'All practice data'!A:CA,C30+4,FALSE))</f>
        <v>10</v>
      </c>
      <c r="H30" s="184">
        <f>IF(VLOOKUP('Hide - Control'!A$3,'All practice data'!A:CA,C30+30,FALSE)=" "," ",VLOOKUP('Hide - Control'!A$3,'All practice data'!A:CA,C30+30,FALSE))</f>
        <v>346.02076124567475</v>
      </c>
      <c r="I30" s="185">
        <f>IF(LEFT(G30,1)=" "," n/a",IF(G30&lt;5,100000*VLOOKUP(G30,'Hide - Calculation'!AQ:AR,2,FALSE)/$E$8,100000*(G30*(1-1/(9*G30)-1.96/(3*SQRT(G30)))^3)/$E$8))</f>
        <v>165.65329465514193</v>
      </c>
      <c r="J30" s="185">
        <f>IF(LEFT(G30,1)=" "," n/a",IF(G30&lt;5,100000*VLOOKUP(G30,'Hide - Calculation'!AQ:AS,3,FALSE)/$E$8,100000*((G30+1)*(1-1/(9*(G30+1))+1.96/(3*SQRT(G30+1)))^3)/$E$8))</f>
        <v>636.388473150537</v>
      </c>
      <c r="K30" s="184">
        <f>IF('Hide - Calculation'!N24="","",'Hide - Calculation'!N24)</f>
        <v>309.77554067723133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865.9638671875</v>
      </c>
      <c r="AB30" s="235" t="s">
        <v>26</v>
      </c>
      <c r="AC30" s="189" t="s">
        <v>525</v>
      </c>
    </row>
    <row r="31" spans="2:29" s="63" customFormat="1" ht="33.75" customHeight="1">
      <c r="B31" s="304" t="s">
        <v>353</v>
      </c>
      <c r="C31" s="163">
        <v>19</v>
      </c>
      <c r="D31" s="164" t="s">
        <v>357</v>
      </c>
      <c r="E31" s="165"/>
      <c r="F31" s="165"/>
      <c r="G31" s="166">
        <f>IF(VLOOKUP('Hide - Control'!A$3,'All practice data'!A:CA,C31+4,FALSE)=" "," ",VLOOKUP('Hide - Control'!A$3,'All practice data'!A:CA,C31+4,FALSE))</f>
        <v>19</v>
      </c>
      <c r="H31" s="167">
        <f>IF(VLOOKUP('Hide - Control'!A$3,'All practice data'!A:CA,C31+30,FALSE)=" "," ",VLOOKUP('Hide - Control'!A$3,'All practice data'!A:CA,C31+30,FALSE))</f>
        <v>657.439446366782</v>
      </c>
      <c r="I31" s="168">
        <f>IF(LEFT(G31,1)=" "," n/a",IF(G31&lt;5,100000*VLOOKUP(G31,'Hide - Calculation'!AQ:AR,2,FALSE)/$E$8,100000*(G31*(1-1/(9*G31)-1.96/(3*SQRT(G31)))^3)/$E$8))</f>
        <v>395.6355936680996</v>
      </c>
      <c r="J31" s="168">
        <f>IF(LEFT(G31,1)=" "," n/a",IF(G31&lt;5,100000*VLOOKUP(G31,'Hide - Calculation'!AQ:AS,3,FALSE)/$E$8,100000*((G31+1)*(1-1/(9*(G31+1))+1.96/(3*SQRT(G31+1)))^3)/$E$8))</f>
        <v>1026.7320339954827</v>
      </c>
      <c r="K31" s="167">
        <f>IF('Hide - Calculation'!N25="","",'Hide - Calculation'!N25)</f>
        <v>620.7552622706036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1088.64697265625</v>
      </c>
      <c r="AB31" s="233" t="s">
        <v>47</v>
      </c>
      <c r="AC31" s="175" t="s">
        <v>525</v>
      </c>
    </row>
    <row r="32" spans="2:29" s="63" customFormat="1" ht="33.75" customHeight="1">
      <c r="B32" s="305"/>
      <c r="C32" s="137">
        <v>20</v>
      </c>
      <c r="D32" s="132" t="s">
        <v>358</v>
      </c>
      <c r="E32" s="85"/>
      <c r="F32" s="85"/>
      <c r="G32" s="121">
        <f>IF(VLOOKUP('Hide - Control'!A$3,'All practice data'!A:CA,C32+4,FALSE)=" "," ",VLOOKUP('Hide - Control'!A$3,'All practice data'!A:CA,C32+4,FALSE))</f>
        <v>6</v>
      </c>
      <c r="H32" s="122">
        <f>IF(VLOOKUP('Hide - Control'!A$3,'All practice data'!A:CA,C32+30,FALSE)=" "," ",VLOOKUP('Hide - Control'!A$3,'All practice data'!A:CA,C32+30,FALSE))</f>
        <v>207.61245674740485</v>
      </c>
      <c r="I32" s="123">
        <f>IF(LEFT(G32,1)=" "," n/a",IF(G32&lt;5,100000*VLOOKUP(G32,'Hide - Calculation'!AQ:AR,2,FALSE)/$E$8,100000*(G32*(1-1/(9*G32)-1.96/(3*SQRT(G32)))^3)/$E$8))</f>
        <v>75.81109829355292</v>
      </c>
      <c r="J32" s="123">
        <f>IF(LEFT(G32,1)=" "," n/a",IF(G32&lt;5,100000*VLOOKUP(G32,'Hide - Calculation'!AQ:AS,3,FALSE)/$E$8,100000*((G32+1)*(1-1/(9*(G32+1))+1.96/(3*SQRT(G32+1)))^3)/$E$8))</f>
        <v>451.89949026566643</v>
      </c>
      <c r="K32" s="122">
        <f>IF('Hide - Calculation'!N26="","",'Hide - Calculation'!N26)</f>
        <v>298.33582197389336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517.8663940429688</v>
      </c>
      <c r="AB32" s="234" t="s">
        <v>47</v>
      </c>
      <c r="AC32" s="131" t="s">
        <v>525</v>
      </c>
    </row>
    <row r="33" spans="2:29" s="63" customFormat="1" ht="33.75" customHeight="1">
      <c r="B33" s="305"/>
      <c r="C33" s="137">
        <v>21</v>
      </c>
      <c r="D33" s="132" t="s">
        <v>360</v>
      </c>
      <c r="E33" s="85"/>
      <c r="F33" s="85"/>
      <c r="G33" s="121">
        <f>IF(VLOOKUP('Hide - Control'!A$3,'All practice data'!A:CA,C33+4,FALSE)=" "," ",VLOOKUP('Hide - Control'!A$3,'All practice data'!A:CA,C33+4,FALSE))</f>
        <v>45</v>
      </c>
      <c r="H33" s="122">
        <f>IF(VLOOKUP('Hide - Control'!A$3,'All practice data'!A:CA,C33+30,FALSE)=" "," ",VLOOKUP('Hide - Control'!A$3,'All practice data'!A:CA,C33+30,FALSE))</f>
        <v>1557.0934256055364</v>
      </c>
      <c r="I33" s="123">
        <f>IF(LEFT(G33,1)=" "," n/a",IF(G33&lt;5,100000*VLOOKUP(G33,'Hide - Calculation'!AQ:AR,2,FALSE)/$E$8,100000*(G33*(1-1/(9*G33)-1.96/(3*SQRT(G33)))^3)/$E$8))</f>
        <v>1135.6421363338552</v>
      </c>
      <c r="J33" s="123">
        <f>IF(LEFT(G33,1)=" "," n/a",IF(G33&lt;5,100000*VLOOKUP(G33,'Hide - Calculation'!AQ:AS,3,FALSE)/$E$8,100000*((G33+1)*(1-1/(9*(G33+1))+1.96/(3*SQRT(G33+1)))^3)/$E$8))</f>
        <v>2083.5728021352847</v>
      </c>
      <c r="K33" s="122">
        <f>IF('Hide - Calculation'!N27="","",'Hide - Calculation'!N27)</f>
        <v>1488.0665671210443</v>
      </c>
      <c r="L33" s="156">
        <f>'Hide - Calculation'!O27</f>
        <v>1059.3522061277838</v>
      </c>
      <c r="M33" s="148">
        <f>IF(ISBLANK('Hide - Calculation'!K27),"",'Hide - Calculation'!U27)</f>
        <v>751.445068359375</v>
      </c>
      <c r="N33" s="86"/>
      <c r="O33" s="87"/>
      <c r="P33" s="87"/>
      <c r="Q33" s="87"/>
      <c r="R33" s="84"/>
      <c r="S33" s="84"/>
      <c r="T33" s="84"/>
      <c r="U33" s="84"/>
      <c r="V33" s="84"/>
      <c r="W33" s="84"/>
      <c r="X33" s="84"/>
      <c r="Y33" s="84"/>
      <c r="Z33" s="88"/>
      <c r="AA33" s="148">
        <f>IF(ISBLANK('Hide - Calculation'!K27),"",'Hide - Calculation'!T27)</f>
        <v>2506.9638671875</v>
      </c>
      <c r="AB33" s="234" t="s">
        <v>47</v>
      </c>
      <c r="AC33" s="131" t="s">
        <v>525</v>
      </c>
    </row>
    <row r="34" spans="2:29" s="63" customFormat="1" ht="33.75" customHeight="1">
      <c r="B34" s="305"/>
      <c r="C34" s="137">
        <v>22</v>
      </c>
      <c r="D34" s="132" t="s">
        <v>359</v>
      </c>
      <c r="E34" s="85"/>
      <c r="F34" s="85"/>
      <c r="G34" s="118">
        <f>IF(VLOOKUP('Hide - Control'!A$3,'All practice data'!A:CA,C34+4,FALSE)=" "," ",VLOOKUP('Hide - Control'!A$3,'All practice data'!A:CA,C34+4,FALSE))</f>
        <v>26</v>
      </c>
      <c r="H34" s="122">
        <f>IF(VLOOKUP('Hide - Control'!A$3,'All practice data'!A:CA,C34+30,FALSE)=" "," ",VLOOKUP('Hide - Control'!A$3,'All practice data'!A:CA,C34+30,FALSE))</f>
        <v>899.6539792387543</v>
      </c>
      <c r="I34" s="123">
        <f>IF(LEFT(G34,1)=" "," n/a",IF(G34&lt;5,100000*VLOOKUP(G34,'Hide - Calculation'!AQ:AR,2,FALSE)/$E$8,100000*(G34*(1-1/(9*G34)-1.96/(3*SQRT(G34)))^3)/$E$8))</f>
        <v>587.5300197968853</v>
      </c>
      <c r="J34" s="123">
        <f>IF(LEFT(G34,1)=" "," n/a",IF(G34&lt;5,100000*VLOOKUP(G34,'Hide - Calculation'!AQ:AS,3,FALSE)/$E$8,100000*((G34+1)*(1-1/(9*(G34+1))+1.96/(3*SQRT(G34+1)))^3)/$E$8))</f>
        <v>1318.2621999237658</v>
      </c>
      <c r="K34" s="122">
        <f>IF('Hide - Calculation'!N28="","",'Hide - Calculation'!N28)</f>
        <v>712.2730118973075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1203.9127197265625</v>
      </c>
      <c r="AB34" s="234" t="s">
        <v>47</v>
      </c>
      <c r="AC34" s="131" t="s">
        <v>525</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535</v>
      </c>
      <c r="C39" s="244"/>
      <c r="D39" s="244"/>
      <c r="E39" s="303" t="s">
        <v>539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591</v>
      </c>
      <c r="B4" s="79" t="s">
        <v>340</v>
      </c>
      <c r="C4" s="79" t="s">
        <v>191</v>
      </c>
      <c r="D4" s="99">
        <v>2890</v>
      </c>
      <c r="E4" s="99">
        <v>431</v>
      </c>
      <c r="F4" s="99" t="s">
        <v>363</v>
      </c>
      <c r="G4" s="99">
        <v>13</v>
      </c>
      <c r="H4" s="99">
        <v>14</v>
      </c>
      <c r="I4" s="99">
        <v>67</v>
      </c>
      <c r="J4" s="99">
        <v>216</v>
      </c>
      <c r="K4" s="99" t="s">
        <v>538</v>
      </c>
      <c r="L4" s="99">
        <v>401</v>
      </c>
      <c r="M4" s="99">
        <v>142</v>
      </c>
      <c r="N4" s="99">
        <v>93</v>
      </c>
      <c r="O4" s="99">
        <v>57</v>
      </c>
      <c r="P4" s="159">
        <v>57</v>
      </c>
      <c r="Q4" s="99">
        <v>8</v>
      </c>
      <c r="R4" s="99">
        <v>12</v>
      </c>
      <c r="S4" s="99" t="s">
        <v>538</v>
      </c>
      <c r="T4" s="99">
        <v>15</v>
      </c>
      <c r="U4" s="99" t="s">
        <v>538</v>
      </c>
      <c r="V4" s="99">
        <v>10</v>
      </c>
      <c r="W4" s="99">
        <v>19</v>
      </c>
      <c r="X4" s="99">
        <v>6</v>
      </c>
      <c r="Y4" s="99">
        <v>45</v>
      </c>
      <c r="Z4" s="99">
        <v>26</v>
      </c>
      <c r="AA4" s="99" t="s">
        <v>538</v>
      </c>
      <c r="AB4" s="99" t="s">
        <v>538</v>
      </c>
      <c r="AC4" s="99" t="s">
        <v>538</v>
      </c>
      <c r="AD4" s="98" t="s">
        <v>343</v>
      </c>
      <c r="AE4" s="100">
        <v>0.14913494809688582</v>
      </c>
      <c r="AF4" s="100">
        <v>0.21</v>
      </c>
      <c r="AG4" s="98">
        <v>449.8269896193772</v>
      </c>
      <c r="AH4" s="98">
        <v>484.42906574394465</v>
      </c>
      <c r="AI4" s="100">
        <v>0.023</v>
      </c>
      <c r="AJ4" s="100">
        <v>0.644776</v>
      </c>
      <c r="AK4" s="100" t="s">
        <v>538</v>
      </c>
      <c r="AL4" s="100">
        <v>0.79249</v>
      </c>
      <c r="AM4" s="100">
        <v>0.459547</v>
      </c>
      <c r="AN4" s="100">
        <v>0.525424</v>
      </c>
      <c r="AO4" s="98">
        <v>1972.318339100346</v>
      </c>
      <c r="AP4" s="158">
        <v>1.073888016</v>
      </c>
      <c r="AQ4" s="100">
        <v>0.14035087719298245</v>
      </c>
      <c r="AR4" s="100">
        <v>0.6666666666666666</v>
      </c>
      <c r="AS4" s="98" t="s">
        <v>538</v>
      </c>
      <c r="AT4" s="98">
        <v>519.0311418685121</v>
      </c>
      <c r="AU4" s="98" t="s">
        <v>538</v>
      </c>
      <c r="AV4" s="98">
        <v>346.02076124567475</v>
      </c>
      <c r="AW4" s="98">
        <v>657.439446366782</v>
      </c>
      <c r="AX4" s="98">
        <v>207.61245674740485</v>
      </c>
      <c r="AY4" s="98">
        <v>1557.0934256055364</v>
      </c>
      <c r="AZ4" s="98">
        <v>899.6539792387543</v>
      </c>
      <c r="BA4" s="100" t="s">
        <v>538</v>
      </c>
      <c r="BB4" s="100" t="s">
        <v>538</v>
      </c>
      <c r="BC4" s="100" t="s">
        <v>538</v>
      </c>
      <c r="BD4" s="158">
        <v>0.8133522797</v>
      </c>
      <c r="BE4" s="158">
        <v>1.391346436</v>
      </c>
      <c r="BF4" s="162">
        <v>335</v>
      </c>
      <c r="BG4" s="162" t="s">
        <v>538</v>
      </c>
      <c r="BH4" s="162">
        <v>506</v>
      </c>
      <c r="BI4" s="162">
        <v>309</v>
      </c>
      <c r="BJ4" s="162">
        <v>177</v>
      </c>
      <c r="BK4" s="97"/>
      <c r="BL4" s="97"/>
      <c r="BM4" s="97"/>
      <c r="BN4" s="97"/>
    </row>
    <row r="5" spans="1:66" ht="12.75">
      <c r="A5" s="79" t="s">
        <v>552</v>
      </c>
      <c r="B5" s="79" t="s">
        <v>297</v>
      </c>
      <c r="C5" s="79" t="s">
        <v>191</v>
      </c>
      <c r="D5" s="99">
        <v>4850</v>
      </c>
      <c r="E5" s="99">
        <v>790</v>
      </c>
      <c r="F5" s="99" t="s">
        <v>364</v>
      </c>
      <c r="G5" s="99">
        <v>19</v>
      </c>
      <c r="H5" s="99">
        <v>14</v>
      </c>
      <c r="I5" s="99">
        <v>70</v>
      </c>
      <c r="J5" s="99">
        <v>372</v>
      </c>
      <c r="K5" s="99">
        <v>336</v>
      </c>
      <c r="L5" s="99">
        <v>751</v>
      </c>
      <c r="M5" s="99">
        <v>187</v>
      </c>
      <c r="N5" s="99">
        <v>119</v>
      </c>
      <c r="O5" s="99">
        <v>59</v>
      </c>
      <c r="P5" s="159">
        <v>59</v>
      </c>
      <c r="Q5" s="99">
        <v>9</v>
      </c>
      <c r="R5" s="99">
        <v>22</v>
      </c>
      <c r="S5" s="99">
        <v>22</v>
      </c>
      <c r="T5" s="99">
        <v>6</v>
      </c>
      <c r="U5" s="99" t="s">
        <v>538</v>
      </c>
      <c r="V5" s="99" t="s">
        <v>538</v>
      </c>
      <c r="W5" s="99">
        <v>21</v>
      </c>
      <c r="X5" s="99">
        <v>10</v>
      </c>
      <c r="Y5" s="99">
        <v>77</v>
      </c>
      <c r="Z5" s="99">
        <v>34</v>
      </c>
      <c r="AA5" s="99" t="s">
        <v>538</v>
      </c>
      <c r="AB5" s="99" t="s">
        <v>538</v>
      </c>
      <c r="AC5" s="99" t="s">
        <v>538</v>
      </c>
      <c r="AD5" s="98" t="s">
        <v>343</v>
      </c>
      <c r="AE5" s="100">
        <v>0.16288659793814433</v>
      </c>
      <c r="AF5" s="100">
        <v>0.35</v>
      </c>
      <c r="AG5" s="98">
        <v>391.7525773195876</v>
      </c>
      <c r="AH5" s="98">
        <v>288.659793814433</v>
      </c>
      <c r="AI5" s="100">
        <v>0.013999999999999999</v>
      </c>
      <c r="AJ5" s="100">
        <v>0.708571</v>
      </c>
      <c r="AK5" s="100">
        <v>0.660118</v>
      </c>
      <c r="AL5" s="100">
        <v>0.651344</v>
      </c>
      <c r="AM5" s="100">
        <v>0.385567</v>
      </c>
      <c r="AN5" s="100">
        <v>0.432727</v>
      </c>
      <c r="AO5" s="98">
        <v>1216.4948453608247</v>
      </c>
      <c r="AP5" s="158">
        <v>0.6740386963</v>
      </c>
      <c r="AQ5" s="100">
        <v>0.15254237288135594</v>
      </c>
      <c r="AR5" s="100">
        <v>0.4090909090909091</v>
      </c>
      <c r="AS5" s="98">
        <v>453.6082474226804</v>
      </c>
      <c r="AT5" s="98">
        <v>123.71134020618557</v>
      </c>
      <c r="AU5" s="98" t="s">
        <v>538</v>
      </c>
      <c r="AV5" s="98" t="s">
        <v>538</v>
      </c>
      <c r="AW5" s="98">
        <v>432.9896907216495</v>
      </c>
      <c r="AX5" s="98">
        <v>206.18556701030928</v>
      </c>
      <c r="AY5" s="98">
        <v>1587.6288659793815</v>
      </c>
      <c r="AZ5" s="98">
        <v>701.0309278350516</v>
      </c>
      <c r="BA5" s="100" t="s">
        <v>538</v>
      </c>
      <c r="BB5" s="100" t="s">
        <v>538</v>
      </c>
      <c r="BC5" s="100" t="s">
        <v>538</v>
      </c>
      <c r="BD5" s="158">
        <v>0.5131094742</v>
      </c>
      <c r="BE5" s="158">
        <v>0.8694608307</v>
      </c>
      <c r="BF5" s="162">
        <v>525</v>
      </c>
      <c r="BG5" s="162">
        <v>509</v>
      </c>
      <c r="BH5" s="162">
        <v>1153</v>
      </c>
      <c r="BI5" s="162">
        <v>485</v>
      </c>
      <c r="BJ5" s="162">
        <v>275</v>
      </c>
      <c r="BK5" s="97"/>
      <c r="BL5" s="97"/>
      <c r="BM5" s="97"/>
      <c r="BN5" s="97"/>
    </row>
    <row r="6" spans="1:66" ht="12.75">
      <c r="A6" s="79" t="s">
        <v>561</v>
      </c>
      <c r="B6" s="79" t="s">
        <v>306</v>
      </c>
      <c r="C6" s="79" t="s">
        <v>191</v>
      </c>
      <c r="D6" s="99">
        <v>7990</v>
      </c>
      <c r="E6" s="99">
        <v>1066</v>
      </c>
      <c r="F6" s="99" t="s">
        <v>364</v>
      </c>
      <c r="G6" s="99">
        <v>44</v>
      </c>
      <c r="H6" s="99">
        <v>13</v>
      </c>
      <c r="I6" s="99">
        <v>86</v>
      </c>
      <c r="J6" s="99">
        <v>612</v>
      </c>
      <c r="K6" s="99" t="s">
        <v>538</v>
      </c>
      <c r="L6" s="99">
        <v>1335</v>
      </c>
      <c r="M6" s="99">
        <v>348</v>
      </c>
      <c r="N6" s="99">
        <v>197</v>
      </c>
      <c r="O6" s="99">
        <v>147</v>
      </c>
      <c r="P6" s="159">
        <v>147</v>
      </c>
      <c r="Q6" s="99">
        <v>13</v>
      </c>
      <c r="R6" s="99">
        <v>23</v>
      </c>
      <c r="S6" s="99">
        <v>51</v>
      </c>
      <c r="T6" s="99">
        <v>21</v>
      </c>
      <c r="U6" s="99">
        <v>11</v>
      </c>
      <c r="V6" s="99">
        <v>15</v>
      </c>
      <c r="W6" s="99">
        <v>45</v>
      </c>
      <c r="X6" s="99">
        <v>25</v>
      </c>
      <c r="Y6" s="99">
        <v>107</v>
      </c>
      <c r="Z6" s="99">
        <v>29</v>
      </c>
      <c r="AA6" s="99" t="s">
        <v>538</v>
      </c>
      <c r="AB6" s="99" t="s">
        <v>538</v>
      </c>
      <c r="AC6" s="99" t="s">
        <v>538</v>
      </c>
      <c r="AD6" s="98" t="s">
        <v>343</v>
      </c>
      <c r="AE6" s="100">
        <v>0.13341677096370463</v>
      </c>
      <c r="AF6" s="100">
        <v>0.26</v>
      </c>
      <c r="AG6" s="98">
        <v>550.6883604505632</v>
      </c>
      <c r="AH6" s="98">
        <v>162.70337922403004</v>
      </c>
      <c r="AI6" s="100">
        <v>0.011000000000000001</v>
      </c>
      <c r="AJ6" s="100">
        <v>0.653148</v>
      </c>
      <c r="AK6" s="100" t="s">
        <v>538</v>
      </c>
      <c r="AL6" s="100">
        <v>0.693867</v>
      </c>
      <c r="AM6" s="100">
        <v>0.425949</v>
      </c>
      <c r="AN6" s="100">
        <v>0.459207</v>
      </c>
      <c r="AO6" s="98">
        <v>1839.799749687109</v>
      </c>
      <c r="AP6" s="158">
        <v>1.087734528</v>
      </c>
      <c r="AQ6" s="100">
        <v>0.08843537414965986</v>
      </c>
      <c r="AR6" s="100">
        <v>0.5652173913043478</v>
      </c>
      <c r="AS6" s="98">
        <v>638.2978723404256</v>
      </c>
      <c r="AT6" s="98">
        <v>262.828535669587</v>
      </c>
      <c r="AU6" s="98">
        <v>137.6720901126408</v>
      </c>
      <c r="AV6" s="98">
        <v>187.7346683354193</v>
      </c>
      <c r="AW6" s="98">
        <v>563.2040050062578</v>
      </c>
      <c r="AX6" s="98">
        <v>312.89111389236547</v>
      </c>
      <c r="AY6" s="98">
        <v>1339.173967459324</v>
      </c>
      <c r="AZ6" s="98">
        <v>362.95369211514395</v>
      </c>
      <c r="BA6" s="100" t="s">
        <v>538</v>
      </c>
      <c r="BB6" s="100" t="s">
        <v>538</v>
      </c>
      <c r="BC6" s="100" t="s">
        <v>538</v>
      </c>
      <c r="BD6" s="158">
        <v>0.9190065765</v>
      </c>
      <c r="BE6" s="158">
        <v>1.27846962</v>
      </c>
      <c r="BF6" s="162">
        <v>937</v>
      </c>
      <c r="BG6" s="162" t="s">
        <v>538</v>
      </c>
      <c r="BH6" s="162">
        <v>1924</v>
      </c>
      <c r="BI6" s="162">
        <v>817</v>
      </c>
      <c r="BJ6" s="162">
        <v>429</v>
      </c>
      <c r="BK6" s="97"/>
      <c r="BL6" s="97"/>
      <c r="BM6" s="97"/>
      <c r="BN6" s="97"/>
    </row>
    <row r="7" spans="1:66" ht="12.75">
      <c r="A7" s="79" t="s">
        <v>586</v>
      </c>
      <c r="B7" s="79" t="s">
        <v>335</v>
      </c>
      <c r="C7" s="79" t="s">
        <v>191</v>
      </c>
      <c r="D7" s="99">
        <v>2128</v>
      </c>
      <c r="E7" s="99">
        <v>394</v>
      </c>
      <c r="F7" s="99" t="s">
        <v>366</v>
      </c>
      <c r="G7" s="99">
        <v>10</v>
      </c>
      <c r="H7" s="99">
        <v>9</v>
      </c>
      <c r="I7" s="99">
        <v>41</v>
      </c>
      <c r="J7" s="99">
        <v>254</v>
      </c>
      <c r="K7" s="99">
        <v>242</v>
      </c>
      <c r="L7" s="99">
        <v>397</v>
      </c>
      <c r="M7" s="99">
        <v>141</v>
      </c>
      <c r="N7" s="99">
        <v>85</v>
      </c>
      <c r="O7" s="99">
        <v>22</v>
      </c>
      <c r="P7" s="159">
        <v>22</v>
      </c>
      <c r="Q7" s="99">
        <v>8</v>
      </c>
      <c r="R7" s="99">
        <v>12</v>
      </c>
      <c r="S7" s="99">
        <v>7</v>
      </c>
      <c r="T7" s="99" t="s">
        <v>538</v>
      </c>
      <c r="U7" s="99" t="s">
        <v>538</v>
      </c>
      <c r="V7" s="99" t="s">
        <v>538</v>
      </c>
      <c r="W7" s="99">
        <v>17</v>
      </c>
      <c r="X7" s="99" t="s">
        <v>538</v>
      </c>
      <c r="Y7" s="99">
        <v>26</v>
      </c>
      <c r="Z7" s="99">
        <v>14</v>
      </c>
      <c r="AA7" s="99" t="s">
        <v>538</v>
      </c>
      <c r="AB7" s="99" t="s">
        <v>538</v>
      </c>
      <c r="AC7" s="99" t="s">
        <v>538</v>
      </c>
      <c r="AD7" s="98" t="s">
        <v>343</v>
      </c>
      <c r="AE7" s="100">
        <v>0.18515037593984962</v>
      </c>
      <c r="AF7" s="100">
        <v>0.14</v>
      </c>
      <c r="AG7" s="98">
        <v>469.9248120300752</v>
      </c>
      <c r="AH7" s="98">
        <v>422.9323308270677</v>
      </c>
      <c r="AI7" s="100">
        <v>0.019</v>
      </c>
      <c r="AJ7" s="100">
        <v>0.819355</v>
      </c>
      <c r="AK7" s="100">
        <v>0.803987</v>
      </c>
      <c r="AL7" s="100">
        <v>0.744841</v>
      </c>
      <c r="AM7" s="100">
        <v>0.522222</v>
      </c>
      <c r="AN7" s="100">
        <v>0.57047</v>
      </c>
      <c r="AO7" s="98">
        <v>1033.8345864661653</v>
      </c>
      <c r="AP7" s="158">
        <v>0.5080946732</v>
      </c>
      <c r="AQ7" s="100">
        <v>0.36363636363636365</v>
      </c>
      <c r="AR7" s="100">
        <v>0.6666666666666666</v>
      </c>
      <c r="AS7" s="98">
        <v>328.94736842105266</v>
      </c>
      <c r="AT7" s="98" t="s">
        <v>538</v>
      </c>
      <c r="AU7" s="98" t="s">
        <v>538</v>
      </c>
      <c r="AV7" s="98" t="s">
        <v>538</v>
      </c>
      <c r="AW7" s="98">
        <v>798.8721804511279</v>
      </c>
      <c r="AX7" s="98" t="s">
        <v>538</v>
      </c>
      <c r="AY7" s="98">
        <v>1221.8045112781954</v>
      </c>
      <c r="AZ7" s="98">
        <v>657.8947368421053</v>
      </c>
      <c r="BA7" s="100" t="s">
        <v>538</v>
      </c>
      <c r="BB7" s="100" t="s">
        <v>538</v>
      </c>
      <c r="BC7" s="100" t="s">
        <v>538</v>
      </c>
      <c r="BD7" s="158">
        <v>0.3184202194</v>
      </c>
      <c r="BE7" s="158">
        <v>0.7692613983</v>
      </c>
      <c r="BF7" s="162">
        <v>310</v>
      </c>
      <c r="BG7" s="162">
        <v>301</v>
      </c>
      <c r="BH7" s="162">
        <v>533</v>
      </c>
      <c r="BI7" s="162">
        <v>270</v>
      </c>
      <c r="BJ7" s="162">
        <v>149</v>
      </c>
      <c r="BK7" s="97"/>
      <c r="BL7" s="97"/>
      <c r="BM7" s="97"/>
      <c r="BN7" s="97"/>
    </row>
    <row r="8" spans="1:66" ht="12.75">
      <c r="A8" s="79" t="s">
        <v>544</v>
      </c>
      <c r="B8" s="79" t="s">
        <v>287</v>
      </c>
      <c r="C8" s="79" t="s">
        <v>191</v>
      </c>
      <c r="D8" s="99">
        <v>9528</v>
      </c>
      <c r="E8" s="99">
        <v>1891</v>
      </c>
      <c r="F8" s="99" t="s">
        <v>365</v>
      </c>
      <c r="G8" s="99">
        <v>54</v>
      </c>
      <c r="H8" s="99">
        <v>30</v>
      </c>
      <c r="I8" s="99">
        <v>185</v>
      </c>
      <c r="J8" s="99">
        <v>955</v>
      </c>
      <c r="K8" s="99">
        <v>21</v>
      </c>
      <c r="L8" s="99">
        <v>1869</v>
      </c>
      <c r="M8" s="99">
        <v>716</v>
      </c>
      <c r="N8" s="99">
        <v>404</v>
      </c>
      <c r="O8" s="99">
        <v>124</v>
      </c>
      <c r="P8" s="159">
        <v>124</v>
      </c>
      <c r="Q8" s="99">
        <v>28</v>
      </c>
      <c r="R8" s="99">
        <v>48</v>
      </c>
      <c r="S8" s="99">
        <v>12</v>
      </c>
      <c r="T8" s="99">
        <v>17</v>
      </c>
      <c r="U8" s="99">
        <v>10</v>
      </c>
      <c r="V8" s="99">
        <v>26</v>
      </c>
      <c r="W8" s="99">
        <v>64</v>
      </c>
      <c r="X8" s="99">
        <v>17</v>
      </c>
      <c r="Y8" s="99">
        <v>124</v>
      </c>
      <c r="Z8" s="99">
        <v>62</v>
      </c>
      <c r="AA8" s="99" t="s">
        <v>538</v>
      </c>
      <c r="AB8" s="99" t="s">
        <v>538</v>
      </c>
      <c r="AC8" s="99" t="s">
        <v>538</v>
      </c>
      <c r="AD8" s="98" t="s">
        <v>343</v>
      </c>
      <c r="AE8" s="100">
        <v>0.19846767422334172</v>
      </c>
      <c r="AF8" s="100">
        <v>0.11</v>
      </c>
      <c r="AG8" s="98">
        <v>566.7506297229219</v>
      </c>
      <c r="AH8" s="98">
        <v>314.86146095717885</v>
      </c>
      <c r="AI8" s="100">
        <v>0.019</v>
      </c>
      <c r="AJ8" s="100">
        <v>0.747847</v>
      </c>
      <c r="AK8" s="100">
        <v>0.724138</v>
      </c>
      <c r="AL8" s="100">
        <v>0.766298</v>
      </c>
      <c r="AM8" s="100">
        <v>0.597164</v>
      </c>
      <c r="AN8" s="100">
        <v>0.63125</v>
      </c>
      <c r="AO8" s="98">
        <v>1301.4273719563391</v>
      </c>
      <c r="AP8" s="158">
        <v>0.6405821991</v>
      </c>
      <c r="AQ8" s="100">
        <v>0.22580645161290322</v>
      </c>
      <c r="AR8" s="100">
        <v>0.5833333333333334</v>
      </c>
      <c r="AS8" s="98">
        <v>125.94458438287154</v>
      </c>
      <c r="AT8" s="98">
        <v>178.42149454240135</v>
      </c>
      <c r="AU8" s="98">
        <v>104.95382031905962</v>
      </c>
      <c r="AV8" s="98">
        <v>272.879932829555</v>
      </c>
      <c r="AW8" s="98">
        <v>671.7044500419815</v>
      </c>
      <c r="AX8" s="98">
        <v>178.42149454240135</v>
      </c>
      <c r="AY8" s="98">
        <v>1301.4273719563391</v>
      </c>
      <c r="AZ8" s="98">
        <v>650.7136859781696</v>
      </c>
      <c r="BA8" s="100" t="s">
        <v>538</v>
      </c>
      <c r="BB8" s="100" t="s">
        <v>538</v>
      </c>
      <c r="BC8" s="100" t="s">
        <v>538</v>
      </c>
      <c r="BD8" s="158">
        <v>0.532803154</v>
      </c>
      <c r="BE8" s="158">
        <v>0.7637615967000001</v>
      </c>
      <c r="BF8" s="162">
        <v>1277</v>
      </c>
      <c r="BG8" s="162">
        <v>29</v>
      </c>
      <c r="BH8" s="162">
        <v>2439</v>
      </c>
      <c r="BI8" s="162">
        <v>1199</v>
      </c>
      <c r="BJ8" s="162">
        <v>640</v>
      </c>
      <c r="BK8" s="97"/>
      <c r="BL8" s="97"/>
      <c r="BM8" s="97"/>
      <c r="BN8" s="97"/>
    </row>
    <row r="9" spans="1:66" ht="12.75">
      <c r="A9" s="79" t="s">
        <v>571</v>
      </c>
      <c r="B9" s="79" t="s">
        <v>316</v>
      </c>
      <c r="C9" s="79" t="s">
        <v>191</v>
      </c>
      <c r="D9" s="99">
        <v>9609</v>
      </c>
      <c r="E9" s="99">
        <v>1452</v>
      </c>
      <c r="F9" s="99" t="s">
        <v>364</v>
      </c>
      <c r="G9" s="99">
        <v>46</v>
      </c>
      <c r="H9" s="99">
        <v>29</v>
      </c>
      <c r="I9" s="99">
        <v>126</v>
      </c>
      <c r="J9" s="99">
        <v>909</v>
      </c>
      <c r="K9" s="99">
        <v>843</v>
      </c>
      <c r="L9" s="99">
        <v>1842</v>
      </c>
      <c r="M9" s="99">
        <v>493</v>
      </c>
      <c r="N9" s="99">
        <v>291</v>
      </c>
      <c r="O9" s="99">
        <v>178</v>
      </c>
      <c r="P9" s="159">
        <v>178</v>
      </c>
      <c r="Q9" s="99">
        <v>20</v>
      </c>
      <c r="R9" s="99">
        <v>40</v>
      </c>
      <c r="S9" s="99">
        <v>32</v>
      </c>
      <c r="T9" s="99">
        <v>29</v>
      </c>
      <c r="U9" s="99">
        <v>10</v>
      </c>
      <c r="V9" s="99">
        <v>30</v>
      </c>
      <c r="W9" s="99">
        <v>52</v>
      </c>
      <c r="X9" s="99">
        <v>27</v>
      </c>
      <c r="Y9" s="99">
        <v>137</v>
      </c>
      <c r="Z9" s="99">
        <v>68</v>
      </c>
      <c r="AA9" s="99" t="s">
        <v>538</v>
      </c>
      <c r="AB9" s="99" t="s">
        <v>538</v>
      </c>
      <c r="AC9" s="99" t="s">
        <v>538</v>
      </c>
      <c r="AD9" s="98" t="s">
        <v>343</v>
      </c>
      <c r="AE9" s="100">
        <v>0.15110833593506087</v>
      </c>
      <c r="AF9" s="100">
        <v>0.25</v>
      </c>
      <c r="AG9" s="98">
        <v>478.7178686647934</v>
      </c>
      <c r="AH9" s="98">
        <v>301.8003954625872</v>
      </c>
      <c r="AI9" s="100">
        <v>0.013000000000000001</v>
      </c>
      <c r="AJ9" s="100">
        <v>0.815247</v>
      </c>
      <c r="AK9" s="100">
        <v>0.779113</v>
      </c>
      <c r="AL9" s="100">
        <v>0.746051</v>
      </c>
      <c r="AM9" s="100">
        <v>0.502037</v>
      </c>
      <c r="AN9" s="100">
        <v>0.525271</v>
      </c>
      <c r="AO9" s="98">
        <v>1852.4300135289832</v>
      </c>
      <c r="AP9" s="158">
        <v>1.028908997</v>
      </c>
      <c r="AQ9" s="100">
        <v>0.11235955056179775</v>
      </c>
      <c r="AR9" s="100">
        <v>0.5</v>
      </c>
      <c r="AS9" s="98">
        <v>333.0211260276824</v>
      </c>
      <c r="AT9" s="98">
        <v>301.8003954625872</v>
      </c>
      <c r="AU9" s="98">
        <v>104.06910188365075</v>
      </c>
      <c r="AV9" s="98">
        <v>312.2073056509522</v>
      </c>
      <c r="AW9" s="98">
        <v>541.1593297949838</v>
      </c>
      <c r="AX9" s="98">
        <v>280.986575085857</v>
      </c>
      <c r="AY9" s="98">
        <v>1425.7466958060152</v>
      </c>
      <c r="AZ9" s="98">
        <v>707.669892808825</v>
      </c>
      <c r="BA9" s="100" t="s">
        <v>538</v>
      </c>
      <c r="BB9" s="100" t="s">
        <v>538</v>
      </c>
      <c r="BC9" s="100" t="s">
        <v>538</v>
      </c>
      <c r="BD9" s="158">
        <v>0.8833036804</v>
      </c>
      <c r="BE9" s="158">
        <v>1.191664276</v>
      </c>
      <c r="BF9" s="162">
        <v>1115</v>
      </c>
      <c r="BG9" s="162">
        <v>1082</v>
      </c>
      <c r="BH9" s="162">
        <v>2469</v>
      </c>
      <c r="BI9" s="162">
        <v>982</v>
      </c>
      <c r="BJ9" s="162">
        <v>554</v>
      </c>
      <c r="BK9" s="97"/>
      <c r="BL9" s="97"/>
      <c r="BM9" s="97"/>
      <c r="BN9" s="97"/>
    </row>
    <row r="10" spans="1:66" ht="12.75">
      <c r="A10" s="79" t="s">
        <v>546</v>
      </c>
      <c r="B10" s="79" t="s">
        <v>290</v>
      </c>
      <c r="C10" s="79" t="s">
        <v>191</v>
      </c>
      <c r="D10" s="99">
        <v>5653</v>
      </c>
      <c r="E10" s="99">
        <v>994</v>
      </c>
      <c r="F10" s="99" t="s">
        <v>364</v>
      </c>
      <c r="G10" s="99">
        <v>44</v>
      </c>
      <c r="H10" s="99">
        <v>24</v>
      </c>
      <c r="I10" s="99">
        <v>101</v>
      </c>
      <c r="J10" s="99">
        <v>537</v>
      </c>
      <c r="K10" s="99" t="s">
        <v>538</v>
      </c>
      <c r="L10" s="99">
        <v>982</v>
      </c>
      <c r="M10" s="99">
        <v>288</v>
      </c>
      <c r="N10" s="99">
        <v>174</v>
      </c>
      <c r="O10" s="99">
        <v>73</v>
      </c>
      <c r="P10" s="159">
        <v>73</v>
      </c>
      <c r="Q10" s="99">
        <v>13</v>
      </c>
      <c r="R10" s="99">
        <v>25</v>
      </c>
      <c r="S10" s="99">
        <v>20</v>
      </c>
      <c r="T10" s="99" t="s">
        <v>538</v>
      </c>
      <c r="U10" s="99">
        <v>8</v>
      </c>
      <c r="V10" s="99">
        <v>9</v>
      </c>
      <c r="W10" s="99">
        <v>24</v>
      </c>
      <c r="X10" s="99">
        <v>10</v>
      </c>
      <c r="Y10" s="99">
        <v>89</v>
      </c>
      <c r="Z10" s="99">
        <v>36</v>
      </c>
      <c r="AA10" s="99" t="s">
        <v>538</v>
      </c>
      <c r="AB10" s="99" t="s">
        <v>538</v>
      </c>
      <c r="AC10" s="99" t="s">
        <v>538</v>
      </c>
      <c r="AD10" s="98" t="s">
        <v>343</v>
      </c>
      <c r="AE10" s="100">
        <v>0.17583583937732178</v>
      </c>
      <c r="AF10" s="100">
        <v>0.25</v>
      </c>
      <c r="AG10" s="98">
        <v>778.347779939855</v>
      </c>
      <c r="AH10" s="98">
        <v>424.5533345126482</v>
      </c>
      <c r="AI10" s="100">
        <v>0.018000000000000002</v>
      </c>
      <c r="AJ10" s="100">
        <v>0.72372</v>
      </c>
      <c r="AK10" s="100" t="s">
        <v>538</v>
      </c>
      <c r="AL10" s="100">
        <v>0.743376</v>
      </c>
      <c r="AM10" s="100">
        <v>0.466775</v>
      </c>
      <c r="AN10" s="100">
        <v>0.507289</v>
      </c>
      <c r="AO10" s="98">
        <v>1291.3497258093048</v>
      </c>
      <c r="AP10" s="158">
        <v>0.6511091614</v>
      </c>
      <c r="AQ10" s="100">
        <v>0.1780821917808219</v>
      </c>
      <c r="AR10" s="100">
        <v>0.52</v>
      </c>
      <c r="AS10" s="98">
        <v>353.79444542720677</v>
      </c>
      <c r="AT10" s="98" t="s">
        <v>538</v>
      </c>
      <c r="AU10" s="98">
        <v>141.5177781708827</v>
      </c>
      <c r="AV10" s="98">
        <v>159.20750044224306</v>
      </c>
      <c r="AW10" s="98">
        <v>424.5533345126482</v>
      </c>
      <c r="AX10" s="98">
        <v>176.89722271360338</v>
      </c>
      <c r="AY10" s="98">
        <v>1574.3852821510702</v>
      </c>
      <c r="AZ10" s="98">
        <v>636.8300017689722</v>
      </c>
      <c r="BA10" s="100" t="s">
        <v>538</v>
      </c>
      <c r="BB10" s="100" t="s">
        <v>538</v>
      </c>
      <c r="BC10" s="100" t="s">
        <v>538</v>
      </c>
      <c r="BD10" s="158">
        <v>0.5103656387000001</v>
      </c>
      <c r="BE10" s="158">
        <v>0.8186720276</v>
      </c>
      <c r="BF10" s="162">
        <v>742</v>
      </c>
      <c r="BG10" s="162" t="s">
        <v>538</v>
      </c>
      <c r="BH10" s="162">
        <v>1321</v>
      </c>
      <c r="BI10" s="162">
        <v>617</v>
      </c>
      <c r="BJ10" s="162">
        <v>343</v>
      </c>
      <c r="BK10" s="97"/>
      <c r="BL10" s="97"/>
      <c r="BM10" s="97"/>
      <c r="BN10" s="97"/>
    </row>
    <row r="11" spans="1:66" ht="12.75">
      <c r="A11" s="79" t="s">
        <v>550</v>
      </c>
      <c r="B11" s="79" t="s">
        <v>295</v>
      </c>
      <c r="C11" s="79" t="s">
        <v>191</v>
      </c>
      <c r="D11" s="99">
        <v>8171</v>
      </c>
      <c r="E11" s="99">
        <v>1278</v>
      </c>
      <c r="F11" s="99" t="s">
        <v>363</v>
      </c>
      <c r="G11" s="99">
        <v>42</v>
      </c>
      <c r="H11" s="99">
        <v>9</v>
      </c>
      <c r="I11" s="99">
        <v>131</v>
      </c>
      <c r="J11" s="99">
        <v>698</v>
      </c>
      <c r="K11" s="99">
        <v>674</v>
      </c>
      <c r="L11" s="99">
        <v>1521</v>
      </c>
      <c r="M11" s="99">
        <v>447</v>
      </c>
      <c r="N11" s="99">
        <v>261</v>
      </c>
      <c r="O11" s="99">
        <v>115</v>
      </c>
      <c r="P11" s="159">
        <v>115</v>
      </c>
      <c r="Q11" s="99">
        <v>15</v>
      </c>
      <c r="R11" s="99">
        <v>35</v>
      </c>
      <c r="S11" s="99">
        <v>28</v>
      </c>
      <c r="T11" s="99">
        <v>23</v>
      </c>
      <c r="U11" s="99">
        <v>6</v>
      </c>
      <c r="V11" s="99">
        <v>15</v>
      </c>
      <c r="W11" s="99">
        <v>47</v>
      </c>
      <c r="X11" s="99">
        <v>18</v>
      </c>
      <c r="Y11" s="99">
        <v>104</v>
      </c>
      <c r="Z11" s="99">
        <v>40</v>
      </c>
      <c r="AA11" s="99" t="s">
        <v>538</v>
      </c>
      <c r="AB11" s="99" t="s">
        <v>538</v>
      </c>
      <c r="AC11" s="99" t="s">
        <v>538</v>
      </c>
      <c r="AD11" s="98" t="s">
        <v>343</v>
      </c>
      <c r="AE11" s="100">
        <v>0.15640680455268632</v>
      </c>
      <c r="AF11" s="100">
        <v>0.24</v>
      </c>
      <c r="AG11" s="98">
        <v>514.0129727083588</v>
      </c>
      <c r="AH11" s="98">
        <v>110.14563700893403</v>
      </c>
      <c r="AI11" s="100">
        <v>0.016</v>
      </c>
      <c r="AJ11" s="100">
        <v>0.703629</v>
      </c>
      <c r="AK11" s="100">
        <v>0.711721</v>
      </c>
      <c r="AL11" s="100">
        <v>0.711745</v>
      </c>
      <c r="AM11" s="100">
        <v>0.509112</v>
      </c>
      <c r="AN11" s="100">
        <v>0.529412</v>
      </c>
      <c r="AO11" s="98">
        <v>1407.416472891935</v>
      </c>
      <c r="AP11" s="158">
        <v>0.7611526489</v>
      </c>
      <c r="AQ11" s="100">
        <v>0.13043478260869565</v>
      </c>
      <c r="AR11" s="100">
        <v>0.42857142857142855</v>
      </c>
      <c r="AS11" s="98">
        <v>342.6753151389059</v>
      </c>
      <c r="AT11" s="98">
        <v>281.48329457838696</v>
      </c>
      <c r="AU11" s="98">
        <v>73.43042467262269</v>
      </c>
      <c r="AV11" s="98">
        <v>183.57606168155672</v>
      </c>
      <c r="AW11" s="98">
        <v>575.2049932688777</v>
      </c>
      <c r="AX11" s="98">
        <v>220.29127401786806</v>
      </c>
      <c r="AY11" s="98">
        <v>1272.7940276587933</v>
      </c>
      <c r="AZ11" s="98">
        <v>489.53616448415124</v>
      </c>
      <c r="BA11" s="100" t="s">
        <v>538</v>
      </c>
      <c r="BB11" s="100" t="s">
        <v>538</v>
      </c>
      <c r="BC11" s="100" t="s">
        <v>538</v>
      </c>
      <c r="BD11" s="158">
        <v>0.6284095764</v>
      </c>
      <c r="BE11" s="158">
        <v>0.9136484528</v>
      </c>
      <c r="BF11" s="162">
        <v>992</v>
      </c>
      <c r="BG11" s="162">
        <v>947</v>
      </c>
      <c r="BH11" s="162">
        <v>2137</v>
      </c>
      <c r="BI11" s="162">
        <v>878</v>
      </c>
      <c r="BJ11" s="162">
        <v>493</v>
      </c>
      <c r="BK11" s="97"/>
      <c r="BL11" s="97"/>
      <c r="BM11" s="97"/>
      <c r="BN11" s="97"/>
    </row>
    <row r="12" spans="1:66" ht="12.75">
      <c r="A12" s="79" t="s">
        <v>543</v>
      </c>
      <c r="B12" s="79" t="s">
        <v>286</v>
      </c>
      <c r="C12" s="79" t="s">
        <v>191</v>
      </c>
      <c r="D12" s="99">
        <v>11643</v>
      </c>
      <c r="E12" s="99">
        <v>2342</v>
      </c>
      <c r="F12" s="99" t="s">
        <v>365</v>
      </c>
      <c r="G12" s="99">
        <v>75</v>
      </c>
      <c r="H12" s="99">
        <v>43</v>
      </c>
      <c r="I12" s="99">
        <v>236</v>
      </c>
      <c r="J12" s="99">
        <v>1213</v>
      </c>
      <c r="K12" s="99">
        <v>8</v>
      </c>
      <c r="L12" s="99">
        <v>2166</v>
      </c>
      <c r="M12" s="99">
        <v>868</v>
      </c>
      <c r="N12" s="99">
        <v>502</v>
      </c>
      <c r="O12" s="99">
        <v>314</v>
      </c>
      <c r="P12" s="159">
        <v>314</v>
      </c>
      <c r="Q12" s="99">
        <v>43</v>
      </c>
      <c r="R12" s="99">
        <v>75</v>
      </c>
      <c r="S12" s="99">
        <v>46</v>
      </c>
      <c r="T12" s="99">
        <v>42</v>
      </c>
      <c r="U12" s="99">
        <v>17</v>
      </c>
      <c r="V12" s="99">
        <v>65</v>
      </c>
      <c r="W12" s="99">
        <v>89</v>
      </c>
      <c r="X12" s="99">
        <v>40</v>
      </c>
      <c r="Y12" s="99">
        <v>218</v>
      </c>
      <c r="Z12" s="99">
        <v>95</v>
      </c>
      <c r="AA12" s="99" t="s">
        <v>538</v>
      </c>
      <c r="AB12" s="99" t="s">
        <v>538</v>
      </c>
      <c r="AC12" s="99" t="s">
        <v>538</v>
      </c>
      <c r="AD12" s="98" t="s">
        <v>343</v>
      </c>
      <c r="AE12" s="100">
        <v>0.20115090612385125</v>
      </c>
      <c r="AF12" s="100">
        <v>0.11</v>
      </c>
      <c r="AG12" s="98">
        <v>644.1638752898738</v>
      </c>
      <c r="AH12" s="98">
        <v>369.3206218328609</v>
      </c>
      <c r="AI12" s="100">
        <v>0.02</v>
      </c>
      <c r="AJ12" s="100">
        <v>0.766267</v>
      </c>
      <c r="AK12" s="100">
        <v>0.666667</v>
      </c>
      <c r="AL12" s="100">
        <v>0.768903</v>
      </c>
      <c r="AM12" s="100">
        <v>0.595745</v>
      </c>
      <c r="AN12" s="100">
        <v>0.644416</v>
      </c>
      <c r="AO12" s="98">
        <v>2696.899424546938</v>
      </c>
      <c r="AP12" s="158">
        <v>1.32347702</v>
      </c>
      <c r="AQ12" s="100">
        <v>0.13694267515923567</v>
      </c>
      <c r="AR12" s="100">
        <v>0.5733333333333334</v>
      </c>
      <c r="AS12" s="98">
        <v>395.0871768444559</v>
      </c>
      <c r="AT12" s="98">
        <v>360.73177016232927</v>
      </c>
      <c r="AU12" s="98">
        <v>146.01047839903805</v>
      </c>
      <c r="AV12" s="98">
        <v>558.2753585845572</v>
      </c>
      <c r="AW12" s="98">
        <v>764.4077986773168</v>
      </c>
      <c r="AX12" s="98">
        <v>343.554066821266</v>
      </c>
      <c r="AY12" s="98">
        <v>1872.3696641758997</v>
      </c>
      <c r="AZ12" s="98">
        <v>815.9409087005067</v>
      </c>
      <c r="BA12" s="100" t="s">
        <v>538</v>
      </c>
      <c r="BB12" s="100" t="s">
        <v>538</v>
      </c>
      <c r="BC12" s="100" t="s">
        <v>538</v>
      </c>
      <c r="BD12" s="158">
        <v>1.181123047</v>
      </c>
      <c r="BE12" s="158">
        <v>1.478261261</v>
      </c>
      <c r="BF12" s="162">
        <v>1583</v>
      </c>
      <c r="BG12" s="162">
        <v>12</v>
      </c>
      <c r="BH12" s="162">
        <v>2817</v>
      </c>
      <c r="BI12" s="162">
        <v>1457</v>
      </c>
      <c r="BJ12" s="162">
        <v>779</v>
      </c>
      <c r="BK12" s="97"/>
      <c r="BL12" s="97"/>
      <c r="BM12" s="97"/>
      <c r="BN12" s="97"/>
    </row>
    <row r="13" spans="1:66" ht="12.75">
      <c r="A13" s="79" t="s">
        <v>585</v>
      </c>
      <c r="B13" s="79" t="s">
        <v>334</v>
      </c>
      <c r="C13" s="79" t="s">
        <v>191</v>
      </c>
      <c r="D13" s="99">
        <v>4285</v>
      </c>
      <c r="E13" s="99">
        <v>632</v>
      </c>
      <c r="F13" s="99" t="s">
        <v>364</v>
      </c>
      <c r="G13" s="99">
        <v>23</v>
      </c>
      <c r="H13" s="99">
        <v>9</v>
      </c>
      <c r="I13" s="99">
        <v>62</v>
      </c>
      <c r="J13" s="99">
        <v>269</v>
      </c>
      <c r="K13" s="99" t="s">
        <v>538</v>
      </c>
      <c r="L13" s="99">
        <v>658</v>
      </c>
      <c r="M13" s="99">
        <v>170</v>
      </c>
      <c r="N13" s="99">
        <v>105</v>
      </c>
      <c r="O13" s="99">
        <v>112</v>
      </c>
      <c r="P13" s="159">
        <v>112</v>
      </c>
      <c r="Q13" s="99">
        <v>8</v>
      </c>
      <c r="R13" s="99">
        <v>14</v>
      </c>
      <c r="S13" s="99">
        <v>14</v>
      </c>
      <c r="T13" s="99">
        <v>19</v>
      </c>
      <c r="U13" s="99" t="s">
        <v>538</v>
      </c>
      <c r="V13" s="99">
        <v>15</v>
      </c>
      <c r="W13" s="99">
        <v>35</v>
      </c>
      <c r="X13" s="99">
        <v>8</v>
      </c>
      <c r="Y13" s="99">
        <v>81</v>
      </c>
      <c r="Z13" s="99">
        <v>15</v>
      </c>
      <c r="AA13" s="99" t="s">
        <v>538</v>
      </c>
      <c r="AB13" s="99" t="s">
        <v>538</v>
      </c>
      <c r="AC13" s="99" t="s">
        <v>538</v>
      </c>
      <c r="AD13" s="98" t="s">
        <v>343</v>
      </c>
      <c r="AE13" s="100">
        <v>0.14749124854142356</v>
      </c>
      <c r="AF13" s="100">
        <v>0.32</v>
      </c>
      <c r="AG13" s="98">
        <v>536.7561260210035</v>
      </c>
      <c r="AH13" s="98">
        <v>210.0350058343057</v>
      </c>
      <c r="AI13" s="100">
        <v>0.013999999999999999</v>
      </c>
      <c r="AJ13" s="100">
        <v>0.619816</v>
      </c>
      <c r="AK13" s="100" t="s">
        <v>538</v>
      </c>
      <c r="AL13" s="100">
        <v>0.681159</v>
      </c>
      <c r="AM13" s="100">
        <v>0.388128</v>
      </c>
      <c r="AN13" s="100">
        <v>0.416667</v>
      </c>
      <c r="AO13" s="98">
        <v>2613.768961493582</v>
      </c>
      <c r="AP13" s="158">
        <v>1.522214203</v>
      </c>
      <c r="AQ13" s="100">
        <v>0.07142857142857142</v>
      </c>
      <c r="AR13" s="100">
        <v>0.5714285714285714</v>
      </c>
      <c r="AS13" s="98">
        <v>326.72112018669776</v>
      </c>
      <c r="AT13" s="98">
        <v>443.40723453908987</v>
      </c>
      <c r="AU13" s="98" t="s">
        <v>538</v>
      </c>
      <c r="AV13" s="98">
        <v>350.0583430571762</v>
      </c>
      <c r="AW13" s="98">
        <v>816.8028004667444</v>
      </c>
      <c r="AX13" s="98">
        <v>186.6977829638273</v>
      </c>
      <c r="AY13" s="98">
        <v>1890.3150525087515</v>
      </c>
      <c r="AZ13" s="98">
        <v>350.0583430571762</v>
      </c>
      <c r="BA13" s="100" t="s">
        <v>538</v>
      </c>
      <c r="BB13" s="100" t="s">
        <v>538</v>
      </c>
      <c r="BC13" s="100" t="s">
        <v>538</v>
      </c>
      <c r="BD13" s="158">
        <v>1.2533864590000001</v>
      </c>
      <c r="BE13" s="158">
        <v>1.831619263</v>
      </c>
      <c r="BF13" s="162">
        <v>434</v>
      </c>
      <c r="BG13" s="162" t="s">
        <v>538</v>
      </c>
      <c r="BH13" s="162">
        <v>966</v>
      </c>
      <c r="BI13" s="162">
        <v>438</v>
      </c>
      <c r="BJ13" s="162">
        <v>252</v>
      </c>
      <c r="BK13" s="97"/>
      <c r="BL13" s="97"/>
      <c r="BM13" s="97"/>
      <c r="BN13" s="97"/>
    </row>
    <row r="14" spans="1:66" ht="12.75">
      <c r="A14" s="79" t="s">
        <v>563</v>
      </c>
      <c r="B14" s="79" t="s">
        <v>308</v>
      </c>
      <c r="C14" s="79" t="s">
        <v>191</v>
      </c>
      <c r="D14" s="99">
        <v>3937</v>
      </c>
      <c r="E14" s="99">
        <v>548</v>
      </c>
      <c r="F14" s="99" t="s">
        <v>364</v>
      </c>
      <c r="G14" s="99">
        <v>25</v>
      </c>
      <c r="H14" s="99">
        <v>8</v>
      </c>
      <c r="I14" s="99">
        <v>58</v>
      </c>
      <c r="J14" s="99">
        <v>310</v>
      </c>
      <c r="K14" s="99" t="s">
        <v>538</v>
      </c>
      <c r="L14" s="99">
        <v>734</v>
      </c>
      <c r="M14" s="99">
        <v>148</v>
      </c>
      <c r="N14" s="99">
        <v>88</v>
      </c>
      <c r="O14" s="99">
        <v>84</v>
      </c>
      <c r="P14" s="159">
        <v>84</v>
      </c>
      <c r="Q14" s="99">
        <v>6</v>
      </c>
      <c r="R14" s="99">
        <v>13</v>
      </c>
      <c r="S14" s="99">
        <v>9</v>
      </c>
      <c r="T14" s="99">
        <v>21</v>
      </c>
      <c r="U14" s="99">
        <v>6</v>
      </c>
      <c r="V14" s="99">
        <v>10</v>
      </c>
      <c r="W14" s="99">
        <v>29</v>
      </c>
      <c r="X14" s="99">
        <v>12</v>
      </c>
      <c r="Y14" s="99">
        <v>75</v>
      </c>
      <c r="Z14" s="99">
        <v>34</v>
      </c>
      <c r="AA14" s="99" t="s">
        <v>538</v>
      </c>
      <c r="AB14" s="99" t="s">
        <v>538</v>
      </c>
      <c r="AC14" s="99" t="s">
        <v>538</v>
      </c>
      <c r="AD14" s="98" t="s">
        <v>343</v>
      </c>
      <c r="AE14" s="100">
        <v>0.13919227838455678</v>
      </c>
      <c r="AF14" s="100">
        <v>0.33</v>
      </c>
      <c r="AG14" s="98">
        <v>635.00127000254</v>
      </c>
      <c r="AH14" s="98">
        <v>203.2004064008128</v>
      </c>
      <c r="AI14" s="100">
        <v>0.015</v>
      </c>
      <c r="AJ14" s="100">
        <v>0.687361</v>
      </c>
      <c r="AK14" s="100" t="s">
        <v>538</v>
      </c>
      <c r="AL14" s="100">
        <v>0.782516</v>
      </c>
      <c r="AM14" s="100">
        <v>0.432749</v>
      </c>
      <c r="AN14" s="100">
        <v>0.451282</v>
      </c>
      <c r="AO14" s="98">
        <v>2133.6042672085346</v>
      </c>
      <c r="AP14" s="158">
        <v>1.2965794370000001</v>
      </c>
      <c r="AQ14" s="100">
        <v>0.07142857142857142</v>
      </c>
      <c r="AR14" s="100">
        <v>0.46153846153846156</v>
      </c>
      <c r="AS14" s="98">
        <v>228.6004572009144</v>
      </c>
      <c r="AT14" s="98">
        <v>533.4010668021336</v>
      </c>
      <c r="AU14" s="98">
        <v>152.4003048006096</v>
      </c>
      <c r="AV14" s="98">
        <v>254.00050800101602</v>
      </c>
      <c r="AW14" s="98">
        <v>736.6014732029464</v>
      </c>
      <c r="AX14" s="98">
        <v>304.8006096012192</v>
      </c>
      <c r="AY14" s="98">
        <v>1905.00381000762</v>
      </c>
      <c r="AZ14" s="98">
        <v>863.6017272034544</v>
      </c>
      <c r="BA14" s="100" t="s">
        <v>538</v>
      </c>
      <c r="BB14" s="100" t="s">
        <v>538</v>
      </c>
      <c r="BC14" s="100" t="s">
        <v>538</v>
      </c>
      <c r="BD14" s="158">
        <v>1.034202499</v>
      </c>
      <c r="BE14" s="158">
        <v>1.605253601</v>
      </c>
      <c r="BF14" s="162">
        <v>451</v>
      </c>
      <c r="BG14" s="162" t="s">
        <v>538</v>
      </c>
      <c r="BH14" s="162">
        <v>938</v>
      </c>
      <c r="BI14" s="162">
        <v>342</v>
      </c>
      <c r="BJ14" s="162">
        <v>195</v>
      </c>
      <c r="BK14" s="97"/>
      <c r="BL14" s="97"/>
      <c r="BM14" s="97"/>
      <c r="BN14" s="97"/>
    </row>
    <row r="15" spans="1:66" ht="12.75">
      <c r="A15" s="79" t="s">
        <v>577</v>
      </c>
      <c r="B15" s="79" t="s">
        <v>322</v>
      </c>
      <c r="C15" s="79" t="s">
        <v>191</v>
      </c>
      <c r="D15" s="99">
        <v>3601</v>
      </c>
      <c r="E15" s="99">
        <v>549</v>
      </c>
      <c r="F15" s="99" t="s">
        <v>363</v>
      </c>
      <c r="G15" s="99">
        <v>8</v>
      </c>
      <c r="H15" s="99">
        <v>11</v>
      </c>
      <c r="I15" s="99">
        <v>68</v>
      </c>
      <c r="J15" s="99">
        <v>311</v>
      </c>
      <c r="K15" s="99" t="s">
        <v>538</v>
      </c>
      <c r="L15" s="99">
        <v>674</v>
      </c>
      <c r="M15" s="99">
        <v>168</v>
      </c>
      <c r="N15" s="99">
        <v>100</v>
      </c>
      <c r="O15" s="99">
        <v>61</v>
      </c>
      <c r="P15" s="159">
        <v>61</v>
      </c>
      <c r="Q15" s="99">
        <v>12</v>
      </c>
      <c r="R15" s="99">
        <v>22</v>
      </c>
      <c r="S15" s="99">
        <v>13</v>
      </c>
      <c r="T15" s="99">
        <v>7</v>
      </c>
      <c r="U15" s="99" t="s">
        <v>538</v>
      </c>
      <c r="V15" s="99">
        <v>14</v>
      </c>
      <c r="W15" s="99">
        <v>21</v>
      </c>
      <c r="X15" s="99">
        <v>12</v>
      </c>
      <c r="Y15" s="99">
        <v>69</v>
      </c>
      <c r="Z15" s="99">
        <v>25</v>
      </c>
      <c r="AA15" s="99" t="s">
        <v>538</v>
      </c>
      <c r="AB15" s="99" t="s">
        <v>538</v>
      </c>
      <c r="AC15" s="99" t="s">
        <v>538</v>
      </c>
      <c r="AD15" s="98" t="s">
        <v>343</v>
      </c>
      <c r="AE15" s="100">
        <v>0.1524576506525965</v>
      </c>
      <c r="AF15" s="100">
        <v>0.21</v>
      </c>
      <c r="AG15" s="98">
        <v>222.16051096917522</v>
      </c>
      <c r="AH15" s="98">
        <v>305.47070258261596</v>
      </c>
      <c r="AI15" s="100">
        <v>0.019</v>
      </c>
      <c r="AJ15" s="100">
        <v>0.691111</v>
      </c>
      <c r="AK15" s="100" t="s">
        <v>538</v>
      </c>
      <c r="AL15" s="100">
        <v>0.729437</v>
      </c>
      <c r="AM15" s="100">
        <v>0.421053</v>
      </c>
      <c r="AN15" s="100">
        <v>0.454545</v>
      </c>
      <c r="AO15" s="98">
        <v>1693.9738961399612</v>
      </c>
      <c r="AP15" s="158">
        <v>0.9144848632999999</v>
      </c>
      <c r="AQ15" s="100">
        <v>0.19672131147540983</v>
      </c>
      <c r="AR15" s="100">
        <v>0.5454545454545454</v>
      </c>
      <c r="AS15" s="98">
        <v>361.01083032490976</v>
      </c>
      <c r="AT15" s="98">
        <v>194.39044709802832</v>
      </c>
      <c r="AU15" s="98" t="s">
        <v>538</v>
      </c>
      <c r="AV15" s="98">
        <v>388.78089419605664</v>
      </c>
      <c r="AW15" s="98">
        <v>583.171341294085</v>
      </c>
      <c r="AX15" s="98">
        <v>333.24076645376283</v>
      </c>
      <c r="AY15" s="98">
        <v>1916.1344071091364</v>
      </c>
      <c r="AZ15" s="98">
        <v>694.2515967786726</v>
      </c>
      <c r="BA15" s="100" t="s">
        <v>538</v>
      </c>
      <c r="BB15" s="100" t="s">
        <v>538</v>
      </c>
      <c r="BC15" s="100" t="s">
        <v>538</v>
      </c>
      <c r="BD15" s="158">
        <v>0.6995085144</v>
      </c>
      <c r="BE15" s="158">
        <v>1.174694061</v>
      </c>
      <c r="BF15" s="162">
        <v>450</v>
      </c>
      <c r="BG15" s="162" t="s">
        <v>538</v>
      </c>
      <c r="BH15" s="162">
        <v>924</v>
      </c>
      <c r="BI15" s="162">
        <v>399</v>
      </c>
      <c r="BJ15" s="162">
        <v>220</v>
      </c>
      <c r="BK15" s="97"/>
      <c r="BL15" s="97"/>
      <c r="BM15" s="97"/>
      <c r="BN15" s="97"/>
    </row>
    <row r="16" spans="1:66" ht="12.75">
      <c r="A16" s="79" t="s">
        <v>564</v>
      </c>
      <c r="B16" s="79" t="s">
        <v>309</v>
      </c>
      <c r="C16" s="79" t="s">
        <v>191</v>
      </c>
      <c r="D16" s="99">
        <v>5052</v>
      </c>
      <c r="E16" s="99">
        <v>765</v>
      </c>
      <c r="F16" s="99" t="s">
        <v>364</v>
      </c>
      <c r="G16" s="99">
        <v>14</v>
      </c>
      <c r="H16" s="99">
        <v>19</v>
      </c>
      <c r="I16" s="99">
        <v>71</v>
      </c>
      <c r="J16" s="99">
        <v>394</v>
      </c>
      <c r="K16" s="99">
        <v>384</v>
      </c>
      <c r="L16" s="99">
        <v>701</v>
      </c>
      <c r="M16" s="99">
        <v>244</v>
      </c>
      <c r="N16" s="99">
        <v>138</v>
      </c>
      <c r="O16" s="99">
        <v>64</v>
      </c>
      <c r="P16" s="159">
        <v>64</v>
      </c>
      <c r="Q16" s="99">
        <v>10</v>
      </c>
      <c r="R16" s="99">
        <v>20</v>
      </c>
      <c r="S16" s="99" t="s">
        <v>538</v>
      </c>
      <c r="T16" s="99">
        <v>7</v>
      </c>
      <c r="U16" s="99">
        <v>7</v>
      </c>
      <c r="V16" s="99">
        <v>19</v>
      </c>
      <c r="W16" s="99">
        <v>35</v>
      </c>
      <c r="X16" s="99">
        <v>21</v>
      </c>
      <c r="Y16" s="99">
        <v>82</v>
      </c>
      <c r="Z16" s="99">
        <v>45</v>
      </c>
      <c r="AA16" s="99" t="s">
        <v>538</v>
      </c>
      <c r="AB16" s="99" t="s">
        <v>538</v>
      </c>
      <c r="AC16" s="99" t="s">
        <v>538</v>
      </c>
      <c r="AD16" s="98" t="s">
        <v>343</v>
      </c>
      <c r="AE16" s="100">
        <v>0.1514251781472684</v>
      </c>
      <c r="AF16" s="100">
        <v>0.32</v>
      </c>
      <c r="AG16" s="98">
        <v>277.11797307996835</v>
      </c>
      <c r="AH16" s="98">
        <v>376.0886777513856</v>
      </c>
      <c r="AI16" s="100">
        <v>0.013999999999999999</v>
      </c>
      <c r="AJ16" s="100">
        <v>0.658863</v>
      </c>
      <c r="AK16" s="100">
        <v>0.66436</v>
      </c>
      <c r="AL16" s="100">
        <v>0.64253</v>
      </c>
      <c r="AM16" s="100">
        <v>0.424348</v>
      </c>
      <c r="AN16" s="100">
        <v>0.456954</v>
      </c>
      <c r="AO16" s="98">
        <v>1266.8250197941409</v>
      </c>
      <c r="AP16" s="158">
        <v>0.7138442992999999</v>
      </c>
      <c r="AQ16" s="100">
        <v>0.15625</v>
      </c>
      <c r="AR16" s="100">
        <v>0.5</v>
      </c>
      <c r="AS16" s="98" t="s">
        <v>538</v>
      </c>
      <c r="AT16" s="98">
        <v>138.55898653998418</v>
      </c>
      <c r="AU16" s="98">
        <v>138.55898653998418</v>
      </c>
      <c r="AV16" s="98">
        <v>376.0886777513856</v>
      </c>
      <c r="AW16" s="98">
        <v>692.7949326999209</v>
      </c>
      <c r="AX16" s="98">
        <v>415.67695961995247</v>
      </c>
      <c r="AY16" s="98">
        <v>1623.119556611243</v>
      </c>
      <c r="AZ16" s="98">
        <v>890.7363420427554</v>
      </c>
      <c r="BA16" s="100" t="s">
        <v>538</v>
      </c>
      <c r="BB16" s="100" t="s">
        <v>538</v>
      </c>
      <c r="BC16" s="100" t="s">
        <v>538</v>
      </c>
      <c r="BD16" s="158">
        <v>0.5497470856000001</v>
      </c>
      <c r="BE16" s="158">
        <v>0.9115631866</v>
      </c>
      <c r="BF16" s="162">
        <v>598</v>
      </c>
      <c r="BG16" s="162">
        <v>578</v>
      </c>
      <c r="BH16" s="162">
        <v>1091</v>
      </c>
      <c r="BI16" s="162">
        <v>575</v>
      </c>
      <c r="BJ16" s="162">
        <v>302</v>
      </c>
      <c r="BK16" s="97"/>
      <c r="BL16" s="97"/>
      <c r="BM16" s="97"/>
      <c r="BN16" s="97"/>
    </row>
    <row r="17" spans="1:66" ht="12.75">
      <c r="A17" s="79" t="s">
        <v>565</v>
      </c>
      <c r="B17" s="79" t="s">
        <v>310</v>
      </c>
      <c r="C17" s="79" t="s">
        <v>191</v>
      </c>
      <c r="D17" s="99">
        <v>7473</v>
      </c>
      <c r="E17" s="99">
        <v>1776</v>
      </c>
      <c r="F17" s="99" t="s">
        <v>367</v>
      </c>
      <c r="G17" s="99">
        <v>54</v>
      </c>
      <c r="H17" s="99">
        <v>21</v>
      </c>
      <c r="I17" s="99">
        <v>197</v>
      </c>
      <c r="J17" s="99">
        <v>918</v>
      </c>
      <c r="K17" s="99" t="s">
        <v>538</v>
      </c>
      <c r="L17" s="99">
        <v>1497</v>
      </c>
      <c r="M17" s="99">
        <v>644</v>
      </c>
      <c r="N17" s="99">
        <v>362</v>
      </c>
      <c r="O17" s="99">
        <v>171</v>
      </c>
      <c r="P17" s="159">
        <v>171</v>
      </c>
      <c r="Q17" s="99">
        <v>18</v>
      </c>
      <c r="R17" s="99">
        <v>35</v>
      </c>
      <c r="S17" s="99">
        <v>29</v>
      </c>
      <c r="T17" s="99">
        <v>27</v>
      </c>
      <c r="U17" s="99">
        <v>7</v>
      </c>
      <c r="V17" s="99">
        <v>42</v>
      </c>
      <c r="W17" s="99">
        <v>51</v>
      </c>
      <c r="X17" s="99">
        <v>22</v>
      </c>
      <c r="Y17" s="99">
        <v>134</v>
      </c>
      <c r="Z17" s="99">
        <v>44</v>
      </c>
      <c r="AA17" s="99" t="s">
        <v>538</v>
      </c>
      <c r="AB17" s="99" t="s">
        <v>538</v>
      </c>
      <c r="AC17" s="99" t="s">
        <v>538</v>
      </c>
      <c r="AD17" s="98" t="s">
        <v>343</v>
      </c>
      <c r="AE17" s="100">
        <v>0.2376555600160578</v>
      </c>
      <c r="AF17" s="100">
        <v>0.07</v>
      </c>
      <c r="AG17" s="98">
        <v>722.6013649136893</v>
      </c>
      <c r="AH17" s="98">
        <v>281.0116419108792</v>
      </c>
      <c r="AI17" s="100">
        <v>0.026000000000000002</v>
      </c>
      <c r="AJ17" s="100">
        <v>0.785287</v>
      </c>
      <c r="AK17" s="100" t="s">
        <v>538</v>
      </c>
      <c r="AL17" s="100">
        <v>0.792483</v>
      </c>
      <c r="AM17" s="100">
        <v>0.621022</v>
      </c>
      <c r="AN17" s="100">
        <v>0.641844</v>
      </c>
      <c r="AO17" s="98">
        <v>2288.2376555600163</v>
      </c>
      <c r="AP17" s="158">
        <v>0.9988751983999999</v>
      </c>
      <c r="AQ17" s="100">
        <v>0.10526315789473684</v>
      </c>
      <c r="AR17" s="100">
        <v>0.5142857142857142</v>
      </c>
      <c r="AS17" s="98">
        <v>388.06369597216644</v>
      </c>
      <c r="AT17" s="98">
        <v>361.30068245684464</v>
      </c>
      <c r="AU17" s="98">
        <v>93.67054730362639</v>
      </c>
      <c r="AV17" s="98">
        <v>562.0232838217584</v>
      </c>
      <c r="AW17" s="98">
        <v>682.4568446407065</v>
      </c>
      <c r="AX17" s="98">
        <v>294.39314866854005</v>
      </c>
      <c r="AY17" s="98">
        <v>1793.1219055265624</v>
      </c>
      <c r="AZ17" s="98">
        <v>588.7862973370801</v>
      </c>
      <c r="BA17" s="100" t="s">
        <v>538</v>
      </c>
      <c r="BB17" s="100" t="s">
        <v>538</v>
      </c>
      <c r="BC17" s="100" t="s">
        <v>538</v>
      </c>
      <c r="BD17" s="158">
        <v>0.8547686768</v>
      </c>
      <c r="BE17" s="158">
        <v>1.160321198</v>
      </c>
      <c r="BF17" s="162">
        <v>1169</v>
      </c>
      <c r="BG17" s="162" t="s">
        <v>538</v>
      </c>
      <c r="BH17" s="162">
        <v>1889</v>
      </c>
      <c r="BI17" s="162">
        <v>1037</v>
      </c>
      <c r="BJ17" s="162">
        <v>564</v>
      </c>
      <c r="BK17" s="97"/>
      <c r="BL17" s="97"/>
      <c r="BM17" s="97"/>
      <c r="BN17" s="97"/>
    </row>
    <row r="18" spans="1:66" ht="12.75">
      <c r="A18" s="79" t="s">
        <v>570</v>
      </c>
      <c r="B18" s="79" t="s">
        <v>315</v>
      </c>
      <c r="C18" s="79" t="s">
        <v>191</v>
      </c>
      <c r="D18" s="99">
        <v>7737</v>
      </c>
      <c r="E18" s="99">
        <v>1334</v>
      </c>
      <c r="F18" s="99" t="s">
        <v>364</v>
      </c>
      <c r="G18" s="99">
        <v>37</v>
      </c>
      <c r="H18" s="99">
        <v>18</v>
      </c>
      <c r="I18" s="99">
        <v>105</v>
      </c>
      <c r="J18" s="99">
        <v>661</v>
      </c>
      <c r="K18" s="99">
        <v>640</v>
      </c>
      <c r="L18" s="99">
        <v>1340</v>
      </c>
      <c r="M18" s="99">
        <v>376</v>
      </c>
      <c r="N18" s="99">
        <v>209</v>
      </c>
      <c r="O18" s="99">
        <v>134</v>
      </c>
      <c r="P18" s="159">
        <v>134</v>
      </c>
      <c r="Q18" s="99">
        <v>24</v>
      </c>
      <c r="R18" s="99">
        <v>44</v>
      </c>
      <c r="S18" s="99">
        <v>24</v>
      </c>
      <c r="T18" s="99">
        <v>24</v>
      </c>
      <c r="U18" s="99">
        <v>9</v>
      </c>
      <c r="V18" s="99">
        <v>9</v>
      </c>
      <c r="W18" s="99">
        <v>34</v>
      </c>
      <c r="X18" s="99">
        <v>11</v>
      </c>
      <c r="Y18" s="99">
        <v>103</v>
      </c>
      <c r="Z18" s="99">
        <v>36</v>
      </c>
      <c r="AA18" s="99" t="s">
        <v>538</v>
      </c>
      <c r="AB18" s="99" t="s">
        <v>538</v>
      </c>
      <c r="AC18" s="99" t="s">
        <v>538</v>
      </c>
      <c r="AD18" s="98" t="s">
        <v>343</v>
      </c>
      <c r="AE18" s="100">
        <v>0.17241824996768773</v>
      </c>
      <c r="AF18" s="100">
        <v>0.24</v>
      </c>
      <c r="AG18" s="98">
        <v>478.22153289388655</v>
      </c>
      <c r="AH18" s="98">
        <v>232.64831329972858</v>
      </c>
      <c r="AI18" s="100">
        <v>0.013999999999999999</v>
      </c>
      <c r="AJ18" s="100">
        <v>0.728776</v>
      </c>
      <c r="AK18" s="100">
        <v>0.724802</v>
      </c>
      <c r="AL18" s="100">
        <v>0.715048</v>
      </c>
      <c r="AM18" s="100">
        <v>0.468244</v>
      </c>
      <c r="AN18" s="100">
        <v>0.464444</v>
      </c>
      <c r="AO18" s="98">
        <v>1731.937443453535</v>
      </c>
      <c r="AP18" s="158">
        <v>0.925730896</v>
      </c>
      <c r="AQ18" s="100">
        <v>0.1791044776119403</v>
      </c>
      <c r="AR18" s="100">
        <v>0.5454545454545454</v>
      </c>
      <c r="AS18" s="98">
        <v>310.19775106630476</v>
      </c>
      <c r="AT18" s="98">
        <v>310.19775106630476</v>
      </c>
      <c r="AU18" s="98">
        <v>116.32415664986429</v>
      </c>
      <c r="AV18" s="98">
        <v>116.32415664986429</v>
      </c>
      <c r="AW18" s="98">
        <v>439.4468140105984</v>
      </c>
      <c r="AX18" s="98">
        <v>142.17396923872303</v>
      </c>
      <c r="AY18" s="98">
        <v>1331.2653483262247</v>
      </c>
      <c r="AZ18" s="98">
        <v>465.29662659945717</v>
      </c>
      <c r="BA18" s="101" t="s">
        <v>538</v>
      </c>
      <c r="BB18" s="101" t="s">
        <v>538</v>
      </c>
      <c r="BC18" s="101" t="s">
        <v>538</v>
      </c>
      <c r="BD18" s="158">
        <v>0.7756329345999999</v>
      </c>
      <c r="BE18" s="158">
        <v>1.096401062</v>
      </c>
      <c r="BF18" s="162">
        <v>907</v>
      </c>
      <c r="BG18" s="162">
        <v>883</v>
      </c>
      <c r="BH18" s="162">
        <v>1874</v>
      </c>
      <c r="BI18" s="162">
        <v>803</v>
      </c>
      <c r="BJ18" s="162">
        <v>450</v>
      </c>
      <c r="BK18" s="97"/>
      <c r="BL18" s="97"/>
      <c r="BM18" s="97"/>
      <c r="BN18" s="97"/>
    </row>
    <row r="19" spans="1:66" ht="12.75">
      <c r="A19" s="79" t="s">
        <v>584</v>
      </c>
      <c r="B19" s="79" t="s">
        <v>332</v>
      </c>
      <c r="C19" s="79" t="s">
        <v>191</v>
      </c>
      <c r="D19" s="99">
        <v>3215</v>
      </c>
      <c r="E19" s="99">
        <v>567</v>
      </c>
      <c r="F19" s="99" t="s">
        <v>366</v>
      </c>
      <c r="G19" s="99">
        <v>10</v>
      </c>
      <c r="H19" s="99" t="s">
        <v>538</v>
      </c>
      <c r="I19" s="99">
        <v>64</v>
      </c>
      <c r="J19" s="99">
        <v>376</v>
      </c>
      <c r="K19" s="99" t="s">
        <v>538</v>
      </c>
      <c r="L19" s="99">
        <v>635</v>
      </c>
      <c r="M19" s="99">
        <v>231</v>
      </c>
      <c r="N19" s="99">
        <v>133</v>
      </c>
      <c r="O19" s="99">
        <v>49</v>
      </c>
      <c r="P19" s="159">
        <v>49</v>
      </c>
      <c r="Q19" s="99">
        <v>7</v>
      </c>
      <c r="R19" s="99">
        <v>12</v>
      </c>
      <c r="S19" s="99">
        <v>8</v>
      </c>
      <c r="T19" s="99" t="s">
        <v>538</v>
      </c>
      <c r="U19" s="99">
        <v>6</v>
      </c>
      <c r="V19" s="99">
        <v>6</v>
      </c>
      <c r="W19" s="99">
        <v>35</v>
      </c>
      <c r="X19" s="99">
        <v>9</v>
      </c>
      <c r="Y19" s="99">
        <v>47</v>
      </c>
      <c r="Z19" s="99">
        <v>20</v>
      </c>
      <c r="AA19" s="99" t="s">
        <v>538</v>
      </c>
      <c r="AB19" s="99" t="s">
        <v>538</v>
      </c>
      <c r="AC19" s="99" t="s">
        <v>538</v>
      </c>
      <c r="AD19" s="98" t="s">
        <v>343</v>
      </c>
      <c r="AE19" s="100">
        <v>0.17636080870917573</v>
      </c>
      <c r="AF19" s="100">
        <v>0.17</v>
      </c>
      <c r="AG19" s="98">
        <v>311.04199066874025</v>
      </c>
      <c r="AH19" s="98" t="s">
        <v>538</v>
      </c>
      <c r="AI19" s="100">
        <v>0.02</v>
      </c>
      <c r="AJ19" s="100">
        <v>0.78826</v>
      </c>
      <c r="AK19" s="100" t="s">
        <v>538</v>
      </c>
      <c r="AL19" s="100">
        <v>0.818299</v>
      </c>
      <c r="AM19" s="100">
        <v>0.546099</v>
      </c>
      <c r="AN19" s="100">
        <v>0.60181</v>
      </c>
      <c r="AO19" s="98">
        <v>1524.1057542768274</v>
      </c>
      <c r="AP19" s="158">
        <v>0.7590691375999999</v>
      </c>
      <c r="AQ19" s="100">
        <v>0.14285714285714285</v>
      </c>
      <c r="AR19" s="100">
        <v>0.5833333333333334</v>
      </c>
      <c r="AS19" s="98">
        <v>248.83359253499222</v>
      </c>
      <c r="AT19" s="98" t="s">
        <v>538</v>
      </c>
      <c r="AU19" s="98">
        <v>186.62519440124416</v>
      </c>
      <c r="AV19" s="98">
        <v>186.62519440124416</v>
      </c>
      <c r="AW19" s="98">
        <v>1088.646967340591</v>
      </c>
      <c r="AX19" s="98">
        <v>279.93779160186625</v>
      </c>
      <c r="AY19" s="98">
        <v>1461.8973561430794</v>
      </c>
      <c r="AZ19" s="98">
        <v>622.0839813374805</v>
      </c>
      <c r="BA19" s="100" t="s">
        <v>538</v>
      </c>
      <c r="BB19" s="100" t="s">
        <v>538</v>
      </c>
      <c r="BC19" s="100" t="s">
        <v>538</v>
      </c>
      <c r="BD19" s="158">
        <v>0.5615634918</v>
      </c>
      <c r="BE19" s="158">
        <v>1.003529587</v>
      </c>
      <c r="BF19" s="162">
        <v>477</v>
      </c>
      <c r="BG19" s="162" t="s">
        <v>538</v>
      </c>
      <c r="BH19" s="162">
        <v>776</v>
      </c>
      <c r="BI19" s="162">
        <v>423</v>
      </c>
      <c r="BJ19" s="162">
        <v>221</v>
      </c>
      <c r="BK19" s="97"/>
      <c r="BL19" s="97"/>
      <c r="BM19" s="97"/>
      <c r="BN19" s="97"/>
    </row>
    <row r="20" spans="1:66" ht="12.75">
      <c r="A20" s="79" t="s">
        <v>576</v>
      </c>
      <c r="B20" s="79" t="s">
        <v>321</v>
      </c>
      <c r="C20" s="79" t="s">
        <v>191</v>
      </c>
      <c r="D20" s="99">
        <v>2486</v>
      </c>
      <c r="E20" s="99">
        <v>503</v>
      </c>
      <c r="F20" s="99" t="s">
        <v>366</v>
      </c>
      <c r="G20" s="99" t="s">
        <v>538</v>
      </c>
      <c r="H20" s="99">
        <v>8</v>
      </c>
      <c r="I20" s="99">
        <v>38</v>
      </c>
      <c r="J20" s="99">
        <v>237</v>
      </c>
      <c r="K20" s="99" t="s">
        <v>538</v>
      </c>
      <c r="L20" s="99">
        <v>436</v>
      </c>
      <c r="M20" s="99">
        <v>165</v>
      </c>
      <c r="N20" s="99">
        <v>102</v>
      </c>
      <c r="O20" s="99">
        <v>40</v>
      </c>
      <c r="P20" s="159">
        <v>40</v>
      </c>
      <c r="Q20" s="99">
        <v>8</v>
      </c>
      <c r="R20" s="99">
        <v>11</v>
      </c>
      <c r="S20" s="99" t="s">
        <v>538</v>
      </c>
      <c r="T20" s="99">
        <v>6</v>
      </c>
      <c r="U20" s="99" t="s">
        <v>538</v>
      </c>
      <c r="V20" s="99">
        <v>11</v>
      </c>
      <c r="W20" s="99">
        <v>7</v>
      </c>
      <c r="X20" s="99">
        <v>10</v>
      </c>
      <c r="Y20" s="99">
        <v>25</v>
      </c>
      <c r="Z20" s="99">
        <v>23</v>
      </c>
      <c r="AA20" s="99" t="s">
        <v>538</v>
      </c>
      <c r="AB20" s="99" t="s">
        <v>538</v>
      </c>
      <c r="AC20" s="99" t="s">
        <v>538</v>
      </c>
      <c r="AD20" s="98" t="s">
        <v>343</v>
      </c>
      <c r="AE20" s="100">
        <v>0.20233306516492358</v>
      </c>
      <c r="AF20" s="100">
        <v>0.15</v>
      </c>
      <c r="AG20" s="98" t="s">
        <v>538</v>
      </c>
      <c r="AH20" s="98">
        <v>321.80209171359616</v>
      </c>
      <c r="AI20" s="100">
        <v>0.015</v>
      </c>
      <c r="AJ20" s="100">
        <v>0.711712</v>
      </c>
      <c r="AK20" s="100" t="s">
        <v>538</v>
      </c>
      <c r="AL20" s="100">
        <v>0.734007</v>
      </c>
      <c r="AM20" s="100">
        <v>0.553691</v>
      </c>
      <c r="AN20" s="100">
        <v>0.579545</v>
      </c>
      <c r="AO20" s="98">
        <v>1609.0104585679808</v>
      </c>
      <c r="AP20" s="158">
        <v>0.7736110687</v>
      </c>
      <c r="AQ20" s="100">
        <v>0.2</v>
      </c>
      <c r="AR20" s="100">
        <v>0.7272727272727273</v>
      </c>
      <c r="AS20" s="98" t="s">
        <v>538</v>
      </c>
      <c r="AT20" s="98">
        <v>241.35156878519712</v>
      </c>
      <c r="AU20" s="98" t="s">
        <v>538</v>
      </c>
      <c r="AV20" s="98">
        <v>442.4778761061947</v>
      </c>
      <c r="AW20" s="98">
        <v>281.5768302493966</v>
      </c>
      <c r="AX20" s="98">
        <v>402.2526146419952</v>
      </c>
      <c r="AY20" s="98">
        <v>1005.6315366049879</v>
      </c>
      <c r="AZ20" s="98">
        <v>925.1810136765889</v>
      </c>
      <c r="BA20" s="100" t="s">
        <v>538</v>
      </c>
      <c r="BB20" s="100" t="s">
        <v>538</v>
      </c>
      <c r="BC20" s="100" t="s">
        <v>538</v>
      </c>
      <c r="BD20" s="158">
        <v>0.5526791</v>
      </c>
      <c r="BE20" s="158">
        <v>1.053438721</v>
      </c>
      <c r="BF20" s="162">
        <v>333</v>
      </c>
      <c r="BG20" s="162" t="s">
        <v>538</v>
      </c>
      <c r="BH20" s="162">
        <v>594</v>
      </c>
      <c r="BI20" s="162">
        <v>298</v>
      </c>
      <c r="BJ20" s="162">
        <v>176</v>
      </c>
      <c r="BK20" s="97"/>
      <c r="BL20" s="97"/>
      <c r="BM20" s="97"/>
      <c r="BN20" s="97"/>
    </row>
    <row r="21" spans="1:66" ht="12.75">
      <c r="A21" s="79" t="s">
        <v>556</v>
      </c>
      <c r="B21" s="79" t="s">
        <v>301</v>
      </c>
      <c r="C21" s="79" t="s">
        <v>191</v>
      </c>
      <c r="D21" s="99">
        <v>2488</v>
      </c>
      <c r="E21" s="99">
        <v>366</v>
      </c>
      <c r="F21" s="99" t="s">
        <v>364</v>
      </c>
      <c r="G21" s="99">
        <v>17</v>
      </c>
      <c r="H21" s="99">
        <v>8</v>
      </c>
      <c r="I21" s="99">
        <v>49</v>
      </c>
      <c r="J21" s="99">
        <v>177</v>
      </c>
      <c r="K21" s="99">
        <v>168</v>
      </c>
      <c r="L21" s="99">
        <v>353</v>
      </c>
      <c r="M21" s="99">
        <v>107</v>
      </c>
      <c r="N21" s="99">
        <v>61</v>
      </c>
      <c r="O21" s="99">
        <v>29</v>
      </c>
      <c r="P21" s="159">
        <v>29</v>
      </c>
      <c r="Q21" s="99">
        <v>6</v>
      </c>
      <c r="R21" s="99">
        <v>8</v>
      </c>
      <c r="S21" s="99">
        <v>7</v>
      </c>
      <c r="T21" s="99" t="s">
        <v>538</v>
      </c>
      <c r="U21" s="99" t="s">
        <v>538</v>
      </c>
      <c r="V21" s="99" t="s">
        <v>538</v>
      </c>
      <c r="W21" s="99">
        <v>17</v>
      </c>
      <c r="X21" s="99">
        <v>8</v>
      </c>
      <c r="Y21" s="99">
        <v>36</v>
      </c>
      <c r="Z21" s="99">
        <v>26</v>
      </c>
      <c r="AA21" s="99" t="s">
        <v>538</v>
      </c>
      <c r="AB21" s="99" t="s">
        <v>538</v>
      </c>
      <c r="AC21" s="99" t="s">
        <v>538</v>
      </c>
      <c r="AD21" s="98" t="s">
        <v>343</v>
      </c>
      <c r="AE21" s="100">
        <v>0.14710610932475884</v>
      </c>
      <c r="AF21" s="100">
        <v>0.4</v>
      </c>
      <c r="AG21" s="98">
        <v>683.2797427652733</v>
      </c>
      <c r="AH21" s="98">
        <v>321.54340836012864</v>
      </c>
      <c r="AI21" s="100">
        <v>0.02</v>
      </c>
      <c r="AJ21" s="100">
        <v>0.62766</v>
      </c>
      <c r="AK21" s="100">
        <v>0.597865</v>
      </c>
      <c r="AL21" s="100">
        <v>0.680154</v>
      </c>
      <c r="AM21" s="100">
        <v>0.39777</v>
      </c>
      <c r="AN21" s="100">
        <v>0.42069</v>
      </c>
      <c r="AO21" s="98">
        <v>1165.5948553054661</v>
      </c>
      <c r="AP21" s="158">
        <v>0.6807143402</v>
      </c>
      <c r="AQ21" s="100">
        <v>0.20689655172413793</v>
      </c>
      <c r="AR21" s="100">
        <v>0.75</v>
      </c>
      <c r="AS21" s="98">
        <v>281.3504823151125</v>
      </c>
      <c r="AT21" s="98" t="s">
        <v>538</v>
      </c>
      <c r="AU21" s="98" t="s">
        <v>538</v>
      </c>
      <c r="AV21" s="98" t="s">
        <v>538</v>
      </c>
      <c r="AW21" s="98">
        <v>683.2797427652733</v>
      </c>
      <c r="AX21" s="98">
        <v>321.54340836012864</v>
      </c>
      <c r="AY21" s="98">
        <v>1446.9453376205788</v>
      </c>
      <c r="AZ21" s="98">
        <v>1045.016077170418</v>
      </c>
      <c r="BA21" s="100" t="s">
        <v>538</v>
      </c>
      <c r="BB21" s="100" t="s">
        <v>538</v>
      </c>
      <c r="BC21" s="100" t="s">
        <v>538</v>
      </c>
      <c r="BD21" s="158">
        <v>0.4558850479</v>
      </c>
      <c r="BE21" s="158">
        <v>0.9776193236999999</v>
      </c>
      <c r="BF21" s="162">
        <v>282</v>
      </c>
      <c r="BG21" s="162">
        <v>281</v>
      </c>
      <c r="BH21" s="162">
        <v>519</v>
      </c>
      <c r="BI21" s="162">
        <v>269</v>
      </c>
      <c r="BJ21" s="162">
        <v>145</v>
      </c>
      <c r="BK21" s="97"/>
      <c r="BL21" s="97"/>
      <c r="BM21" s="97"/>
      <c r="BN21" s="97"/>
    </row>
    <row r="22" spans="1:66" ht="12.75">
      <c r="A22" s="79" t="s">
        <v>567</v>
      </c>
      <c r="B22" s="79" t="s">
        <v>312</v>
      </c>
      <c r="C22" s="79" t="s">
        <v>191</v>
      </c>
      <c r="D22" s="99">
        <v>3837</v>
      </c>
      <c r="E22" s="99">
        <v>669</v>
      </c>
      <c r="F22" s="99" t="s">
        <v>364</v>
      </c>
      <c r="G22" s="99">
        <v>23</v>
      </c>
      <c r="H22" s="99">
        <v>16</v>
      </c>
      <c r="I22" s="99">
        <v>50</v>
      </c>
      <c r="J22" s="99">
        <v>249</v>
      </c>
      <c r="K22" s="99">
        <v>6</v>
      </c>
      <c r="L22" s="99">
        <v>616</v>
      </c>
      <c r="M22" s="99">
        <v>126</v>
      </c>
      <c r="N22" s="99">
        <v>72</v>
      </c>
      <c r="O22" s="99">
        <v>114</v>
      </c>
      <c r="P22" s="159">
        <v>114</v>
      </c>
      <c r="Q22" s="99">
        <v>14</v>
      </c>
      <c r="R22" s="99">
        <v>21</v>
      </c>
      <c r="S22" s="99">
        <v>6</v>
      </c>
      <c r="T22" s="99">
        <v>13</v>
      </c>
      <c r="U22" s="99">
        <v>7</v>
      </c>
      <c r="V22" s="99">
        <v>17</v>
      </c>
      <c r="W22" s="99">
        <v>30</v>
      </c>
      <c r="X22" s="99">
        <v>17</v>
      </c>
      <c r="Y22" s="99">
        <v>89</v>
      </c>
      <c r="Z22" s="99">
        <v>27</v>
      </c>
      <c r="AA22" s="99" t="s">
        <v>538</v>
      </c>
      <c r="AB22" s="99" t="s">
        <v>538</v>
      </c>
      <c r="AC22" s="99" t="s">
        <v>538</v>
      </c>
      <c r="AD22" s="98" t="s">
        <v>343</v>
      </c>
      <c r="AE22" s="100">
        <v>0.1743549648162627</v>
      </c>
      <c r="AF22" s="100">
        <v>0.31</v>
      </c>
      <c r="AG22" s="98">
        <v>599.4266353922335</v>
      </c>
      <c r="AH22" s="98">
        <v>416.99244201198854</v>
      </c>
      <c r="AI22" s="100">
        <v>0.013000000000000001</v>
      </c>
      <c r="AJ22" s="100">
        <v>0.62406</v>
      </c>
      <c r="AK22" s="100">
        <v>0.545455</v>
      </c>
      <c r="AL22" s="100">
        <v>0.712139</v>
      </c>
      <c r="AM22" s="100">
        <v>0.368421</v>
      </c>
      <c r="AN22" s="100">
        <v>0.409091</v>
      </c>
      <c r="AO22" s="98">
        <v>2971.0711493354183</v>
      </c>
      <c r="AP22" s="158">
        <v>1.615976563</v>
      </c>
      <c r="AQ22" s="100">
        <v>0.12280701754385964</v>
      </c>
      <c r="AR22" s="100">
        <v>0.6666666666666666</v>
      </c>
      <c r="AS22" s="98">
        <v>156.3721657544957</v>
      </c>
      <c r="AT22" s="98">
        <v>338.80635913474066</v>
      </c>
      <c r="AU22" s="98">
        <v>182.43419338024498</v>
      </c>
      <c r="AV22" s="98">
        <v>443.05446963773784</v>
      </c>
      <c r="AW22" s="98">
        <v>781.8608287724785</v>
      </c>
      <c r="AX22" s="98">
        <v>443.05446963773784</v>
      </c>
      <c r="AY22" s="98">
        <v>2319.520458691686</v>
      </c>
      <c r="AZ22" s="98">
        <v>703.6747458952307</v>
      </c>
      <c r="BA22" s="100" t="s">
        <v>538</v>
      </c>
      <c r="BB22" s="100" t="s">
        <v>538</v>
      </c>
      <c r="BC22" s="100" t="s">
        <v>538</v>
      </c>
      <c r="BD22" s="158">
        <v>1.3329814150000001</v>
      </c>
      <c r="BE22" s="158">
        <v>1.9412814330000001</v>
      </c>
      <c r="BF22" s="162">
        <v>399</v>
      </c>
      <c r="BG22" s="162">
        <v>11</v>
      </c>
      <c r="BH22" s="162">
        <v>865</v>
      </c>
      <c r="BI22" s="162">
        <v>342</v>
      </c>
      <c r="BJ22" s="162">
        <v>176</v>
      </c>
      <c r="BK22" s="97"/>
      <c r="BL22" s="97"/>
      <c r="BM22" s="97"/>
      <c r="BN22" s="97"/>
    </row>
    <row r="23" spans="1:66" ht="12.75">
      <c r="A23" s="79" t="s">
        <v>593</v>
      </c>
      <c r="B23" s="79" t="s">
        <v>288</v>
      </c>
      <c r="C23" s="79" t="s">
        <v>191</v>
      </c>
      <c r="D23" s="99">
        <v>12230</v>
      </c>
      <c r="E23" s="99">
        <v>2867</v>
      </c>
      <c r="F23" s="99" t="s">
        <v>367</v>
      </c>
      <c r="G23" s="99">
        <v>74</v>
      </c>
      <c r="H23" s="99">
        <v>27</v>
      </c>
      <c r="I23" s="99">
        <v>292</v>
      </c>
      <c r="J23" s="99">
        <v>1578</v>
      </c>
      <c r="K23" s="99">
        <v>696</v>
      </c>
      <c r="L23" s="99">
        <v>2330</v>
      </c>
      <c r="M23" s="99">
        <v>1097</v>
      </c>
      <c r="N23" s="99">
        <v>627</v>
      </c>
      <c r="O23" s="99">
        <v>217</v>
      </c>
      <c r="P23" s="159">
        <v>217</v>
      </c>
      <c r="Q23" s="99">
        <v>34</v>
      </c>
      <c r="R23" s="99">
        <v>80</v>
      </c>
      <c r="S23" s="99">
        <v>22</v>
      </c>
      <c r="T23" s="99">
        <v>47</v>
      </c>
      <c r="U23" s="99">
        <v>14</v>
      </c>
      <c r="V23" s="99">
        <v>38</v>
      </c>
      <c r="W23" s="99">
        <v>80</v>
      </c>
      <c r="X23" s="99">
        <v>38</v>
      </c>
      <c r="Y23" s="99">
        <v>165</v>
      </c>
      <c r="Z23" s="99">
        <v>74</v>
      </c>
      <c r="AA23" s="99" t="s">
        <v>538</v>
      </c>
      <c r="AB23" s="99" t="s">
        <v>538</v>
      </c>
      <c r="AC23" s="99" t="s">
        <v>538</v>
      </c>
      <c r="AD23" s="98" t="s">
        <v>343</v>
      </c>
      <c r="AE23" s="100">
        <v>0.23442354865085854</v>
      </c>
      <c r="AF23" s="100">
        <v>0.08</v>
      </c>
      <c r="AG23" s="98">
        <v>605.0695012264922</v>
      </c>
      <c r="AH23" s="98">
        <v>220.7686017988553</v>
      </c>
      <c r="AI23" s="100">
        <v>0.024</v>
      </c>
      <c r="AJ23" s="100">
        <v>0.830526</v>
      </c>
      <c r="AK23" s="100">
        <v>0.849817</v>
      </c>
      <c r="AL23" s="100">
        <v>0.791171</v>
      </c>
      <c r="AM23" s="100">
        <v>0.634104</v>
      </c>
      <c r="AN23" s="100">
        <v>0.653806</v>
      </c>
      <c r="AO23" s="98">
        <v>1774.3254292722813</v>
      </c>
      <c r="AP23" s="158">
        <v>0.7853190613</v>
      </c>
      <c r="AQ23" s="100">
        <v>0.15668202764976957</v>
      </c>
      <c r="AR23" s="100">
        <v>0.425</v>
      </c>
      <c r="AS23" s="98">
        <v>179.88552739165985</v>
      </c>
      <c r="AT23" s="98">
        <v>384.300899427637</v>
      </c>
      <c r="AU23" s="98">
        <v>114.47260834014718</v>
      </c>
      <c r="AV23" s="98">
        <v>310.7113654946852</v>
      </c>
      <c r="AW23" s="98">
        <v>654.1291905151268</v>
      </c>
      <c r="AX23" s="98">
        <v>310.7113654946852</v>
      </c>
      <c r="AY23" s="98">
        <v>1349.141455437449</v>
      </c>
      <c r="AZ23" s="98">
        <v>605.0695012264922</v>
      </c>
      <c r="BA23" s="100" t="s">
        <v>538</v>
      </c>
      <c r="BB23" s="100" t="s">
        <v>538</v>
      </c>
      <c r="BC23" s="100" t="s">
        <v>538</v>
      </c>
      <c r="BD23" s="158">
        <v>0.6843003082</v>
      </c>
      <c r="BE23" s="158">
        <v>0.8970504761</v>
      </c>
      <c r="BF23" s="162">
        <v>1900</v>
      </c>
      <c r="BG23" s="162">
        <v>819</v>
      </c>
      <c r="BH23" s="162">
        <v>2945</v>
      </c>
      <c r="BI23" s="162">
        <v>1730</v>
      </c>
      <c r="BJ23" s="162">
        <v>959</v>
      </c>
      <c r="BK23" s="97"/>
      <c r="BL23" s="97"/>
      <c r="BM23" s="97"/>
      <c r="BN23" s="97"/>
    </row>
    <row r="24" spans="1:66" ht="12.75">
      <c r="A24" s="79" t="s">
        <v>557</v>
      </c>
      <c r="B24" s="79" t="s">
        <v>302</v>
      </c>
      <c r="C24" s="79" t="s">
        <v>191</v>
      </c>
      <c r="D24" s="99">
        <v>3287</v>
      </c>
      <c r="E24" s="99">
        <v>533</v>
      </c>
      <c r="F24" s="99" t="s">
        <v>366</v>
      </c>
      <c r="G24" s="99">
        <v>15</v>
      </c>
      <c r="H24" s="99">
        <v>10</v>
      </c>
      <c r="I24" s="99">
        <v>52</v>
      </c>
      <c r="J24" s="99">
        <v>309</v>
      </c>
      <c r="K24" s="99" t="s">
        <v>538</v>
      </c>
      <c r="L24" s="99">
        <v>588</v>
      </c>
      <c r="M24" s="99">
        <v>259</v>
      </c>
      <c r="N24" s="99">
        <v>160</v>
      </c>
      <c r="O24" s="99">
        <v>76</v>
      </c>
      <c r="P24" s="159">
        <v>76</v>
      </c>
      <c r="Q24" s="99">
        <v>9</v>
      </c>
      <c r="R24" s="99">
        <v>18</v>
      </c>
      <c r="S24" s="99">
        <v>15</v>
      </c>
      <c r="T24" s="99">
        <v>15</v>
      </c>
      <c r="U24" s="99">
        <v>14</v>
      </c>
      <c r="V24" s="99">
        <v>12</v>
      </c>
      <c r="W24" s="99">
        <v>19</v>
      </c>
      <c r="X24" s="99">
        <v>11</v>
      </c>
      <c r="Y24" s="99">
        <v>52</v>
      </c>
      <c r="Z24" s="99">
        <v>31</v>
      </c>
      <c r="AA24" s="99" t="s">
        <v>538</v>
      </c>
      <c r="AB24" s="99" t="s">
        <v>538</v>
      </c>
      <c r="AC24" s="99" t="s">
        <v>538</v>
      </c>
      <c r="AD24" s="98" t="s">
        <v>343</v>
      </c>
      <c r="AE24" s="100">
        <v>0.16215393976270154</v>
      </c>
      <c r="AF24" s="100">
        <v>0.16</v>
      </c>
      <c r="AG24" s="98">
        <v>456.34317006388807</v>
      </c>
      <c r="AH24" s="98">
        <v>304.228780042592</v>
      </c>
      <c r="AI24" s="100">
        <v>0.016</v>
      </c>
      <c r="AJ24" s="100">
        <v>0.660256</v>
      </c>
      <c r="AK24" s="100" t="s">
        <v>538</v>
      </c>
      <c r="AL24" s="100">
        <v>0.773684</v>
      </c>
      <c r="AM24" s="100">
        <v>0.49053</v>
      </c>
      <c r="AN24" s="100">
        <v>0.535117</v>
      </c>
      <c r="AO24" s="98">
        <v>2312.1387283236995</v>
      </c>
      <c r="AP24" s="158">
        <v>1.233059006</v>
      </c>
      <c r="AQ24" s="100">
        <v>0.11842105263157894</v>
      </c>
      <c r="AR24" s="100">
        <v>0.5</v>
      </c>
      <c r="AS24" s="98">
        <v>456.34317006388807</v>
      </c>
      <c r="AT24" s="98">
        <v>456.34317006388807</v>
      </c>
      <c r="AU24" s="98">
        <v>425.9202920596288</v>
      </c>
      <c r="AV24" s="98">
        <v>365.07453605111044</v>
      </c>
      <c r="AW24" s="98">
        <v>578.0346820809249</v>
      </c>
      <c r="AX24" s="98">
        <v>334.65165804685125</v>
      </c>
      <c r="AY24" s="98">
        <v>1581.9896562214785</v>
      </c>
      <c r="AZ24" s="98">
        <v>943.1092181320353</v>
      </c>
      <c r="BA24" s="101" t="s">
        <v>538</v>
      </c>
      <c r="BB24" s="101" t="s">
        <v>538</v>
      </c>
      <c r="BC24" s="101" t="s">
        <v>538</v>
      </c>
      <c r="BD24" s="158">
        <v>0.9715102386</v>
      </c>
      <c r="BE24" s="158">
        <v>1.543357239</v>
      </c>
      <c r="BF24" s="162">
        <v>468</v>
      </c>
      <c r="BG24" s="162" t="s">
        <v>538</v>
      </c>
      <c r="BH24" s="162">
        <v>760</v>
      </c>
      <c r="BI24" s="162">
        <v>528</v>
      </c>
      <c r="BJ24" s="162">
        <v>299</v>
      </c>
      <c r="BK24" s="97"/>
      <c r="BL24" s="97"/>
      <c r="BM24" s="97"/>
      <c r="BN24" s="97"/>
    </row>
    <row r="25" spans="1:66" ht="12.75">
      <c r="A25" s="79" t="s">
        <v>594</v>
      </c>
      <c r="B25" s="79" t="s">
        <v>327</v>
      </c>
      <c r="C25" s="79" t="s">
        <v>191</v>
      </c>
      <c r="D25" s="99">
        <v>5219</v>
      </c>
      <c r="E25" s="99">
        <v>927</v>
      </c>
      <c r="F25" s="99" t="s">
        <v>365</v>
      </c>
      <c r="G25" s="99">
        <v>34</v>
      </c>
      <c r="H25" s="99">
        <v>9</v>
      </c>
      <c r="I25" s="99">
        <v>130</v>
      </c>
      <c r="J25" s="99">
        <v>450</v>
      </c>
      <c r="K25" s="99">
        <v>14</v>
      </c>
      <c r="L25" s="99">
        <v>1054</v>
      </c>
      <c r="M25" s="99">
        <v>297</v>
      </c>
      <c r="N25" s="99">
        <v>159</v>
      </c>
      <c r="O25" s="99">
        <v>76</v>
      </c>
      <c r="P25" s="159">
        <v>76</v>
      </c>
      <c r="Q25" s="99">
        <v>8</v>
      </c>
      <c r="R25" s="99">
        <v>19</v>
      </c>
      <c r="S25" s="99">
        <v>11</v>
      </c>
      <c r="T25" s="99">
        <v>13</v>
      </c>
      <c r="U25" s="99" t="s">
        <v>538</v>
      </c>
      <c r="V25" s="99">
        <v>19</v>
      </c>
      <c r="W25" s="99">
        <v>33</v>
      </c>
      <c r="X25" s="99">
        <v>14</v>
      </c>
      <c r="Y25" s="99">
        <v>66</v>
      </c>
      <c r="Z25" s="99">
        <v>23</v>
      </c>
      <c r="AA25" s="99" t="s">
        <v>538</v>
      </c>
      <c r="AB25" s="99" t="s">
        <v>538</v>
      </c>
      <c r="AC25" s="99" t="s">
        <v>538</v>
      </c>
      <c r="AD25" s="98" t="s">
        <v>343</v>
      </c>
      <c r="AE25" s="100">
        <v>0.17762023376125693</v>
      </c>
      <c r="AF25" s="100">
        <v>0.09</v>
      </c>
      <c r="AG25" s="98">
        <v>651.4657980456026</v>
      </c>
      <c r="AH25" s="98">
        <v>172.44682889442421</v>
      </c>
      <c r="AI25" s="100">
        <v>0.025</v>
      </c>
      <c r="AJ25" s="100">
        <v>0.706436</v>
      </c>
      <c r="AK25" s="100">
        <v>0.736842</v>
      </c>
      <c r="AL25" s="100">
        <v>0.802131</v>
      </c>
      <c r="AM25" s="100">
        <v>0.59519</v>
      </c>
      <c r="AN25" s="100">
        <v>0.6139</v>
      </c>
      <c r="AO25" s="98">
        <v>1456.2176662195823</v>
      </c>
      <c r="AP25" s="158">
        <v>0.7385083008</v>
      </c>
      <c r="AQ25" s="100">
        <v>0.10526315789473684</v>
      </c>
      <c r="AR25" s="100">
        <v>0.42105263157894735</v>
      </c>
      <c r="AS25" s="98">
        <v>210.7683464265185</v>
      </c>
      <c r="AT25" s="98">
        <v>249.08986395861277</v>
      </c>
      <c r="AU25" s="98" t="s">
        <v>538</v>
      </c>
      <c r="AV25" s="98">
        <v>364.05441655489557</v>
      </c>
      <c r="AW25" s="98">
        <v>632.3050392795554</v>
      </c>
      <c r="AX25" s="98">
        <v>268.2506227246599</v>
      </c>
      <c r="AY25" s="98">
        <v>1264.610078559111</v>
      </c>
      <c r="AZ25" s="98">
        <v>440.6974516190841</v>
      </c>
      <c r="BA25" s="100" t="s">
        <v>538</v>
      </c>
      <c r="BB25" s="100" t="s">
        <v>538</v>
      </c>
      <c r="BC25" s="100" t="s">
        <v>538</v>
      </c>
      <c r="BD25" s="158">
        <v>0.5818605423000001</v>
      </c>
      <c r="BE25" s="158">
        <v>0.9243532562</v>
      </c>
      <c r="BF25" s="162">
        <v>637</v>
      </c>
      <c r="BG25" s="162">
        <v>19</v>
      </c>
      <c r="BH25" s="162">
        <v>1314</v>
      </c>
      <c r="BI25" s="162">
        <v>499</v>
      </c>
      <c r="BJ25" s="162">
        <v>259</v>
      </c>
      <c r="BK25" s="97"/>
      <c r="BL25" s="97"/>
      <c r="BM25" s="97"/>
      <c r="BN25" s="97"/>
    </row>
    <row r="26" spans="1:66" ht="12.75">
      <c r="A26" s="79" t="s">
        <v>572</v>
      </c>
      <c r="B26" s="79" t="s">
        <v>317</v>
      </c>
      <c r="C26" s="79" t="s">
        <v>191</v>
      </c>
      <c r="D26" s="99">
        <v>4043</v>
      </c>
      <c r="E26" s="99">
        <v>736</v>
      </c>
      <c r="F26" s="99" t="s">
        <v>366</v>
      </c>
      <c r="G26" s="99">
        <v>20</v>
      </c>
      <c r="H26" s="99">
        <v>16</v>
      </c>
      <c r="I26" s="99">
        <v>71</v>
      </c>
      <c r="J26" s="99">
        <v>421</v>
      </c>
      <c r="K26" s="99">
        <v>8</v>
      </c>
      <c r="L26" s="99">
        <v>775</v>
      </c>
      <c r="M26" s="99">
        <v>259</v>
      </c>
      <c r="N26" s="99">
        <v>154</v>
      </c>
      <c r="O26" s="99">
        <v>60</v>
      </c>
      <c r="P26" s="159">
        <v>60</v>
      </c>
      <c r="Q26" s="99">
        <v>7</v>
      </c>
      <c r="R26" s="99">
        <v>18</v>
      </c>
      <c r="S26" s="99">
        <v>12</v>
      </c>
      <c r="T26" s="99">
        <v>6</v>
      </c>
      <c r="U26" s="99" t="s">
        <v>538</v>
      </c>
      <c r="V26" s="99">
        <v>14</v>
      </c>
      <c r="W26" s="99">
        <v>15</v>
      </c>
      <c r="X26" s="99">
        <v>17</v>
      </c>
      <c r="Y26" s="99">
        <v>59</v>
      </c>
      <c r="Z26" s="99">
        <v>41</v>
      </c>
      <c r="AA26" s="99" t="s">
        <v>538</v>
      </c>
      <c r="AB26" s="99" t="s">
        <v>538</v>
      </c>
      <c r="AC26" s="99" t="s">
        <v>538</v>
      </c>
      <c r="AD26" s="98" t="s">
        <v>343</v>
      </c>
      <c r="AE26" s="100">
        <v>0.18204303734850358</v>
      </c>
      <c r="AF26" s="100">
        <v>0.17</v>
      </c>
      <c r="AG26" s="98">
        <v>494.6821667078902</v>
      </c>
      <c r="AH26" s="98">
        <v>395.74573336631215</v>
      </c>
      <c r="AI26" s="100">
        <v>0.018000000000000002</v>
      </c>
      <c r="AJ26" s="100">
        <v>0.733449</v>
      </c>
      <c r="AK26" s="100">
        <v>0.8</v>
      </c>
      <c r="AL26" s="100">
        <v>0.775776</v>
      </c>
      <c r="AM26" s="100">
        <v>0.52008</v>
      </c>
      <c r="AN26" s="100">
        <v>0.542254</v>
      </c>
      <c r="AO26" s="98">
        <v>1484.0465001236705</v>
      </c>
      <c r="AP26" s="158">
        <v>0.7407009888</v>
      </c>
      <c r="AQ26" s="100">
        <v>0.11666666666666667</v>
      </c>
      <c r="AR26" s="100">
        <v>0.3888888888888889</v>
      </c>
      <c r="AS26" s="98">
        <v>296.8093000247341</v>
      </c>
      <c r="AT26" s="98">
        <v>148.40465001236706</v>
      </c>
      <c r="AU26" s="98" t="s">
        <v>538</v>
      </c>
      <c r="AV26" s="98">
        <v>346.2775166955231</v>
      </c>
      <c r="AW26" s="98">
        <v>371.0116250309176</v>
      </c>
      <c r="AX26" s="98">
        <v>420.4798417017067</v>
      </c>
      <c r="AY26" s="98">
        <v>1459.312391788276</v>
      </c>
      <c r="AZ26" s="98">
        <v>1014.0984417511748</v>
      </c>
      <c r="BA26" s="100" t="s">
        <v>538</v>
      </c>
      <c r="BB26" s="100" t="s">
        <v>538</v>
      </c>
      <c r="BC26" s="100" t="s">
        <v>538</v>
      </c>
      <c r="BD26" s="158">
        <v>0.5652329254</v>
      </c>
      <c r="BE26" s="158">
        <v>0.9534290314</v>
      </c>
      <c r="BF26" s="162">
        <v>574</v>
      </c>
      <c r="BG26" s="162">
        <v>10</v>
      </c>
      <c r="BH26" s="162">
        <v>999</v>
      </c>
      <c r="BI26" s="162">
        <v>498</v>
      </c>
      <c r="BJ26" s="162">
        <v>284</v>
      </c>
      <c r="BK26" s="97"/>
      <c r="BL26" s="97"/>
      <c r="BM26" s="97"/>
      <c r="BN26" s="97"/>
    </row>
    <row r="27" spans="1:66" ht="12.75">
      <c r="A27" s="79" t="s">
        <v>578</v>
      </c>
      <c r="B27" s="79" t="s">
        <v>323</v>
      </c>
      <c r="C27" s="79" t="s">
        <v>191</v>
      </c>
      <c r="D27" s="99">
        <v>3996</v>
      </c>
      <c r="E27" s="99">
        <v>796</v>
      </c>
      <c r="F27" s="99" t="s">
        <v>365</v>
      </c>
      <c r="G27" s="99">
        <v>24</v>
      </c>
      <c r="H27" s="99">
        <v>7</v>
      </c>
      <c r="I27" s="99">
        <v>84</v>
      </c>
      <c r="J27" s="99">
        <v>424</v>
      </c>
      <c r="K27" s="99">
        <v>20</v>
      </c>
      <c r="L27" s="99">
        <v>782</v>
      </c>
      <c r="M27" s="99">
        <v>312</v>
      </c>
      <c r="N27" s="99">
        <v>165</v>
      </c>
      <c r="O27" s="99">
        <v>91</v>
      </c>
      <c r="P27" s="159">
        <v>91</v>
      </c>
      <c r="Q27" s="99">
        <v>14</v>
      </c>
      <c r="R27" s="99">
        <v>23</v>
      </c>
      <c r="S27" s="99">
        <v>11</v>
      </c>
      <c r="T27" s="99">
        <v>16</v>
      </c>
      <c r="U27" s="99" t="s">
        <v>538</v>
      </c>
      <c r="V27" s="99">
        <v>29</v>
      </c>
      <c r="W27" s="99">
        <v>37</v>
      </c>
      <c r="X27" s="99">
        <v>9</v>
      </c>
      <c r="Y27" s="99">
        <v>47</v>
      </c>
      <c r="Z27" s="99">
        <v>18</v>
      </c>
      <c r="AA27" s="99" t="s">
        <v>538</v>
      </c>
      <c r="AB27" s="99" t="s">
        <v>538</v>
      </c>
      <c r="AC27" s="99" t="s">
        <v>538</v>
      </c>
      <c r="AD27" s="98" t="s">
        <v>343</v>
      </c>
      <c r="AE27" s="100">
        <v>0.1991991991991992</v>
      </c>
      <c r="AF27" s="100">
        <v>0.12</v>
      </c>
      <c r="AG27" s="98">
        <v>600.6006006006006</v>
      </c>
      <c r="AH27" s="98">
        <v>175.17517517517518</v>
      </c>
      <c r="AI27" s="100">
        <v>0.021</v>
      </c>
      <c r="AJ27" s="100">
        <v>0.731034</v>
      </c>
      <c r="AK27" s="100">
        <v>0.769231</v>
      </c>
      <c r="AL27" s="100">
        <v>0.789102</v>
      </c>
      <c r="AM27" s="100">
        <v>0.586466</v>
      </c>
      <c r="AN27" s="100">
        <v>0.589286</v>
      </c>
      <c r="AO27" s="98">
        <v>2277.2772772772773</v>
      </c>
      <c r="AP27" s="158">
        <v>1.092270584</v>
      </c>
      <c r="AQ27" s="100">
        <v>0.15384615384615385</v>
      </c>
      <c r="AR27" s="100">
        <v>0.6086956521739131</v>
      </c>
      <c r="AS27" s="98">
        <v>275.27527527527525</v>
      </c>
      <c r="AT27" s="98">
        <v>400.40040040040043</v>
      </c>
      <c r="AU27" s="98" t="s">
        <v>538</v>
      </c>
      <c r="AV27" s="98">
        <v>725.7257257257257</v>
      </c>
      <c r="AW27" s="98">
        <v>925.925925925926</v>
      </c>
      <c r="AX27" s="98">
        <v>225.22522522522522</v>
      </c>
      <c r="AY27" s="98">
        <v>1176.176176176176</v>
      </c>
      <c r="AZ27" s="98">
        <v>450.45045045045043</v>
      </c>
      <c r="BA27" s="100" t="s">
        <v>538</v>
      </c>
      <c r="BB27" s="100" t="s">
        <v>538</v>
      </c>
      <c r="BC27" s="100" t="s">
        <v>538</v>
      </c>
      <c r="BD27" s="158">
        <v>0.8794281006</v>
      </c>
      <c r="BE27" s="158">
        <v>1.341066132</v>
      </c>
      <c r="BF27" s="162">
        <v>580</v>
      </c>
      <c r="BG27" s="162">
        <v>26</v>
      </c>
      <c r="BH27" s="162">
        <v>991</v>
      </c>
      <c r="BI27" s="162">
        <v>532</v>
      </c>
      <c r="BJ27" s="162">
        <v>280</v>
      </c>
      <c r="BK27" s="97"/>
      <c r="BL27" s="97"/>
      <c r="BM27" s="97"/>
      <c r="BN27" s="97"/>
    </row>
    <row r="28" spans="1:66" ht="12.75">
      <c r="A28" s="79" t="s">
        <v>589</v>
      </c>
      <c r="B28" s="79" t="s">
        <v>338</v>
      </c>
      <c r="C28" s="79" t="s">
        <v>191</v>
      </c>
      <c r="D28" s="99">
        <v>3261</v>
      </c>
      <c r="E28" s="99">
        <v>253</v>
      </c>
      <c r="F28" s="99" t="s">
        <v>364</v>
      </c>
      <c r="G28" s="99">
        <v>10</v>
      </c>
      <c r="H28" s="99" t="s">
        <v>538</v>
      </c>
      <c r="I28" s="99">
        <v>33</v>
      </c>
      <c r="J28" s="99">
        <v>177</v>
      </c>
      <c r="K28" s="99" t="s">
        <v>538</v>
      </c>
      <c r="L28" s="99">
        <v>572</v>
      </c>
      <c r="M28" s="99">
        <v>98</v>
      </c>
      <c r="N28" s="99">
        <v>51</v>
      </c>
      <c r="O28" s="99">
        <v>41</v>
      </c>
      <c r="P28" s="159">
        <v>41</v>
      </c>
      <c r="Q28" s="99">
        <v>6</v>
      </c>
      <c r="R28" s="99">
        <v>6</v>
      </c>
      <c r="S28" s="99">
        <v>9</v>
      </c>
      <c r="T28" s="99" t="s">
        <v>538</v>
      </c>
      <c r="U28" s="99" t="s">
        <v>538</v>
      </c>
      <c r="V28" s="99">
        <v>6</v>
      </c>
      <c r="W28" s="99">
        <v>17</v>
      </c>
      <c r="X28" s="99">
        <v>10</v>
      </c>
      <c r="Y28" s="99">
        <v>45</v>
      </c>
      <c r="Z28" s="99">
        <v>11</v>
      </c>
      <c r="AA28" s="99" t="s">
        <v>538</v>
      </c>
      <c r="AB28" s="99" t="s">
        <v>538</v>
      </c>
      <c r="AC28" s="99" t="s">
        <v>538</v>
      </c>
      <c r="AD28" s="98" t="s">
        <v>343</v>
      </c>
      <c r="AE28" s="100">
        <v>0.0775835633241337</v>
      </c>
      <c r="AF28" s="100">
        <v>0.34</v>
      </c>
      <c r="AG28" s="98">
        <v>306.65440049064705</v>
      </c>
      <c r="AH28" s="98" t="s">
        <v>538</v>
      </c>
      <c r="AI28" s="100">
        <v>0.01</v>
      </c>
      <c r="AJ28" s="100">
        <v>0.59396</v>
      </c>
      <c r="AK28" s="100" t="s">
        <v>538</v>
      </c>
      <c r="AL28" s="100">
        <v>0.722222</v>
      </c>
      <c r="AM28" s="100">
        <v>0.466667</v>
      </c>
      <c r="AN28" s="100">
        <v>0.41129</v>
      </c>
      <c r="AO28" s="98">
        <v>1257.283042011653</v>
      </c>
      <c r="AP28" s="158">
        <v>0.9419573212</v>
      </c>
      <c r="AQ28" s="100">
        <v>0.14634146341463414</v>
      </c>
      <c r="AR28" s="100">
        <v>1</v>
      </c>
      <c r="AS28" s="98">
        <v>275.9889604415823</v>
      </c>
      <c r="AT28" s="98" t="s">
        <v>538</v>
      </c>
      <c r="AU28" s="98" t="s">
        <v>538</v>
      </c>
      <c r="AV28" s="98">
        <v>183.99264029438822</v>
      </c>
      <c r="AW28" s="98">
        <v>521.3124808340999</v>
      </c>
      <c r="AX28" s="98">
        <v>306.65440049064705</v>
      </c>
      <c r="AY28" s="98">
        <v>1379.9448022079116</v>
      </c>
      <c r="AZ28" s="98">
        <v>337.3198405397117</v>
      </c>
      <c r="BA28" s="100" t="s">
        <v>538</v>
      </c>
      <c r="BB28" s="100" t="s">
        <v>538</v>
      </c>
      <c r="BC28" s="100" t="s">
        <v>538</v>
      </c>
      <c r="BD28" s="158">
        <v>0.6759648131999999</v>
      </c>
      <c r="BE28" s="158">
        <v>1.277871399</v>
      </c>
      <c r="BF28" s="162">
        <v>298</v>
      </c>
      <c r="BG28" s="162" t="s">
        <v>538</v>
      </c>
      <c r="BH28" s="162">
        <v>792</v>
      </c>
      <c r="BI28" s="162">
        <v>210</v>
      </c>
      <c r="BJ28" s="162">
        <v>124</v>
      </c>
      <c r="BK28" s="97"/>
      <c r="BL28" s="97"/>
      <c r="BM28" s="97"/>
      <c r="BN28" s="97"/>
    </row>
    <row r="29" spans="1:66" ht="12.75">
      <c r="A29" s="79" t="s">
        <v>582</v>
      </c>
      <c r="B29" s="79" t="s">
        <v>329</v>
      </c>
      <c r="C29" s="79" t="s">
        <v>191</v>
      </c>
      <c r="D29" s="99">
        <v>3990</v>
      </c>
      <c r="E29" s="99">
        <v>657</v>
      </c>
      <c r="F29" s="99" t="s">
        <v>363</v>
      </c>
      <c r="G29" s="99">
        <v>25</v>
      </c>
      <c r="H29" s="99">
        <v>9</v>
      </c>
      <c r="I29" s="99">
        <v>53</v>
      </c>
      <c r="J29" s="99">
        <v>379</v>
      </c>
      <c r="K29" s="99" t="s">
        <v>538</v>
      </c>
      <c r="L29" s="99">
        <v>666</v>
      </c>
      <c r="M29" s="99">
        <v>216</v>
      </c>
      <c r="N29" s="99">
        <v>128</v>
      </c>
      <c r="O29" s="99">
        <v>50</v>
      </c>
      <c r="P29" s="159">
        <v>50</v>
      </c>
      <c r="Q29" s="99">
        <v>7</v>
      </c>
      <c r="R29" s="99">
        <v>15</v>
      </c>
      <c r="S29" s="99">
        <v>12</v>
      </c>
      <c r="T29" s="99">
        <v>7</v>
      </c>
      <c r="U29" s="99" t="s">
        <v>538</v>
      </c>
      <c r="V29" s="99">
        <v>13</v>
      </c>
      <c r="W29" s="99">
        <v>20</v>
      </c>
      <c r="X29" s="99">
        <v>11</v>
      </c>
      <c r="Y29" s="99">
        <v>41</v>
      </c>
      <c r="Z29" s="99">
        <v>25</v>
      </c>
      <c r="AA29" s="99" t="s">
        <v>538</v>
      </c>
      <c r="AB29" s="99" t="s">
        <v>538</v>
      </c>
      <c r="AC29" s="99" t="s">
        <v>538</v>
      </c>
      <c r="AD29" s="98" t="s">
        <v>343</v>
      </c>
      <c r="AE29" s="100">
        <v>0.16466165413533834</v>
      </c>
      <c r="AF29" s="100">
        <v>0.24</v>
      </c>
      <c r="AG29" s="98">
        <v>626.5664160401003</v>
      </c>
      <c r="AH29" s="98">
        <v>225.5639097744361</v>
      </c>
      <c r="AI29" s="100">
        <v>0.013000000000000001</v>
      </c>
      <c r="AJ29" s="100">
        <v>0.713748</v>
      </c>
      <c r="AK29" s="100" t="s">
        <v>538</v>
      </c>
      <c r="AL29" s="100">
        <v>0.713826</v>
      </c>
      <c r="AM29" s="100">
        <v>0.472648</v>
      </c>
      <c r="AN29" s="100">
        <v>0.486692</v>
      </c>
      <c r="AO29" s="98">
        <v>1253.1328320802006</v>
      </c>
      <c r="AP29" s="158">
        <v>0.6657408142</v>
      </c>
      <c r="AQ29" s="100">
        <v>0.14</v>
      </c>
      <c r="AR29" s="100">
        <v>0.4666666666666667</v>
      </c>
      <c r="AS29" s="98">
        <v>300.7518796992481</v>
      </c>
      <c r="AT29" s="98">
        <v>175.43859649122808</v>
      </c>
      <c r="AU29" s="98" t="s">
        <v>538</v>
      </c>
      <c r="AV29" s="98">
        <v>325.81453634085216</v>
      </c>
      <c r="AW29" s="98">
        <v>501.2531328320802</v>
      </c>
      <c r="AX29" s="98">
        <v>275.6892230576441</v>
      </c>
      <c r="AY29" s="98">
        <v>1027.5689223057643</v>
      </c>
      <c r="AZ29" s="98">
        <v>626.5664160401003</v>
      </c>
      <c r="BA29" s="100" t="s">
        <v>538</v>
      </c>
      <c r="BB29" s="100" t="s">
        <v>538</v>
      </c>
      <c r="BC29" s="100" t="s">
        <v>538</v>
      </c>
      <c r="BD29" s="158">
        <v>0.49412563319999997</v>
      </c>
      <c r="BE29" s="158">
        <v>0.8776962279999999</v>
      </c>
      <c r="BF29" s="162">
        <v>531</v>
      </c>
      <c r="BG29" s="162" t="s">
        <v>538</v>
      </c>
      <c r="BH29" s="162">
        <v>933</v>
      </c>
      <c r="BI29" s="162">
        <v>457</v>
      </c>
      <c r="BJ29" s="162">
        <v>263</v>
      </c>
      <c r="BK29" s="97"/>
      <c r="BL29" s="97"/>
      <c r="BM29" s="97"/>
      <c r="BN29" s="97"/>
    </row>
    <row r="30" spans="1:66" ht="12.75">
      <c r="A30" s="79" t="s">
        <v>558</v>
      </c>
      <c r="B30" s="79" t="s">
        <v>303</v>
      </c>
      <c r="C30" s="79" t="s">
        <v>191</v>
      </c>
      <c r="D30" s="99">
        <v>5808</v>
      </c>
      <c r="E30" s="99">
        <v>1077</v>
      </c>
      <c r="F30" s="99" t="s">
        <v>363</v>
      </c>
      <c r="G30" s="99">
        <v>33</v>
      </c>
      <c r="H30" s="99">
        <v>19</v>
      </c>
      <c r="I30" s="99">
        <v>64</v>
      </c>
      <c r="J30" s="99">
        <v>459</v>
      </c>
      <c r="K30" s="99" t="s">
        <v>538</v>
      </c>
      <c r="L30" s="99">
        <v>1027</v>
      </c>
      <c r="M30" s="99">
        <v>257</v>
      </c>
      <c r="N30" s="99">
        <v>152</v>
      </c>
      <c r="O30" s="99">
        <v>110</v>
      </c>
      <c r="P30" s="159">
        <v>110</v>
      </c>
      <c r="Q30" s="99">
        <v>9</v>
      </c>
      <c r="R30" s="99">
        <v>26</v>
      </c>
      <c r="S30" s="99">
        <v>19</v>
      </c>
      <c r="T30" s="99">
        <v>14</v>
      </c>
      <c r="U30" s="99">
        <v>6</v>
      </c>
      <c r="V30" s="99">
        <v>17</v>
      </c>
      <c r="W30" s="99">
        <v>23</v>
      </c>
      <c r="X30" s="99">
        <v>13</v>
      </c>
      <c r="Y30" s="99">
        <v>68</v>
      </c>
      <c r="Z30" s="99">
        <v>45</v>
      </c>
      <c r="AA30" s="99" t="s">
        <v>538</v>
      </c>
      <c r="AB30" s="99" t="s">
        <v>538</v>
      </c>
      <c r="AC30" s="99" t="s">
        <v>538</v>
      </c>
      <c r="AD30" s="98" t="s">
        <v>343</v>
      </c>
      <c r="AE30" s="100">
        <v>0.18543388429752067</v>
      </c>
      <c r="AF30" s="100">
        <v>0.2</v>
      </c>
      <c r="AG30" s="98">
        <v>568.1818181818181</v>
      </c>
      <c r="AH30" s="98">
        <v>327.1349862258953</v>
      </c>
      <c r="AI30" s="100">
        <v>0.011000000000000001</v>
      </c>
      <c r="AJ30" s="100">
        <v>0.669096</v>
      </c>
      <c r="AK30" s="100" t="s">
        <v>538</v>
      </c>
      <c r="AL30" s="100">
        <v>0.72273</v>
      </c>
      <c r="AM30" s="100">
        <v>0.482176</v>
      </c>
      <c r="AN30" s="100">
        <v>0.508361</v>
      </c>
      <c r="AO30" s="98">
        <v>1893.939393939394</v>
      </c>
      <c r="AP30" s="158">
        <v>0.9785282898</v>
      </c>
      <c r="AQ30" s="100">
        <v>0.08181818181818182</v>
      </c>
      <c r="AR30" s="100">
        <v>0.34615384615384615</v>
      </c>
      <c r="AS30" s="98">
        <v>327.1349862258953</v>
      </c>
      <c r="AT30" s="98">
        <v>241.04683195592287</v>
      </c>
      <c r="AU30" s="98">
        <v>103.30578512396694</v>
      </c>
      <c r="AV30" s="98">
        <v>292.69972451790636</v>
      </c>
      <c r="AW30" s="98">
        <v>396.0055096418733</v>
      </c>
      <c r="AX30" s="98">
        <v>223.82920110192836</v>
      </c>
      <c r="AY30" s="98">
        <v>1170.7988980716254</v>
      </c>
      <c r="AZ30" s="98">
        <v>774.7933884297521</v>
      </c>
      <c r="BA30" s="100" t="s">
        <v>538</v>
      </c>
      <c r="BB30" s="100" t="s">
        <v>538</v>
      </c>
      <c r="BC30" s="100" t="s">
        <v>538</v>
      </c>
      <c r="BD30" s="158">
        <v>0.8042312622</v>
      </c>
      <c r="BE30" s="158">
        <v>1.179391174</v>
      </c>
      <c r="BF30" s="162">
        <v>686</v>
      </c>
      <c r="BG30" s="162" t="s">
        <v>538</v>
      </c>
      <c r="BH30" s="162">
        <v>1421</v>
      </c>
      <c r="BI30" s="162">
        <v>533</v>
      </c>
      <c r="BJ30" s="162">
        <v>299</v>
      </c>
      <c r="BK30" s="97"/>
      <c r="BL30" s="97"/>
      <c r="BM30" s="97"/>
      <c r="BN30" s="97"/>
    </row>
    <row r="31" spans="1:66" ht="12.75">
      <c r="A31" s="79" t="s">
        <v>588</v>
      </c>
      <c r="B31" s="79" t="s">
        <v>337</v>
      </c>
      <c r="C31" s="79" t="s">
        <v>191</v>
      </c>
      <c r="D31" s="99">
        <v>2432</v>
      </c>
      <c r="E31" s="99">
        <v>321</v>
      </c>
      <c r="F31" s="99" t="s">
        <v>364</v>
      </c>
      <c r="G31" s="99">
        <v>8</v>
      </c>
      <c r="H31" s="99">
        <v>6</v>
      </c>
      <c r="I31" s="99">
        <v>36</v>
      </c>
      <c r="J31" s="99">
        <v>214</v>
      </c>
      <c r="K31" s="99" t="s">
        <v>538</v>
      </c>
      <c r="L31" s="99">
        <v>442</v>
      </c>
      <c r="M31" s="99">
        <v>132</v>
      </c>
      <c r="N31" s="99">
        <v>72</v>
      </c>
      <c r="O31" s="99">
        <v>41</v>
      </c>
      <c r="P31" s="159">
        <v>41</v>
      </c>
      <c r="Q31" s="99" t="s">
        <v>538</v>
      </c>
      <c r="R31" s="99">
        <v>9</v>
      </c>
      <c r="S31" s="99" t="s">
        <v>538</v>
      </c>
      <c r="T31" s="99">
        <v>7</v>
      </c>
      <c r="U31" s="99" t="s">
        <v>538</v>
      </c>
      <c r="V31" s="99">
        <v>8</v>
      </c>
      <c r="W31" s="99">
        <v>15</v>
      </c>
      <c r="X31" s="99">
        <v>6</v>
      </c>
      <c r="Y31" s="99">
        <v>30</v>
      </c>
      <c r="Z31" s="99">
        <v>12</v>
      </c>
      <c r="AA31" s="99" t="s">
        <v>538</v>
      </c>
      <c r="AB31" s="99" t="s">
        <v>538</v>
      </c>
      <c r="AC31" s="99" t="s">
        <v>538</v>
      </c>
      <c r="AD31" s="98" t="s">
        <v>343</v>
      </c>
      <c r="AE31" s="100">
        <v>0.13199013157894737</v>
      </c>
      <c r="AF31" s="100">
        <v>0.24</v>
      </c>
      <c r="AG31" s="98">
        <v>328.94736842105266</v>
      </c>
      <c r="AH31" s="98">
        <v>246.71052631578948</v>
      </c>
      <c r="AI31" s="100">
        <v>0.015</v>
      </c>
      <c r="AJ31" s="100">
        <v>0.720539</v>
      </c>
      <c r="AK31" s="100" t="s">
        <v>538</v>
      </c>
      <c r="AL31" s="100">
        <v>0.735441</v>
      </c>
      <c r="AM31" s="100">
        <v>0.496241</v>
      </c>
      <c r="AN31" s="100">
        <v>0.470588</v>
      </c>
      <c r="AO31" s="98">
        <v>1685.8552631578948</v>
      </c>
      <c r="AP31" s="158">
        <v>0.9893549347</v>
      </c>
      <c r="AQ31" s="100" t="s">
        <v>538</v>
      </c>
      <c r="AR31" s="100" t="s">
        <v>538</v>
      </c>
      <c r="AS31" s="98" t="s">
        <v>538</v>
      </c>
      <c r="AT31" s="98">
        <v>287.82894736842104</v>
      </c>
      <c r="AU31" s="98" t="s">
        <v>538</v>
      </c>
      <c r="AV31" s="98">
        <v>328.94736842105266</v>
      </c>
      <c r="AW31" s="98">
        <v>616.7763157894736</v>
      </c>
      <c r="AX31" s="98">
        <v>246.71052631578948</v>
      </c>
      <c r="AY31" s="98">
        <v>1233.5526315789473</v>
      </c>
      <c r="AZ31" s="98">
        <v>493.42105263157896</v>
      </c>
      <c r="BA31" s="100" t="s">
        <v>538</v>
      </c>
      <c r="BB31" s="100" t="s">
        <v>538</v>
      </c>
      <c r="BC31" s="100" t="s">
        <v>538</v>
      </c>
      <c r="BD31" s="158">
        <v>0.7099781799</v>
      </c>
      <c r="BE31" s="158">
        <v>1.342171631</v>
      </c>
      <c r="BF31" s="162">
        <v>297</v>
      </c>
      <c r="BG31" s="162" t="s">
        <v>538</v>
      </c>
      <c r="BH31" s="162">
        <v>601</v>
      </c>
      <c r="BI31" s="162">
        <v>266</v>
      </c>
      <c r="BJ31" s="162">
        <v>153</v>
      </c>
      <c r="BK31" s="97"/>
      <c r="BL31" s="97"/>
      <c r="BM31" s="97"/>
      <c r="BN31" s="97"/>
    </row>
    <row r="32" spans="1:66" ht="12.75">
      <c r="A32" s="79" t="s">
        <v>562</v>
      </c>
      <c r="B32" s="79" t="s">
        <v>307</v>
      </c>
      <c r="C32" s="79" t="s">
        <v>191</v>
      </c>
      <c r="D32" s="99">
        <v>7223</v>
      </c>
      <c r="E32" s="99">
        <v>1278</v>
      </c>
      <c r="F32" s="99" t="s">
        <v>363</v>
      </c>
      <c r="G32" s="99">
        <v>59</v>
      </c>
      <c r="H32" s="99">
        <v>25</v>
      </c>
      <c r="I32" s="99">
        <v>142</v>
      </c>
      <c r="J32" s="99">
        <v>693</v>
      </c>
      <c r="K32" s="99">
        <v>13</v>
      </c>
      <c r="L32" s="99">
        <v>1376</v>
      </c>
      <c r="M32" s="99">
        <v>491</v>
      </c>
      <c r="N32" s="99">
        <v>265</v>
      </c>
      <c r="O32" s="99">
        <v>215</v>
      </c>
      <c r="P32" s="159">
        <v>215</v>
      </c>
      <c r="Q32" s="99">
        <v>16</v>
      </c>
      <c r="R32" s="99">
        <v>26</v>
      </c>
      <c r="S32" s="99">
        <v>57</v>
      </c>
      <c r="T32" s="99">
        <v>33</v>
      </c>
      <c r="U32" s="99">
        <v>13</v>
      </c>
      <c r="V32" s="99">
        <v>29</v>
      </c>
      <c r="W32" s="99">
        <v>52</v>
      </c>
      <c r="X32" s="99">
        <v>34</v>
      </c>
      <c r="Y32" s="99">
        <v>126</v>
      </c>
      <c r="Z32" s="99">
        <v>51</v>
      </c>
      <c r="AA32" s="99" t="s">
        <v>538</v>
      </c>
      <c r="AB32" s="99" t="s">
        <v>538</v>
      </c>
      <c r="AC32" s="99" t="s">
        <v>538</v>
      </c>
      <c r="AD32" s="98" t="s">
        <v>343</v>
      </c>
      <c r="AE32" s="100">
        <v>0.1769347916378236</v>
      </c>
      <c r="AF32" s="100">
        <v>0.2</v>
      </c>
      <c r="AG32" s="98">
        <v>816.8351100650699</v>
      </c>
      <c r="AH32" s="98">
        <v>346.1165720614703</v>
      </c>
      <c r="AI32" s="100">
        <v>0.02</v>
      </c>
      <c r="AJ32" s="100">
        <v>0.693</v>
      </c>
      <c r="AK32" s="100">
        <v>0.764706</v>
      </c>
      <c r="AL32" s="100">
        <v>0.764869</v>
      </c>
      <c r="AM32" s="100">
        <v>0.543142</v>
      </c>
      <c r="AN32" s="100">
        <v>0.550936</v>
      </c>
      <c r="AO32" s="98">
        <v>2976.6025197286444</v>
      </c>
      <c r="AP32" s="158">
        <v>1.530751648</v>
      </c>
      <c r="AQ32" s="100">
        <v>0.07441860465116279</v>
      </c>
      <c r="AR32" s="100">
        <v>0.6153846153846154</v>
      </c>
      <c r="AS32" s="98">
        <v>789.1457843001523</v>
      </c>
      <c r="AT32" s="98">
        <v>456.8738751211408</v>
      </c>
      <c r="AU32" s="98">
        <v>179.98061747196456</v>
      </c>
      <c r="AV32" s="98">
        <v>401.49522359130555</v>
      </c>
      <c r="AW32" s="98">
        <v>719.9224698878583</v>
      </c>
      <c r="AX32" s="98">
        <v>470.71853800359963</v>
      </c>
      <c r="AY32" s="98">
        <v>1744.4275231898102</v>
      </c>
      <c r="AZ32" s="98">
        <v>706.0778070053994</v>
      </c>
      <c r="BA32" s="100" t="s">
        <v>538</v>
      </c>
      <c r="BB32" s="100" t="s">
        <v>538</v>
      </c>
      <c r="BC32" s="100" t="s">
        <v>538</v>
      </c>
      <c r="BD32" s="158">
        <v>1.332963104</v>
      </c>
      <c r="BE32" s="158">
        <v>1.74961792</v>
      </c>
      <c r="BF32" s="162">
        <v>1000</v>
      </c>
      <c r="BG32" s="162">
        <v>17</v>
      </c>
      <c r="BH32" s="162">
        <v>1799</v>
      </c>
      <c r="BI32" s="162">
        <v>904</v>
      </c>
      <c r="BJ32" s="162">
        <v>481</v>
      </c>
      <c r="BK32" s="97"/>
      <c r="BL32" s="97"/>
      <c r="BM32" s="97"/>
      <c r="BN32" s="97"/>
    </row>
    <row r="33" spans="1:66" ht="12.75">
      <c r="A33" s="79" t="s">
        <v>569</v>
      </c>
      <c r="B33" s="79" t="s">
        <v>314</v>
      </c>
      <c r="C33" s="79" t="s">
        <v>191</v>
      </c>
      <c r="D33" s="99">
        <v>6399</v>
      </c>
      <c r="E33" s="99">
        <v>1195</v>
      </c>
      <c r="F33" s="99" t="s">
        <v>363</v>
      </c>
      <c r="G33" s="99">
        <v>48</v>
      </c>
      <c r="H33" s="99">
        <v>20</v>
      </c>
      <c r="I33" s="99">
        <v>106</v>
      </c>
      <c r="J33" s="99">
        <v>634</v>
      </c>
      <c r="K33" s="99" t="s">
        <v>538</v>
      </c>
      <c r="L33" s="99">
        <v>1210</v>
      </c>
      <c r="M33" s="99">
        <v>401</v>
      </c>
      <c r="N33" s="99">
        <v>256</v>
      </c>
      <c r="O33" s="99">
        <v>103</v>
      </c>
      <c r="P33" s="159">
        <v>103</v>
      </c>
      <c r="Q33" s="99">
        <v>21</v>
      </c>
      <c r="R33" s="99">
        <v>32</v>
      </c>
      <c r="S33" s="99">
        <v>12</v>
      </c>
      <c r="T33" s="99">
        <v>22</v>
      </c>
      <c r="U33" s="99">
        <v>7</v>
      </c>
      <c r="V33" s="99">
        <v>25</v>
      </c>
      <c r="W33" s="99">
        <v>41</v>
      </c>
      <c r="X33" s="99">
        <v>17</v>
      </c>
      <c r="Y33" s="99">
        <v>85</v>
      </c>
      <c r="Z33" s="99">
        <v>66</v>
      </c>
      <c r="AA33" s="99" t="s">
        <v>538</v>
      </c>
      <c r="AB33" s="99" t="s">
        <v>538</v>
      </c>
      <c r="AC33" s="99" t="s">
        <v>538</v>
      </c>
      <c r="AD33" s="98" t="s">
        <v>343</v>
      </c>
      <c r="AE33" s="100">
        <v>0.18674792936396312</v>
      </c>
      <c r="AF33" s="100">
        <v>0.21</v>
      </c>
      <c r="AG33" s="98">
        <v>750.1172058134083</v>
      </c>
      <c r="AH33" s="98">
        <v>312.5488357555868</v>
      </c>
      <c r="AI33" s="100">
        <v>0.017</v>
      </c>
      <c r="AJ33" s="100">
        <v>0.7254</v>
      </c>
      <c r="AK33" s="100" t="s">
        <v>538</v>
      </c>
      <c r="AL33" s="100">
        <v>0.758621</v>
      </c>
      <c r="AM33" s="100">
        <v>0.493235</v>
      </c>
      <c r="AN33" s="100">
        <v>0.535565</v>
      </c>
      <c r="AO33" s="98">
        <v>1609.626504141272</v>
      </c>
      <c r="AP33" s="158">
        <v>0.7872426605</v>
      </c>
      <c r="AQ33" s="100">
        <v>0.20388349514563106</v>
      </c>
      <c r="AR33" s="100">
        <v>0.65625</v>
      </c>
      <c r="AS33" s="98">
        <v>187.52930145335208</v>
      </c>
      <c r="AT33" s="98">
        <v>343.8037193311455</v>
      </c>
      <c r="AU33" s="98">
        <v>109.39209251445538</v>
      </c>
      <c r="AV33" s="98">
        <v>390.6860446944835</v>
      </c>
      <c r="AW33" s="98">
        <v>640.7251132989529</v>
      </c>
      <c r="AX33" s="98">
        <v>265.66651039224877</v>
      </c>
      <c r="AY33" s="98">
        <v>1328.332551961244</v>
      </c>
      <c r="AZ33" s="98">
        <v>1031.4111579934365</v>
      </c>
      <c r="BA33" s="100" t="s">
        <v>538</v>
      </c>
      <c r="BB33" s="100" t="s">
        <v>538</v>
      </c>
      <c r="BC33" s="100" t="s">
        <v>538</v>
      </c>
      <c r="BD33" s="158">
        <v>0.6425730133</v>
      </c>
      <c r="BE33" s="158">
        <v>0.9547607422</v>
      </c>
      <c r="BF33" s="162">
        <v>874</v>
      </c>
      <c r="BG33" s="162" t="s">
        <v>538</v>
      </c>
      <c r="BH33" s="162">
        <v>1595</v>
      </c>
      <c r="BI33" s="162">
        <v>813</v>
      </c>
      <c r="BJ33" s="162">
        <v>478</v>
      </c>
      <c r="BK33" s="97"/>
      <c r="BL33" s="97"/>
      <c r="BM33" s="97"/>
      <c r="BN33" s="97"/>
    </row>
    <row r="34" spans="1:66" ht="12.75">
      <c r="A34" s="79" t="s">
        <v>574</v>
      </c>
      <c r="B34" s="79" t="s">
        <v>319</v>
      </c>
      <c r="C34" s="79" t="s">
        <v>191</v>
      </c>
      <c r="D34" s="99">
        <v>5676</v>
      </c>
      <c r="E34" s="99">
        <v>921</v>
      </c>
      <c r="F34" s="99" t="s">
        <v>363</v>
      </c>
      <c r="G34" s="99">
        <v>33</v>
      </c>
      <c r="H34" s="99">
        <v>19</v>
      </c>
      <c r="I34" s="99">
        <v>93</v>
      </c>
      <c r="J34" s="99">
        <v>497</v>
      </c>
      <c r="K34" s="99">
        <v>6</v>
      </c>
      <c r="L34" s="99">
        <v>1023</v>
      </c>
      <c r="M34" s="99">
        <v>345</v>
      </c>
      <c r="N34" s="99">
        <v>199</v>
      </c>
      <c r="O34" s="99">
        <v>108</v>
      </c>
      <c r="P34" s="159">
        <v>108</v>
      </c>
      <c r="Q34" s="99">
        <v>14</v>
      </c>
      <c r="R34" s="99">
        <v>23</v>
      </c>
      <c r="S34" s="99">
        <v>22</v>
      </c>
      <c r="T34" s="99">
        <v>11</v>
      </c>
      <c r="U34" s="99">
        <v>7</v>
      </c>
      <c r="V34" s="99">
        <v>21</v>
      </c>
      <c r="W34" s="99">
        <v>23</v>
      </c>
      <c r="X34" s="99">
        <v>18</v>
      </c>
      <c r="Y34" s="99">
        <v>67</v>
      </c>
      <c r="Z34" s="99">
        <v>45</v>
      </c>
      <c r="AA34" s="99" t="s">
        <v>538</v>
      </c>
      <c r="AB34" s="99" t="s">
        <v>538</v>
      </c>
      <c r="AC34" s="99" t="s">
        <v>538</v>
      </c>
      <c r="AD34" s="98" t="s">
        <v>343</v>
      </c>
      <c r="AE34" s="100">
        <v>0.16226215644820297</v>
      </c>
      <c r="AF34" s="100">
        <v>0.19</v>
      </c>
      <c r="AG34" s="98">
        <v>581.3953488372093</v>
      </c>
      <c r="AH34" s="98">
        <v>334.74277660324174</v>
      </c>
      <c r="AI34" s="100">
        <v>0.016</v>
      </c>
      <c r="AJ34" s="100">
        <v>0.678035</v>
      </c>
      <c r="AK34" s="100">
        <v>0.857143</v>
      </c>
      <c r="AL34" s="100">
        <v>0.721948</v>
      </c>
      <c r="AM34" s="100">
        <v>0.510355</v>
      </c>
      <c r="AN34" s="100">
        <v>0.518229</v>
      </c>
      <c r="AO34" s="98">
        <v>1902.7484143763213</v>
      </c>
      <c r="AP34" s="158">
        <v>0.9935542297000001</v>
      </c>
      <c r="AQ34" s="100">
        <v>0.12962962962962962</v>
      </c>
      <c r="AR34" s="100">
        <v>0.6086956521739131</v>
      </c>
      <c r="AS34" s="98">
        <v>387.5968992248062</v>
      </c>
      <c r="AT34" s="98">
        <v>193.7984496124031</v>
      </c>
      <c r="AU34" s="98">
        <v>123.3262861169838</v>
      </c>
      <c r="AV34" s="98">
        <v>369.9788583509514</v>
      </c>
      <c r="AW34" s="98">
        <v>405.21494009866103</v>
      </c>
      <c r="AX34" s="98">
        <v>317.1247357293869</v>
      </c>
      <c r="AY34" s="98">
        <v>1180.4087385482735</v>
      </c>
      <c r="AZ34" s="98">
        <v>792.8118393234672</v>
      </c>
      <c r="BA34" s="100" t="s">
        <v>538</v>
      </c>
      <c r="BB34" s="100" t="s">
        <v>538</v>
      </c>
      <c r="BC34" s="100" t="s">
        <v>538</v>
      </c>
      <c r="BD34" s="158">
        <v>0.8150318146</v>
      </c>
      <c r="BE34" s="158">
        <v>1.199557724</v>
      </c>
      <c r="BF34" s="162">
        <v>733</v>
      </c>
      <c r="BG34" s="162">
        <v>7</v>
      </c>
      <c r="BH34" s="162">
        <v>1417</v>
      </c>
      <c r="BI34" s="162">
        <v>676</v>
      </c>
      <c r="BJ34" s="162">
        <v>384</v>
      </c>
      <c r="BK34" s="97"/>
      <c r="BL34" s="97"/>
      <c r="BM34" s="97"/>
      <c r="BN34" s="97"/>
    </row>
    <row r="35" spans="1:66" ht="12.75">
      <c r="A35" s="79" t="s">
        <v>573</v>
      </c>
      <c r="B35" s="79" t="s">
        <v>318</v>
      </c>
      <c r="C35" s="79" t="s">
        <v>191</v>
      </c>
      <c r="D35" s="99">
        <v>4863</v>
      </c>
      <c r="E35" s="99">
        <v>1194</v>
      </c>
      <c r="F35" s="99" t="s">
        <v>366</v>
      </c>
      <c r="G35" s="99">
        <v>31</v>
      </c>
      <c r="H35" s="99">
        <v>23</v>
      </c>
      <c r="I35" s="99">
        <v>104</v>
      </c>
      <c r="J35" s="99">
        <v>533</v>
      </c>
      <c r="K35" s="99" t="s">
        <v>538</v>
      </c>
      <c r="L35" s="99">
        <v>831</v>
      </c>
      <c r="M35" s="99">
        <v>394</v>
      </c>
      <c r="N35" s="99">
        <v>233</v>
      </c>
      <c r="O35" s="99">
        <v>103</v>
      </c>
      <c r="P35" s="159">
        <v>103</v>
      </c>
      <c r="Q35" s="99">
        <v>19</v>
      </c>
      <c r="R35" s="99">
        <v>28</v>
      </c>
      <c r="S35" s="99">
        <v>13</v>
      </c>
      <c r="T35" s="99">
        <v>16</v>
      </c>
      <c r="U35" s="99">
        <v>7</v>
      </c>
      <c r="V35" s="99">
        <v>13</v>
      </c>
      <c r="W35" s="99">
        <v>24</v>
      </c>
      <c r="X35" s="99">
        <v>16</v>
      </c>
      <c r="Y35" s="99">
        <v>83</v>
      </c>
      <c r="Z35" s="99">
        <v>53</v>
      </c>
      <c r="AA35" s="99" t="s">
        <v>538</v>
      </c>
      <c r="AB35" s="99" t="s">
        <v>538</v>
      </c>
      <c r="AC35" s="99" t="s">
        <v>538</v>
      </c>
      <c r="AD35" s="98" t="s">
        <v>343</v>
      </c>
      <c r="AE35" s="100">
        <v>0.24552745219000616</v>
      </c>
      <c r="AF35" s="100">
        <v>0.12</v>
      </c>
      <c r="AG35" s="98">
        <v>637.4665844129138</v>
      </c>
      <c r="AH35" s="98">
        <v>472.9590787579683</v>
      </c>
      <c r="AI35" s="100">
        <v>0.021</v>
      </c>
      <c r="AJ35" s="100">
        <v>0.77924</v>
      </c>
      <c r="AK35" s="100" t="s">
        <v>538</v>
      </c>
      <c r="AL35" s="100">
        <v>0.763787</v>
      </c>
      <c r="AM35" s="100">
        <v>0.603369</v>
      </c>
      <c r="AN35" s="100">
        <v>0.645429</v>
      </c>
      <c r="AO35" s="98">
        <v>2118.034135307423</v>
      </c>
      <c r="AP35" s="158">
        <v>0.9423561096</v>
      </c>
      <c r="AQ35" s="100">
        <v>0.18446601941747573</v>
      </c>
      <c r="AR35" s="100">
        <v>0.6785714285714286</v>
      </c>
      <c r="AS35" s="98">
        <v>267.32469668928644</v>
      </c>
      <c r="AT35" s="98">
        <v>329.015011309891</v>
      </c>
      <c r="AU35" s="98">
        <v>143.9440674480773</v>
      </c>
      <c r="AV35" s="98">
        <v>267.32469668928644</v>
      </c>
      <c r="AW35" s="98">
        <v>493.52251696483654</v>
      </c>
      <c r="AX35" s="98">
        <v>329.015011309891</v>
      </c>
      <c r="AY35" s="98">
        <v>1706.7653711700596</v>
      </c>
      <c r="AZ35" s="98">
        <v>1089.8622249640139</v>
      </c>
      <c r="BA35" s="100" t="s">
        <v>538</v>
      </c>
      <c r="BB35" s="100" t="s">
        <v>538</v>
      </c>
      <c r="BC35" s="100" t="s">
        <v>538</v>
      </c>
      <c r="BD35" s="158">
        <v>0.7691815948</v>
      </c>
      <c r="BE35" s="158">
        <v>1.142880859</v>
      </c>
      <c r="BF35" s="162">
        <v>684</v>
      </c>
      <c r="BG35" s="162" t="s">
        <v>538</v>
      </c>
      <c r="BH35" s="162">
        <v>1088</v>
      </c>
      <c r="BI35" s="162">
        <v>653</v>
      </c>
      <c r="BJ35" s="162">
        <v>361</v>
      </c>
      <c r="BK35" s="97"/>
      <c r="BL35" s="97"/>
      <c r="BM35" s="97"/>
      <c r="BN35" s="97"/>
    </row>
    <row r="36" spans="1:66" ht="12.75">
      <c r="A36" s="79" t="s">
        <v>575</v>
      </c>
      <c r="B36" s="79" t="s">
        <v>320</v>
      </c>
      <c r="C36" s="79" t="s">
        <v>191</v>
      </c>
      <c r="D36" s="99">
        <v>7479</v>
      </c>
      <c r="E36" s="99">
        <v>1119</v>
      </c>
      <c r="F36" s="99" t="s">
        <v>363</v>
      </c>
      <c r="G36" s="99">
        <v>36</v>
      </c>
      <c r="H36" s="99">
        <v>32</v>
      </c>
      <c r="I36" s="99">
        <v>147</v>
      </c>
      <c r="J36" s="99">
        <v>603</v>
      </c>
      <c r="K36" s="99" t="s">
        <v>538</v>
      </c>
      <c r="L36" s="99">
        <v>1337</v>
      </c>
      <c r="M36" s="99">
        <v>386</v>
      </c>
      <c r="N36" s="99">
        <v>222</v>
      </c>
      <c r="O36" s="99">
        <v>135</v>
      </c>
      <c r="P36" s="159">
        <v>135</v>
      </c>
      <c r="Q36" s="99">
        <v>25</v>
      </c>
      <c r="R36" s="99">
        <v>38</v>
      </c>
      <c r="S36" s="99">
        <v>30</v>
      </c>
      <c r="T36" s="99">
        <v>24</v>
      </c>
      <c r="U36" s="99">
        <v>10</v>
      </c>
      <c r="V36" s="99">
        <v>16</v>
      </c>
      <c r="W36" s="99">
        <v>46</v>
      </c>
      <c r="X36" s="99">
        <v>26</v>
      </c>
      <c r="Y36" s="99">
        <v>133</v>
      </c>
      <c r="Z36" s="99">
        <v>81</v>
      </c>
      <c r="AA36" s="99" t="s">
        <v>538</v>
      </c>
      <c r="AB36" s="99" t="s">
        <v>538</v>
      </c>
      <c r="AC36" s="99" t="s">
        <v>538</v>
      </c>
      <c r="AD36" s="98" t="s">
        <v>343</v>
      </c>
      <c r="AE36" s="100">
        <v>0.1496189330124348</v>
      </c>
      <c r="AF36" s="100">
        <v>0.22</v>
      </c>
      <c r="AG36" s="98">
        <v>481.3477737665463</v>
      </c>
      <c r="AH36" s="98">
        <v>427.86468779248565</v>
      </c>
      <c r="AI36" s="100">
        <v>0.02</v>
      </c>
      <c r="AJ36" s="100">
        <v>0.676009</v>
      </c>
      <c r="AK36" s="100" t="s">
        <v>538</v>
      </c>
      <c r="AL36" s="100">
        <v>0.72663</v>
      </c>
      <c r="AM36" s="100">
        <v>0.499353</v>
      </c>
      <c r="AN36" s="100">
        <v>0.509174</v>
      </c>
      <c r="AO36" s="98">
        <v>1805.0541516245487</v>
      </c>
      <c r="AP36" s="158">
        <v>1.0109739690000001</v>
      </c>
      <c r="AQ36" s="100">
        <v>0.18518518518518517</v>
      </c>
      <c r="AR36" s="100">
        <v>0.6578947368421053</v>
      </c>
      <c r="AS36" s="98">
        <v>401.1231448054553</v>
      </c>
      <c r="AT36" s="98">
        <v>320.8985158443642</v>
      </c>
      <c r="AU36" s="98">
        <v>133.70771493515176</v>
      </c>
      <c r="AV36" s="98">
        <v>213.93234389624283</v>
      </c>
      <c r="AW36" s="98">
        <v>615.0554887016981</v>
      </c>
      <c r="AX36" s="98">
        <v>347.6400588313946</v>
      </c>
      <c r="AY36" s="98">
        <v>1778.3126086375185</v>
      </c>
      <c r="AZ36" s="98">
        <v>1083.0324909747292</v>
      </c>
      <c r="BA36" s="100" t="s">
        <v>538</v>
      </c>
      <c r="BB36" s="100" t="s">
        <v>538</v>
      </c>
      <c r="BC36" s="100" t="s">
        <v>538</v>
      </c>
      <c r="BD36" s="158">
        <v>0.8476358032</v>
      </c>
      <c r="BE36" s="158">
        <v>1.1966101070000001</v>
      </c>
      <c r="BF36" s="162">
        <v>892</v>
      </c>
      <c r="BG36" s="162" t="s">
        <v>538</v>
      </c>
      <c r="BH36" s="162">
        <v>1840</v>
      </c>
      <c r="BI36" s="162">
        <v>773</v>
      </c>
      <c r="BJ36" s="162">
        <v>436</v>
      </c>
      <c r="BK36" s="97"/>
      <c r="BL36" s="97"/>
      <c r="BM36" s="97"/>
      <c r="BN36" s="97"/>
    </row>
    <row r="37" spans="1:66" ht="12.75">
      <c r="A37" s="79" t="s">
        <v>566</v>
      </c>
      <c r="B37" s="79" t="s">
        <v>311</v>
      </c>
      <c r="C37" s="79" t="s">
        <v>191</v>
      </c>
      <c r="D37" s="99">
        <v>6284</v>
      </c>
      <c r="E37" s="99">
        <v>1186</v>
      </c>
      <c r="F37" s="99" t="s">
        <v>363</v>
      </c>
      <c r="G37" s="99">
        <v>44</v>
      </c>
      <c r="H37" s="99">
        <v>23</v>
      </c>
      <c r="I37" s="99">
        <v>69</v>
      </c>
      <c r="J37" s="99">
        <v>556</v>
      </c>
      <c r="K37" s="99" t="s">
        <v>538</v>
      </c>
      <c r="L37" s="99">
        <v>1092</v>
      </c>
      <c r="M37" s="99">
        <v>387</v>
      </c>
      <c r="N37" s="99">
        <v>229</v>
      </c>
      <c r="O37" s="99">
        <v>89</v>
      </c>
      <c r="P37" s="159">
        <v>89</v>
      </c>
      <c r="Q37" s="99">
        <v>18</v>
      </c>
      <c r="R37" s="99">
        <v>31</v>
      </c>
      <c r="S37" s="99">
        <v>18</v>
      </c>
      <c r="T37" s="99">
        <v>11</v>
      </c>
      <c r="U37" s="99">
        <v>8</v>
      </c>
      <c r="V37" s="99">
        <v>7</v>
      </c>
      <c r="W37" s="99">
        <v>29</v>
      </c>
      <c r="X37" s="99">
        <v>14</v>
      </c>
      <c r="Y37" s="99">
        <v>98</v>
      </c>
      <c r="Z37" s="99">
        <v>43</v>
      </c>
      <c r="AA37" s="99" t="s">
        <v>538</v>
      </c>
      <c r="AB37" s="99" t="s">
        <v>538</v>
      </c>
      <c r="AC37" s="99" t="s">
        <v>538</v>
      </c>
      <c r="AD37" s="98" t="s">
        <v>343</v>
      </c>
      <c r="AE37" s="100">
        <v>0.1887332908975175</v>
      </c>
      <c r="AF37" s="100">
        <v>0.21</v>
      </c>
      <c r="AG37" s="98">
        <v>700.1909611712285</v>
      </c>
      <c r="AH37" s="98">
        <v>366.008911521324</v>
      </c>
      <c r="AI37" s="100">
        <v>0.011000000000000001</v>
      </c>
      <c r="AJ37" s="100">
        <v>0.678049</v>
      </c>
      <c r="AK37" s="100" t="s">
        <v>538</v>
      </c>
      <c r="AL37" s="100">
        <v>0.740339</v>
      </c>
      <c r="AM37" s="100">
        <v>0.519463</v>
      </c>
      <c r="AN37" s="100">
        <v>0.554479</v>
      </c>
      <c r="AO37" s="98">
        <v>1416.2953532781669</v>
      </c>
      <c r="AP37" s="158">
        <v>0.7206394195999999</v>
      </c>
      <c r="AQ37" s="100">
        <v>0.20224719101123595</v>
      </c>
      <c r="AR37" s="100">
        <v>0.5806451612903226</v>
      </c>
      <c r="AS37" s="98">
        <v>286.4417568427753</v>
      </c>
      <c r="AT37" s="98">
        <v>175.04774029280713</v>
      </c>
      <c r="AU37" s="98">
        <v>127.30744748567791</v>
      </c>
      <c r="AV37" s="98">
        <v>111.39401654996817</v>
      </c>
      <c r="AW37" s="98">
        <v>461.48949713558244</v>
      </c>
      <c r="AX37" s="98">
        <v>222.78803309993634</v>
      </c>
      <c r="AY37" s="98">
        <v>1559.5162316995545</v>
      </c>
      <c r="AZ37" s="98">
        <v>684.2775302355187</v>
      </c>
      <c r="BA37" s="100" t="s">
        <v>538</v>
      </c>
      <c r="BB37" s="100" t="s">
        <v>538</v>
      </c>
      <c r="BC37" s="100" t="s">
        <v>538</v>
      </c>
      <c r="BD37" s="158">
        <v>0.5787326431</v>
      </c>
      <c r="BE37" s="158">
        <v>0.8868088530999999</v>
      </c>
      <c r="BF37" s="162">
        <v>820</v>
      </c>
      <c r="BG37" s="162" t="s">
        <v>538</v>
      </c>
      <c r="BH37" s="162">
        <v>1475</v>
      </c>
      <c r="BI37" s="162">
        <v>745</v>
      </c>
      <c r="BJ37" s="162">
        <v>413</v>
      </c>
      <c r="BK37" s="97"/>
      <c r="BL37" s="97"/>
      <c r="BM37" s="97"/>
      <c r="BN37" s="97"/>
    </row>
    <row r="38" spans="1:66" ht="12.75">
      <c r="A38" s="79" t="s">
        <v>590</v>
      </c>
      <c r="B38" s="79" t="s">
        <v>339</v>
      </c>
      <c r="C38" s="79" t="s">
        <v>191</v>
      </c>
      <c r="D38" s="99">
        <v>1730</v>
      </c>
      <c r="E38" s="99">
        <v>332</v>
      </c>
      <c r="F38" s="99" t="s">
        <v>366</v>
      </c>
      <c r="G38" s="99">
        <v>8</v>
      </c>
      <c r="H38" s="99" t="s">
        <v>538</v>
      </c>
      <c r="I38" s="99">
        <v>30</v>
      </c>
      <c r="J38" s="99">
        <v>175</v>
      </c>
      <c r="K38" s="99" t="s">
        <v>538</v>
      </c>
      <c r="L38" s="99">
        <v>342</v>
      </c>
      <c r="M38" s="99">
        <v>113</v>
      </c>
      <c r="N38" s="99">
        <v>82</v>
      </c>
      <c r="O38" s="99">
        <v>29</v>
      </c>
      <c r="P38" s="159">
        <v>29</v>
      </c>
      <c r="Q38" s="99" t="s">
        <v>538</v>
      </c>
      <c r="R38" s="99">
        <v>6</v>
      </c>
      <c r="S38" s="99">
        <v>6</v>
      </c>
      <c r="T38" s="99">
        <v>7</v>
      </c>
      <c r="U38" s="99" t="s">
        <v>538</v>
      </c>
      <c r="V38" s="99">
        <v>6</v>
      </c>
      <c r="W38" s="99">
        <v>13</v>
      </c>
      <c r="X38" s="99" t="s">
        <v>538</v>
      </c>
      <c r="Y38" s="99">
        <v>13</v>
      </c>
      <c r="Z38" s="99" t="s">
        <v>538</v>
      </c>
      <c r="AA38" s="99" t="s">
        <v>538</v>
      </c>
      <c r="AB38" s="99" t="s">
        <v>538</v>
      </c>
      <c r="AC38" s="99" t="s">
        <v>538</v>
      </c>
      <c r="AD38" s="98" t="s">
        <v>343</v>
      </c>
      <c r="AE38" s="100">
        <v>0.19190751445086704</v>
      </c>
      <c r="AF38" s="100">
        <v>0.13</v>
      </c>
      <c r="AG38" s="98">
        <v>462.42774566473986</v>
      </c>
      <c r="AH38" s="98" t="s">
        <v>538</v>
      </c>
      <c r="AI38" s="100">
        <v>0.017</v>
      </c>
      <c r="AJ38" s="100">
        <v>0.7</v>
      </c>
      <c r="AK38" s="100" t="s">
        <v>538</v>
      </c>
      <c r="AL38" s="100">
        <v>0.737069</v>
      </c>
      <c r="AM38" s="100">
        <v>0.513636</v>
      </c>
      <c r="AN38" s="100">
        <v>0.59854</v>
      </c>
      <c r="AO38" s="98">
        <v>1676.300578034682</v>
      </c>
      <c r="AP38" s="158">
        <v>0.819920578</v>
      </c>
      <c r="AQ38" s="100" t="s">
        <v>538</v>
      </c>
      <c r="AR38" s="100" t="s">
        <v>538</v>
      </c>
      <c r="AS38" s="98">
        <v>346.8208092485549</v>
      </c>
      <c r="AT38" s="98">
        <v>404.6242774566474</v>
      </c>
      <c r="AU38" s="98" t="s">
        <v>538</v>
      </c>
      <c r="AV38" s="98">
        <v>346.8208092485549</v>
      </c>
      <c r="AW38" s="98">
        <v>751.4450867052024</v>
      </c>
      <c r="AX38" s="98" t="s">
        <v>538</v>
      </c>
      <c r="AY38" s="98">
        <v>751.4450867052024</v>
      </c>
      <c r="AZ38" s="98" t="s">
        <v>538</v>
      </c>
      <c r="BA38" s="100" t="s">
        <v>538</v>
      </c>
      <c r="BB38" s="100" t="s">
        <v>538</v>
      </c>
      <c r="BC38" s="100" t="s">
        <v>538</v>
      </c>
      <c r="BD38" s="158">
        <v>0.5491136551</v>
      </c>
      <c r="BE38" s="158">
        <v>1.177542725</v>
      </c>
      <c r="BF38" s="162">
        <v>250</v>
      </c>
      <c r="BG38" s="162" t="s">
        <v>538</v>
      </c>
      <c r="BH38" s="162">
        <v>464</v>
      </c>
      <c r="BI38" s="162">
        <v>220</v>
      </c>
      <c r="BJ38" s="162">
        <v>137</v>
      </c>
      <c r="BK38" s="97"/>
      <c r="BL38" s="97"/>
      <c r="BM38" s="97"/>
      <c r="BN38" s="97"/>
    </row>
    <row r="39" spans="1:66" ht="12.75">
      <c r="A39" s="79" t="s">
        <v>551</v>
      </c>
      <c r="B39" s="79" t="s">
        <v>296</v>
      </c>
      <c r="C39" s="79" t="s">
        <v>191</v>
      </c>
      <c r="D39" s="99">
        <v>7520</v>
      </c>
      <c r="E39" s="99">
        <v>1088</v>
      </c>
      <c r="F39" s="99" t="s">
        <v>364</v>
      </c>
      <c r="G39" s="99">
        <v>43</v>
      </c>
      <c r="H39" s="99">
        <v>24</v>
      </c>
      <c r="I39" s="99">
        <v>135</v>
      </c>
      <c r="J39" s="99">
        <v>659</v>
      </c>
      <c r="K39" s="99">
        <v>610</v>
      </c>
      <c r="L39" s="99">
        <v>1185</v>
      </c>
      <c r="M39" s="99">
        <v>389</v>
      </c>
      <c r="N39" s="99">
        <v>223</v>
      </c>
      <c r="O39" s="99">
        <v>98</v>
      </c>
      <c r="P39" s="159">
        <v>98</v>
      </c>
      <c r="Q39" s="99">
        <v>16</v>
      </c>
      <c r="R39" s="99">
        <v>36</v>
      </c>
      <c r="S39" s="99">
        <v>19</v>
      </c>
      <c r="T39" s="99">
        <v>20</v>
      </c>
      <c r="U39" s="99" t="s">
        <v>538</v>
      </c>
      <c r="V39" s="99">
        <v>10</v>
      </c>
      <c r="W39" s="99">
        <v>31</v>
      </c>
      <c r="X39" s="99">
        <v>18</v>
      </c>
      <c r="Y39" s="99">
        <v>93</v>
      </c>
      <c r="Z39" s="99">
        <v>56</v>
      </c>
      <c r="AA39" s="99" t="s">
        <v>538</v>
      </c>
      <c r="AB39" s="99" t="s">
        <v>538</v>
      </c>
      <c r="AC39" s="99" t="s">
        <v>538</v>
      </c>
      <c r="AD39" s="98" t="s">
        <v>343</v>
      </c>
      <c r="AE39" s="100">
        <v>0.14468085106382977</v>
      </c>
      <c r="AF39" s="100">
        <v>0.28</v>
      </c>
      <c r="AG39" s="98">
        <v>571.8085106382979</v>
      </c>
      <c r="AH39" s="98">
        <v>319.1489361702128</v>
      </c>
      <c r="AI39" s="100">
        <v>0.018000000000000002</v>
      </c>
      <c r="AJ39" s="100">
        <v>0.737962</v>
      </c>
      <c r="AK39" s="100">
        <v>0.711785</v>
      </c>
      <c r="AL39" s="100">
        <v>0.656146</v>
      </c>
      <c r="AM39" s="100">
        <v>0.470375</v>
      </c>
      <c r="AN39" s="100">
        <v>0.511468</v>
      </c>
      <c r="AO39" s="98">
        <v>1303.1914893617022</v>
      </c>
      <c r="AP39" s="158">
        <v>0.7371603394</v>
      </c>
      <c r="AQ39" s="100">
        <v>0.16326530612244897</v>
      </c>
      <c r="AR39" s="100">
        <v>0.4444444444444444</v>
      </c>
      <c r="AS39" s="98">
        <v>252.6595744680851</v>
      </c>
      <c r="AT39" s="98">
        <v>265.9574468085106</v>
      </c>
      <c r="AU39" s="98" t="s">
        <v>538</v>
      </c>
      <c r="AV39" s="98">
        <v>132.9787234042553</v>
      </c>
      <c r="AW39" s="98">
        <v>412.2340425531915</v>
      </c>
      <c r="AX39" s="98">
        <v>239.36170212765958</v>
      </c>
      <c r="AY39" s="98">
        <v>1236.7021276595744</v>
      </c>
      <c r="AZ39" s="98">
        <v>744.6808510638298</v>
      </c>
      <c r="BA39" s="100" t="s">
        <v>538</v>
      </c>
      <c r="BB39" s="100" t="s">
        <v>538</v>
      </c>
      <c r="BC39" s="100" t="s">
        <v>538</v>
      </c>
      <c r="BD39" s="158">
        <v>0.59846241</v>
      </c>
      <c r="BE39" s="158">
        <v>0.8983623505</v>
      </c>
      <c r="BF39" s="162">
        <v>893</v>
      </c>
      <c r="BG39" s="162">
        <v>857</v>
      </c>
      <c r="BH39" s="162">
        <v>1806</v>
      </c>
      <c r="BI39" s="162">
        <v>827</v>
      </c>
      <c r="BJ39" s="162">
        <v>436</v>
      </c>
      <c r="BK39" s="97"/>
      <c r="BL39" s="97"/>
      <c r="BM39" s="97"/>
      <c r="BN39" s="97"/>
    </row>
    <row r="40" spans="1:66" ht="12.75">
      <c r="A40" s="79" t="s">
        <v>541</v>
      </c>
      <c r="B40" s="79" t="s">
        <v>282</v>
      </c>
      <c r="C40" s="79" t="s">
        <v>191</v>
      </c>
      <c r="D40" s="99">
        <v>3862</v>
      </c>
      <c r="E40" s="99">
        <v>938</v>
      </c>
      <c r="F40" s="99" t="s">
        <v>365</v>
      </c>
      <c r="G40" s="99">
        <v>22</v>
      </c>
      <c r="H40" s="99">
        <v>9</v>
      </c>
      <c r="I40" s="99">
        <v>19</v>
      </c>
      <c r="J40" s="99">
        <v>453</v>
      </c>
      <c r="K40" s="99">
        <v>7</v>
      </c>
      <c r="L40" s="99">
        <v>648</v>
      </c>
      <c r="M40" s="99">
        <v>335</v>
      </c>
      <c r="N40" s="99">
        <v>193</v>
      </c>
      <c r="O40" s="99">
        <v>48</v>
      </c>
      <c r="P40" s="159">
        <v>48</v>
      </c>
      <c r="Q40" s="99">
        <v>9</v>
      </c>
      <c r="R40" s="99">
        <v>24</v>
      </c>
      <c r="S40" s="99" t="s">
        <v>538</v>
      </c>
      <c r="T40" s="99">
        <v>11</v>
      </c>
      <c r="U40" s="99" t="s">
        <v>538</v>
      </c>
      <c r="V40" s="99" t="s">
        <v>538</v>
      </c>
      <c r="W40" s="99">
        <v>23</v>
      </c>
      <c r="X40" s="99">
        <v>20</v>
      </c>
      <c r="Y40" s="99">
        <v>85</v>
      </c>
      <c r="Z40" s="99">
        <v>40</v>
      </c>
      <c r="AA40" s="99" t="s">
        <v>538</v>
      </c>
      <c r="AB40" s="99" t="s">
        <v>538</v>
      </c>
      <c r="AC40" s="99" t="s">
        <v>538</v>
      </c>
      <c r="AD40" s="98" t="s">
        <v>343</v>
      </c>
      <c r="AE40" s="100">
        <v>0.2428793371310202</v>
      </c>
      <c r="AF40" s="100">
        <v>0.1</v>
      </c>
      <c r="AG40" s="98">
        <v>569.6530295183843</v>
      </c>
      <c r="AH40" s="98">
        <v>233.03987571206628</v>
      </c>
      <c r="AI40" s="100">
        <v>0.005</v>
      </c>
      <c r="AJ40" s="100">
        <v>0.791958</v>
      </c>
      <c r="AK40" s="100">
        <v>0.875</v>
      </c>
      <c r="AL40" s="100">
        <v>0.719201</v>
      </c>
      <c r="AM40" s="100">
        <v>0.574614</v>
      </c>
      <c r="AN40" s="100">
        <v>0.590214</v>
      </c>
      <c r="AO40" s="98">
        <v>1242.8793371310203</v>
      </c>
      <c r="AP40" s="158">
        <v>0.534268074</v>
      </c>
      <c r="AQ40" s="100">
        <v>0.1875</v>
      </c>
      <c r="AR40" s="100">
        <v>0.375</v>
      </c>
      <c r="AS40" s="98" t="s">
        <v>538</v>
      </c>
      <c r="AT40" s="98">
        <v>284.82651475919215</v>
      </c>
      <c r="AU40" s="98" t="s">
        <v>538</v>
      </c>
      <c r="AV40" s="98" t="s">
        <v>538</v>
      </c>
      <c r="AW40" s="98">
        <v>595.5463490419472</v>
      </c>
      <c r="AX40" s="98">
        <v>517.8663904712585</v>
      </c>
      <c r="AY40" s="98">
        <v>2200.932159502848</v>
      </c>
      <c r="AZ40" s="98">
        <v>1035.732780942517</v>
      </c>
      <c r="BA40" s="100" t="s">
        <v>538</v>
      </c>
      <c r="BB40" s="100" t="s">
        <v>538</v>
      </c>
      <c r="BC40" s="100" t="s">
        <v>538</v>
      </c>
      <c r="BD40" s="158">
        <v>0.3939270782</v>
      </c>
      <c r="BE40" s="158">
        <v>0.708361969</v>
      </c>
      <c r="BF40" s="162">
        <v>572</v>
      </c>
      <c r="BG40" s="162">
        <v>8</v>
      </c>
      <c r="BH40" s="162">
        <v>901</v>
      </c>
      <c r="BI40" s="162">
        <v>583</v>
      </c>
      <c r="BJ40" s="162">
        <v>327</v>
      </c>
      <c r="BK40" s="97"/>
      <c r="BL40" s="97"/>
      <c r="BM40" s="97"/>
      <c r="BN40" s="97"/>
    </row>
    <row r="41" spans="1:66" ht="12.75">
      <c r="A41" s="79" t="s">
        <v>581</v>
      </c>
      <c r="B41" s="79" t="s">
        <v>326</v>
      </c>
      <c r="C41" s="79" t="s">
        <v>191</v>
      </c>
      <c r="D41" s="99">
        <v>4881</v>
      </c>
      <c r="E41" s="99">
        <v>1364</v>
      </c>
      <c r="F41" s="99" t="s">
        <v>367</v>
      </c>
      <c r="G41" s="99">
        <v>20</v>
      </c>
      <c r="H41" s="99">
        <v>15</v>
      </c>
      <c r="I41" s="99">
        <v>104</v>
      </c>
      <c r="J41" s="99">
        <v>602</v>
      </c>
      <c r="K41" s="99">
        <v>10</v>
      </c>
      <c r="L41" s="99">
        <v>863</v>
      </c>
      <c r="M41" s="99">
        <v>430</v>
      </c>
      <c r="N41" s="99">
        <v>256</v>
      </c>
      <c r="O41" s="99">
        <v>66</v>
      </c>
      <c r="P41" s="159">
        <v>66</v>
      </c>
      <c r="Q41" s="99">
        <v>9</v>
      </c>
      <c r="R41" s="99">
        <v>26</v>
      </c>
      <c r="S41" s="99" t="s">
        <v>538</v>
      </c>
      <c r="T41" s="99">
        <v>16</v>
      </c>
      <c r="U41" s="99" t="s">
        <v>538</v>
      </c>
      <c r="V41" s="99">
        <v>11</v>
      </c>
      <c r="W41" s="99">
        <v>37</v>
      </c>
      <c r="X41" s="99">
        <v>13</v>
      </c>
      <c r="Y41" s="99">
        <v>62</v>
      </c>
      <c r="Z41" s="99">
        <v>32</v>
      </c>
      <c r="AA41" s="99" t="s">
        <v>538</v>
      </c>
      <c r="AB41" s="99" t="s">
        <v>538</v>
      </c>
      <c r="AC41" s="99" t="s">
        <v>538</v>
      </c>
      <c r="AD41" s="98" t="s">
        <v>343</v>
      </c>
      <c r="AE41" s="100">
        <v>0.27945093218602746</v>
      </c>
      <c r="AF41" s="100">
        <v>0.07</v>
      </c>
      <c r="AG41" s="98">
        <v>409.7520999795124</v>
      </c>
      <c r="AH41" s="98">
        <v>307.3140749846343</v>
      </c>
      <c r="AI41" s="100">
        <v>0.021</v>
      </c>
      <c r="AJ41" s="100">
        <v>0.806971</v>
      </c>
      <c r="AK41" s="100">
        <v>0.909091</v>
      </c>
      <c r="AL41" s="100">
        <v>0.790293</v>
      </c>
      <c r="AM41" s="100">
        <v>0.607345</v>
      </c>
      <c r="AN41" s="100">
        <v>0.638404</v>
      </c>
      <c r="AO41" s="98">
        <v>1352.1819299323909</v>
      </c>
      <c r="AP41" s="158">
        <v>0.5500650787</v>
      </c>
      <c r="AQ41" s="100">
        <v>0.13636363636363635</v>
      </c>
      <c r="AR41" s="100">
        <v>0.34615384615384615</v>
      </c>
      <c r="AS41" s="98" t="s">
        <v>538</v>
      </c>
      <c r="AT41" s="98">
        <v>327.8016799836099</v>
      </c>
      <c r="AU41" s="98" t="s">
        <v>538</v>
      </c>
      <c r="AV41" s="98">
        <v>225.3636549887318</v>
      </c>
      <c r="AW41" s="98">
        <v>758.0413849620979</v>
      </c>
      <c r="AX41" s="98">
        <v>266.33886498668306</v>
      </c>
      <c r="AY41" s="98">
        <v>1270.2315099364885</v>
      </c>
      <c r="AZ41" s="98">
        <v>655.6033599672198</v>
      </c>
      <c r="BA41" s="100" t="s">
        <v>538</v>
      </c>
      <c r="BB41" s="100" t="s">
        <v>538</v>
      </c>
      <c r="BC41" s="100" t="s">
        <v>538</v>
      </c>
      <c r="BD41" s="158">
        <v>0.4254203033</v>
      </c>
      <c r="BE41" s="158">
        <v>0.6998176574999999</v>
      </c>
      <c r="BF41" s="162">
        <v>746</v>
      </c>
      <c r="BG41" s="162">
        <v>11</v>
      </c>
      <c r="BH41" s="162">
        <v>1092</v>
      </c>
      <c r="BI41" s="162">
        <v>708</v>
      </c>
      <c r="BJ41" s="162">
        <v>401</v>
      </c>
      <c r="BK41" s="97"/>
      <c r="BL41" s="97"/>
      <c r="BM41" s="97"/>
      <c r="BN41" s="97"/>
    </row>
    <row r="42" spans="1:66" ht="12.75">
      <c r="A42" s="79" t="s">
        <v>559</v>
      </c>
      <c r="B42" s="79" t="s">
        <v>304</v>
      </c>
      <c r="C42" s="79" t="s">
        <v>191</v>
      </c>
      <c r="D42" s="99">
        <v>8118</v>
      </c>
      <c r="E42" s="99">
        <v>1124</v>
      </c>
      <c r="F42" s="99" t="s">
        <v>364</v>
      </c>
      <c r="G42" s="99">
        <v>30</v>
      </c>
      <c r="H42" s="99">
        <v>21</v>
      </c>
      <c r="I42" s="99">
        <v>94</v>
      </c>
      <c r="J42" s="99">
        <v>621</v>
      </c>
      <c r="K42" s="99">
        <v>10</v>
      </c>
      <c r="L42" s="99">
        <v>1482</v>
      </c>
      <c r="M42" s="99">
        <v>326</v>
      </c>
      <c r="N42" s="99">
        <v>188</v>
      </c>
      <c r="O42" s="99">
        <v>145</v>
      </c>
      <c r="P42" s="159">
        <v>145</v>
      </c>
      <c r="Q42" s="99">
        <v>17</v>
      </c>
      <c r="R42" s="99">
        <v>32</v>
      </c>
      <c r="S42" s="99">
        <v>13</v>
      </c>
      <c r="T42" s="99">
        <v>26</v>
      </c>
      <c r="U42" s="99">
        <v>7</v>
      </c>
      <c r="V42" s="99">
        <v>15</v>
      </c>
      <c r="W42" s="99">
        <v>47</v>
      </c>
      <c r="X42" s="99">
        <v>22</v>
      </c>
      <c r="Y42" s="99">
        <v>107</v>
      </c>
      <c r="Z42" s="99">
        <v>44</v>
      </c>
      <c r="AA42" s="99" t="s">
        <v>538</v>
      </c>
      <c r="AB42" s="99" t="s">
        <v>538</v>
      </c>
      <c r="AC42" s="99" t="s">
        <v>538</v>
      </c>
      <c r="AD42" s="98" t="s">
        <v>343</v>
      </c>
      <c r="AE42" s="100">
        <v>0.13845774821384577</v>
      </c>
      <c r="AF42" s="100">
        <v>0.28</v>
      </c>
      <c r="AG42" s="98">
        <v>369.5491500369549</v>
      </c>
      <c r="AH42" s="98">
        <v>258.68440502586844</v>
      </c>
      <c r="AI42" s="100">
        <v>0.012</v>
      </c>
      <c r="AJ42" s="100">
        <v>0.701695</v>
      </c>
      <c r="AK42" s="100">
        <v>0.625</v>
      </c>
      <c r="AL42" s="100">
        <v>0.753432</v>
      </c>
      <c r="AM42" s="100">
        <v>0.444142</v>
      </c>
      <c r="AN42" s="100">
        <v>0.475949</v>
      </c>
      <c r="AO42" s="98">
        <v>1786.1542251786154</v>
      </c>
      <c r="AP42" s="158">
        <v>1.053535156</v>
      </c>
      <c r="AQ42" s="100">
        <v>0.11724137931034483</v>
      </c>
      <c r="AR42" s="100">
        <v>0.53125</v>
      </c>
      <c r="AS42" s="98">
        <v>160.1379650160138</v>
      </c>
      <c r="AT42" s="98">
        <v>320.2759300320276</v>
      </c>
      <c r="AU42" s="98">
        <v>86.22813500862281</v>
      </c>
      <c r="AV42" s="98">
        <v>184.77457501847746</v>
      </c>
      <c r="AW42" s="98">
        <v>578.960335057896</v>
      </c>
      <c r="AX42" s="98">
        <v>271.00271002710025</v>
      </c>
      <c r="AY42" s="98">
        <v>1318.0586351318059</v>
      </c>
      <c r="AZ42" s="98">
        <v>542.0054200542005</v>
      </c>
      <c r="BA42" s="100" t="s">
        <v>538</v>
      </c>
      <c r="BB42" s="100" t="s">
        <v>538</v>
      </c>
      <c r="BC42" s="100" t="s">
        <v>538</v>
      </c>
      <c r="BD42" s="158">
        <v>0.8890372467000001</v>
      </c>
      <c r="BE42" s="158">
        <v>1.239646225</v>
      </c>
      <c r="BF42" s="162">
        <v>885</v>
      </c>
      <c r="BG42" s="162">
        <v>16</v>
      </c>
      <c r="BH42" s="162">
        <v>1967</v>
      </c>
      <c r="BI42" s="162">
        <v>734</v>
      </c>
      <c r="BJ42" s="162">
        <v>395</v>
      </c>
      <c r="BK42" s="97"/>
      <c r="BL42" s="97"/>
      <c r="BM42" s="97"/>
      <c r="BN42" s="97"/>
    </row>
    <row r="43" spans="1:66" ht="12.75">
      <c r="A43" s="79" t="s">
        <v>583</v>
      </c>
      <c r="B43" s="79" t="s">
        <v>330</v>
      </c>
      <c r="C43" s="79" t="s">
        <v>191</v>
      </c>
      <c r="D43" s="99">
        <v>4084</v>
      </c>
      <c r="E43" s="99">
        <v>866</v>
      </c>
      <c r="F43" s="99" t="s">
        <v>367</v>
      </c>
      <c r="G43" s="99">
        <v>20</v>
      </c>
      <c r="H43" s="99">
        <v>11</v>
      </c>
      <c r="I43" s="99">
        <v>81</v>
      </c>
      <c r="J43" s="99">
        <v>539</v>
      </c>
      <c r="K43" s="99">
        <v>7</v>
      </c>
      <c r="L43" s="99">
        <v>811</v>
      </c>
      <c r="M43" s="99">
        <v>387</v>
      </c>
      <c r="N43" s="99">
        <v>246</v>
      </c>
      <c r="O43" s="99">
        <v>91</v>
      </c>
      <c r="P43" s="159">
        <v>91</v>
      </c>
      <c r="Q43" s="99">
        <v>13</v>
      </c>
      <c r="R43" s="99">
        <v>19</v>
      </c>
      <c r="S43" s="99">
        <v>17</v>
      </c>
      <c r="T43" s="99">
        <v>8</v>
      </c>
      <c r="U43" s="99" t="s">
        <v>538</v>
      </c>
      <c r="V43" s="99">
        <v>20</v>
      </c>
      <c r="W43" s="99">
        <v>18</v>
      </c>
      <c r="X43" s="99">
        <v>15</v>
      </c>
      <c r="Y43" s="99">
        <v>45</v>
      </c>
      <c r="Z43" s="99">
        <v>25</v>
      </c>
      <c r="AA43" s="99" t="s">
        <v>538</v>
      </c>
      <c r="AB43" s="99" t="s">
        <v>538</v>
      </c>
      <c r="AC43" s="99" t="s">
        <v>538</v>
      </c>
      <c r="AD43" s="98" t="s">
        <v>343</v>
      </c>
      <c r="AE43" s="100">
        <v>0.2120470127326151</v>
      </c>
      <c r="AF43" s="100">
        <v>0.07</v>
      </c>
      <c r="AG43" s="98">
        <v>489.71596474045054</v>
      </c>
      <c r="AH43" s="98">
        <v>269.3437806072478</v>
      </c>
      <c r="AI43" s="100">
        <v>0.02</v>
      </c>
      <c r="AJ43" s="100">
        <v>0.811747</v>
      </c>
      <c r="AK43" s="100">
        <v>0.777778</v>
      </c>
      <c r="AL43" s="100">
        <v>0.803766</v>
      </c>
      <c r="AM43" s="100">
        <v>0.684956</v>
      </c>
      <c r="AN43" s="100">
        <v>0.734328</v>
      </c>
      <c r="AO43" s="98">
        <v>2228.20763956905</v>
      </c>
      <c r="AP43" s="158">
        <v>1.0219450380000001</v>
      </c>
      <c r="AQ43" s="100">
        <v>0.14285714285714285</v>
      </c>
      <c r="AR43" s="100">
        <v>0.6842105263157895</v>
      </c>
      <c r="AS43" s="98">
        <v>416.25857002938295</v>
      </c>
      <c r="AT43" s="98">
        <v>195.88638589618023</v>
      </c>
      <c r="AU43" s="98" t="s">
        <v>538</v>
      </c>
      <c r="AV43" s="98">
        <v>489.71596474045054</v>
      </c>
      <c r="AW43" s="98">
        <v>440.7443682664055</v>
      </c>
      <c r="AX43" s="98">
        <v>367.2869735553379</v>
      </c>
      <c r="AY43" s="98">
        <v>1101.8609206660137</v>
      </c>
      <c r="AZ43" s="98">
        <v>612.1449559255632</v>
      </c>
      <c r="BA43" s="100" t="s">
        <v>538</v>
      </c>
      <c r="BB43" s="100" t="s">
        <v>538</v>
      </c>
      <c r="BC43" s="100" t="s">
        <v>538</v>
      </c>
      <c r="BD43" s="158">
        <v>0.8228063965</v>
      </c>
      <c r="BE43" s="158">
        <v>1.2547220609999998</v>
      </c>
      <c r="BF43" s="162">
        <v>664</v>
      </c>
      <c r="BG43" s="162">
        <v>9</v>
      </c>
      <c r="BH43" s="162">
        <v>1009</v>
      </c>
      <c r="BI43" s="162">
        <v>565</v>
      </c>
      <c r="BJ43" s="162">
        <v>335</v>
      </c>
      <c r="BK43" s="97"/>
      <c r="BL43" s="97"/>
      <c r="BM43" s="97"/>
      <c r="BN43" s="97"/>
    </row>
    <row r="44" spans="1:66" ht="12.75">
      <c r="A44" s="79" t="s">
        <v>548</v>
      </c>
      <c r="B44" s="79" t="s">
        <v>292</v>
      </c>
      <c r="C44" s="79" t="s">
        <v>191</v>
      </c>
      <c r="D44" s="99">
        <v>9834</v>
      </c>
      <c r="E44" s="99">
        <v>1542</v>
      </c>
      <c r="F44" s="99" t="s">
        <v>363</v>
      </c>
      <c r="G44" s="99">
        <v>49</v>
      </c>
      <c r="H44" s="99">
        <v>27</v>
      </c>
      <c r="I44" s="99">
        <v>135</v>
      </c>
      <c r="J44" s="99">
        <v>920</v>
      </c>
      <c r="K44" s="99">
        <v>11</v>
      </c>
      <c r="L44" s="99">
        <v>1922</v>
      </c>
      <c r="M44" s="99">
        <v>536</v>
      </c>
      <c r="N44" s="99">
        <v>330</v>
      </c>
      <c r="O44" s="99">
        <v>216</v>
      </c>
      <c r="P44" s="159">
        <v>216</v>
      </c>
      <c r="Q44" s="99">
        <v>23</v>
      </c>
      <c r="R44" s="99">
        <v>41</v>
      </c>
      <c r="S44" s="99">
        <v>28</v>
      </c>
      <c r="T44" s="99">
        <v>32</v>
      </c>
      <c r="U44" s="99">
        <v>18</v>
      </c>
      <c r="V44" s="99">
        <v>47</v>
      </c>
      <c r="W44" s="99">
        <v>65</v>
      </c>
      <c r="X44" s="99">
        <v>32</v>
      </c>
      <c r="Y44" s="99">
        <v>124</v>
      </c>
      <c r="Z44" s="99">
        <v>42</v>
      </c>
      <c r="AA44" s="99" t="s">
        <v>538</v>
      </c>
      <c r="AB44" s="99" t="s">
        <v>538</v>
      </c>
      <c r="AC44" s="99" t="s">
        <v>538</v>
      </c>
      <c r="AD44" s="98" t="s">
        <v>343</v>
      </c>
      <c r="AE44" s="100">
        <v>0.15680292861500916</v>
      </c>
      <c r="AF44" s="100">
        <v>0.2</v>
      </c>
      <c r="AG44" s="98">
        <v>498.27130364043114</v>
      </c>
      <c r="AH44" s="98">
        <v>274.55765710799267</v>
      </c>
      <c r="AI44" s="100">
        <v>0.013999999999999999</v>
      </c>
      <c r="AJ44" s="100">
        <v>0.726125</v>
      </c>
      <c r="AK44" s="100">
        <v>0.6875</v>
      </c>
      <c r="AL44" s="100">
        <v>0.764823</v>
      </c>
      <c r="AM44" s="100">
        <v>0.510476</v>
      </c>
      <c r="AN44" s="100">
        <v>0.555556</v>
      </c>
      <c r="AO44" s="98">
        <v>2196.4612568639413</v>
      </c>
      <c r="AP44" s="158">
        <v>1.184014969</v>
      </c>
      <c r="AQ44" s="100">
        <v>0.10648148148148148</v>
      </c>
      <c r="AR44" s="100">
        <v>0.5609756097560976</v>
      </c>
      <c r="AS44" s="98">
        <v>284.7264592231035</v>
      </c>
      <c r="AT44" s="98">
        <v>325.40166768354686</v>
      </c>
      <c r="AU44" s="98">
        <v>183.03843807199513</v>
      </c>
      <c r="AV44" s="98">
        <v>477.9336994102095</v>
      </c>
      <c r="AW44" s="98">
        <v>660.9721374822046</v>
      </c>
      <c r="AX44" s="98">
        <v>325.40166768354686</v>
      </c>
      <c r="AY44" s="98">
        <v>1260.931462273744</v>
      </c>
      <c r="AZ44" s="98">
        <v>427.0896888346553</v>
      </c>
      <c r="BA44" s="100" t="s">
        <v>538</v>
      </c>
      <c r="BB44" s="100" t="s">
        <v>538</v>
      </c>
      <c r="BC44" s="100" t="s">
        <v>538</v>
      </c>
      <c r="BD44" s="158">
        <v>1.031370544</v>
      </c>
      <c r="BE44" s="158">
        <v>1.3528865049999999</v>
      </c>
      <c r="BF44" s="162">
        <v>1267</v>
      </c>
      <c r="BG44" s="162">
        <v>16</v>
      </c>
      <c r="BH44" s="162">
        <v>2513</v>
      </c>
      <c r="BI44" s="162">
        <v>1050</v>
      </c>
      <c r="BJ44" s="162">
        <v>594</v>
      </c>
      <c r="BK44" s="97"/>
      <c r="BL44" s="97"/>
      <c r="BM44" s="97"/>
      <c r="BN44" s="97"/>
    </row>
    <row r="45" spans="1:66" ht="12.75">
      <c r="A45" s="79" t="s">
        <v>560</v>
      </c>
      <c r="B45" s="79" t="s">
        <v>305</v>
      </c>
      <c r="C45" s="79" t="s">
        <v>191</v>
      </c>
      <c r="D45" s="99">
        <v>5262</v>
      </c>
      <c r="E45" s="99">
        <v>1046</v>
      </c>
      <c r="F45" s="99" t="s">
        <v>366</v>
      </c>
      <c r="G45" s="99">
        <v>38</v>
      </c>
      <c r="H45" s="99">
        <v>18</v>
      </c>
      <c r="I45" s="99">
        <v>61</v>
      </c>
      <c r="J45" s="99">
        <v>529</v>
      </c>
      <c r="K45" s="99" t="s">
        <v>538</v>
      </c>
      <c r="L45" s="99">
        <v>976</v>
      </c>
      <c r="M45" s="99">
        <v>340</v>
      </c>
      <c r="N45" s="99">
        <v>201</v>
      </c>
      <c r="O45" s="99">
        <v>146</v>
      </c>
      <c r="P45" s="159">
        <v>146</v>
      </c>
      <c r="Q45" s="99">
        <v>27</v>
      </c>
      <c r="R45" s="99">
        <v>36</v>
      </c>
      <c r="S45" s="99">
        <v>35</v>
      </c>
      <c r="T45" s="99">
        <v>29</v>
      </c>
      <c r="U45" s="99" t="s">
        <v>538</v>
      </c>
      <c r="V45" s="99">
        <v>16</v>
      </c>
      <c r="W45" s="99">
        <v>49</v>
      </c>
      <c r="X45" s="99">
        <v>12</v>
      </c>
      <c r="Y45" s="99">
        <v>76</v>
      </c>
      <c r="Z45" s="99">
        <v>62</v>
      </c>
      <c r="AA45" s="99" t="s">
        <v>538</v>
      </c>
      <c r="AB45" s="99" t="s">
        <v>538</v>
      </c>
      <c r="AC45" s="99" t="s">
        <v>538</v>
      </c>
      <c r="AD45" s="98" t="s">
        <v>343</v>
      </c>
      <c r="AE45" s="100">
        <v>0.19878373242113265</v>
      </c>
      <c r="AF45" s="100">
        <v>0.16</v>
      </c>
      <c r="AG45" s="98">
        <v>722.1588749524896</v>
      </c>
      <c r="AH45" s="98">
        <v>342.0752565564424</v>
      </c>
      <c r="AI45" s="100">
        <v>0.012</v>
      </c>
      <c r="AJ45" s="100">
        <v>0.720708</v>
      </c>
      <c r="AK45" s="100" t="s">
        <v>538</v>
      </c>
      <c r="AL45" s="100">
        <v>0.745038</v>
      </c>
      <c r="AM45" s="100">
        <v>0.554649</v>
      </c>
      <c r="AN45" s="100">
        <v>0.575931</v>
      </c>
      <c r="AO45" s="98">
        <v>2774.610414291144</v>
      </c>
      <c r="AP45" s="158">
        <v>1.3430990600000001</v>
      </c>
      <c r="AQ45" s="100">
        <v>0.18493150684931506</v>
      </c>
      <c r="AR45" s="100">
        <v>0.75</v>
      </c>
      <c r="AS45" s="98">
        <v>665.1463321930825</v>
      </c>
      <c r="AT45" s="98">
        <v>551.1212466742684</v>
      </c>
      <c r="AU45" s="98" t="s">
        <v>538</v>
      </c>
      <c r="AV45" s="98">
        <v>304.0668947168377</v>
      </c>
      <c r="AW45" s="98">
        <v>931.2048650703155</v>
      </c>
      <c r="AX45" s="98">
        <v>228.05017103762827</v>
      </c>
      <c r="AY45" s="98">
        <v>1444.317749904979</v>
      </c>
      <c r="AZ45" s="98">
        <v>1178.2592170277462</v>
      </c>
      <c r="BA45" s="101" t="s">
        <v>538</v>
      </c>
      <c r="BB45" s="101" t="s">
        <v>538</v>
      </c>
      <c r="BC45" s="101" t="s">
        <v>538</v>
      </c>
      <c r="BD45" s="158">
        <v>1.13407753</v>
      </c>
      <c r="BE45" s="158">
        <v>1.5794828799999998</v>
      </c>
      <c r="BF45" s="162">
        <v>734</v>
      </c>
      <c r="BG45" s="162" t="s">
        <v>538</v>
      </c>
      <c r="BH45" s="162">
        <v>1310</v>
      </c>
      <c r="BI45" s="162">
        <v>613</v>
      </c>
      <c r="BJ45" s="162">
        <v>349</v>
      </c>
      <c r="BK45" s="97"/>
      <c r="BL45" s="97"/>
      <c r="BM45" s="97"/>
      <c r="BN45" s="97"/>
    </row>
    <row r="46" spans="1:66" ht="12.75">
      <c r="A46" s="79" t="s">
        <v>580</v>
      </c>
      <c r="B46" s="79" t="s">
        <v>325</v>
      </c>
      <c r="C46" s="79" t="s">
        <v>191</v>
      </c>
      <c r="D46" s="99">
        <v>2643</v>
      </c>
      <c r="E46" s="99">
        <v>568</v>
      </c>
      <c r="F46" s="99" t="s">
        <v>366</v>
      </c>
      <c r="G46" s="99">
        <v>14</v>
      </c>
      <c r="H46" s="99">
        <v>10</v>
      </c>
      <c r="I46" s="99">
        <v>45</v>
      </c>
      <c r="J46" s="99">
        <v>263</v>
      </c>
      <c r="K46" s="99" t="s">
        <v>538</v>
      </c>
      <c r="L46" s="99">
        <v>433</v>
      </c>
      <c r="M46" s="99">
        <v>188</v>
      </c>
      <c r="N46" s="99">
        <v>111</v>
      </c>
      <c r="O46" s="99">
        <v>36</v>
      </c>
      <c r="P46" s="159">
        <v>36</v>
      </c>
      <c r="Q46" s="99">
        <v>9</v>
      </c>
      <c r="R46" s="99">
        <v>16</v>
      </c>
      <c r="S46" s="99" t="s">
        <v>538</v>
      </c>
      <c r="T46" s="99">
        <v>6</v>
      </c>
      <c r="U46" s="99">
        <v>6</v>
      </c>
      <c r="V46" s="99">
        <v>8</v>
      </c>
      <c r="W46" s="99">
        <v>10</v>
      </c>
      <c r="X46" s="99">
        <v>9</v>
      </c>
      <c r="Y46" s="99">
        <v>41</v>
      </c>
      <c r="Z46" s="99">
        <v>27</v>
      </c>
      <c r="AA46" s="99" t="s">
        <v>538</v>
      </c>
      <c r="AB46" s="99" t="s">
        <v>538</v>
      </c>
      <c r="AC46" s="99" t="s">
        <v>538</v>
      </c>
      <c r="AD46" s="98" t="s">
        <v>343</v>
      </c>
      <c r="AE46" s="100">
        <v>0.21490730230798336</v>
      </c>
      <c r="AF46" s="100">
        <v>0.15</v>
      </c>
      <c r="AG46" s="98">
        <v>529.7010972379871</v>
      </c>
      <c r="AH46" s="98">
        <v>378.35792659856224</v>
      </c>
      <c r="AI46" s="100">
        <v>0.017</v>
      </c>
      <c r="AJ46" s="100">
        <v>0.697613</v>
      </c>
      <c r="AK46" s="100" t="s">
        <v>538</v>
      </c>
      <c r="AL46" s="100">
        <v>0.72651</v>
      </c>
      <c r="AM46" s="100">
        <v>0.504021</v>
      </c>
      <c r="AN46" s="100">
        <v>0.557789</v>
      </c>
      <c r="AO46" s="98">
        <v>1362.088535754824</v>
      </c>
      <c r="AP46" s="158">
        <v>0.628596611</v>
      </c>
      <c r="AQ46" s="100">
        <v>0.25</v>
      </c>
      <c r="AR46" s="100">
        <v>0.5625</v>
      </c>
      <c r="AS46" s="98" t="s">
        <v>538</v>
      </c>
      <c r="AT46" s="98">
        <v>227.01475595913735</v>
      </c>
      <c r="AU46" s="98">
        <v>227.01475595913735</v>
      </c>
      <c r="AV46" s="98">
        <v>302.6863412788498</v>
      </c>
      <c r="AW46" s="98">
        <v>378.35792659856224</v>
      </c>
      <c r="AX46" s="98">
        <v>340.522133938706</v>
      </c>
      <c r="AY46" s="98">
        <v>1551.2674990541052</v>
      </c>
      <c r="AZ46" s="98">
        <v>1021.5664018161181</v>
      </c>
      <c r="BA46" s="100" t="s">
        <v>538</v>
      </c>
      <c r="BB46" s="100" t="s">
        <v>538</v>
      </c>
      <c r="BC46" s="100" t="s">
        <v>538</v>
      </c>
      <c r="BD46" s="158">
        <v>0.44026134489999996</v>
      </c>
      <c r="BE46" s="158">
        <v>0.870242691</v>
      </c>
      <c r="BF46" s="162">
        <v>377</v>
      </c>
      <c r="BG46" s="162" t="s">
        <v>538</v>
      </c>
      <c r="BH46" s="162">
        <v>596</v>
      </c>
      <c r="BI46" s="162">
        <v>373</v>
      </c>
      <c r="BJ46" s="162">
        <v>199</v>
      </c>
      <c r="BK46" s="97"/>
      <c r="BL46" s="97"/>
      <c r="BM46" s="97"/>
      <c r="BN46" s="97"/>
    </row>
    <row r="47" spans="1:66" ht="12.75">
      <c r="A47" s="79" t="s">
        <v>549</v>
      </c>
      <c r="B47" s="79" t="s">
        <v>293</v>
      </c>
      <c r="C47" s="79" t="s">
        <v>191</v>
      </c>
      <c r="D47" s="99">
        <v>8272</v>
      </c>
      <c r="E47" s="99">
        <v>1874</v>
      </c>
      <c r="F47" s="99" t="s">
        <v>366</v>
      </c>
      <c r="G47" s="99">
        <v>57</v>
      </c>
      <c r="H47" s="99">
        <v>35</v>
      </c>
      <c r="I47" s="99">
        <v>179</v>
      </c>
      <c r="J47" s="99">
        <v>984</v>
      </c>
      <c r="K47" s="99" t="s">
        <v>538</v>
      </c>
      <c r="L47" s="99">
        <v>1503</v>
      </c>
      <c r="M47" s="99">
        <v>659</v>
      </c>
      <c r="N47" s="99">
        <v>381</v>
      </c>
      <c r="O47" s="99">
        <v>206</v>
      </c>
      <c r="P47" s="159">
        <v>206</v>
      </c>
      <c r="Q47" s="99">
        <v>23</v>
      </c>
      <c r="R47" s="99">
        <v>47</v>
      </c>
      <c r="S47" s="99">
        <v>28</v>
      </c>
      <c r="T47" s="99">
        <v>30</v>
      </c>
      <c r="U47" s="99">
        <v>18</v>
      </c>
      <c r="V47" s="99">
        <v>40</v>
      </c>
      <c r="W47" s="99">
        <v>56</v>
      </c>
      <c r="X47" s="99">
        <v>33</v>
      </c>
      <c r="Y47" s="99">
        <v>129</v>
      </c>
      <c r="Z47" s="99">
        <v>62</v>
      </c>
      <c r="AA47" s="99" t="s">
        <v>538</v>
      </c>
      <c r="AB47" s="99" t="s">
        <v>538</v>
      </c>
      <c r="AC47" s="99" t="s">
        <v>538</v>
      </c>
      <c r="AD47" s="98" t="s">
        <v>343</v>
      </c>
      <c r="AE47" s="100">
        <v>0.22654738878143132</v>
      </c>
      <c r="AF47" s="100">
        <v>0.14</v>
      </c>
      <c r="AG47" s="98">
        <v>689.0715667311412</v>
      </c>
      <c r="AH47" s="98">
        <v>423.11411992263055</v>
      </c>
      <c r="AI47" s="100">
        <v>0.022000000000000002</v>
      </c>
      <c r="AJ47" s="100">
        <v>0.771765</v>
      </c>
      <c r="AK47" s="100" t="s">
        <v>538</v>
      </c>
      <c r="AL47" s="100">
        <v>0.7515</v>
      </c>
      <c r="AM47" s="100">
        <v>0.571552</v>
      </c>
      <c r="AN47" s="100">
        <v>0.591615</v>
      </c>
      <c r="AO47" s="98">
        <v>2490.328820116054</v>
      </c>
      <c r="AP47" s="158">
        <v>1.119978714</v>
      </c>
      <c r="AQ47" s="100">
        <v>0.11165048543689321</v>
      </c>
      <c r="AR47" s="100">
        <v>0.48936170212765956</v>
      </c>
      <c r="AS47" s="98">
        <v>338.49129593810443</v>
      </c>
      <c r="AT47" s="98">
        <v>362.66924564796903</v>
      </c>
      <c r="AU47" s="98">
        <v>217.60154738878143</v>
      </c>
      <c r="AV47" s="98">
        <v>483.55899419729207</v>
      </c>
      <c r="AW47" s="98">
        <v>676.9825918762089</v>
      </c>
      <c r="AX47" s="98">
        <v>398.93617021276594</v>
      </c>
      <c r="AY47" s="98">
        <v>1559.4777562862669</v>
      </c>
      <c r="AZ47" s="98">
        <v>749.5164410058027</v>
      </c>
      <c r="BA47" s="100" t="s">
        <v>538</v>
      </c>
      <c r="BB47" s="100" t="s">
        <v>538</v>
      </c>
      <c r="BC47" s="100" t="s">
        <v>538</v>
      </c>
      <c r="BD47" s="158">
        <v>0.9722503661999999</v>
      </c>
      <c r="BE47" s="158">
        <v>1.28381012</v>
      </c>
      <c r="BF47" s="162">
        <v>1275</v>
      </c>
      <c r="BG47" s="162" t="s">
        <v>538</v>
      </c>
      <c r="BH47" s="162">
        <v>2000</v>
      </c>
      <c r="BI47" s="162">
        <v>1153</v>
      </c>
      <c r="BJ47" s="162">
        <v>644</v>
      </c>
      <c r="BK47" s="97"/>
      <c r="BL47" s="97"/>
      <c r="BM47" s="97"/>
      <c r="BN47" s="97"/>
    </row>
    <row r="48" spans="1:66" ht="12.75">
      <c r="A48" s="79" t="s">
        <v>555</v>
      </c>
      <c r="B48" s="79" t="s">
        <v>300</v>
      </c>
      <c r="C48" s="79" t="s">
        <v>191</v>
      </c>
      <c r="D48" s="99">
        <v>7518</v>
      </c>
      <c r="E48" s="99">
        <v>1156</v>
      </c>
      <c r="F48" s="99" t="s">
        <v>364</v>
      </c>
      <c r="G48" s="99">
        <v>43</v>
      </c>
      <c r="H48" s="99">
        <v>21</v>
      </c>
      <c r="I48" s="99">
        <v>111</v>
      </c>
      <c r="J48" s="99">
        <v>643</v>
      </c>
      <c r="K48" s="99">
        <v>630</v>
      </c>
      <c r="L48" s="99">
        <v>1418</v>
      </c>
      <c r="M48" s="99">
        <v>325</v>
      </c>
      <c r="N48" s="99">
        <v>194</v>
      </c>
      <c r="O48" s="99">
        <v>160</v>
      </c>
      <c r="P48" s="159">
        <v>160</v>
      </c>
      <c r="Q48" s="99">
        <v>26</v>
      </c>
      <c r="R48" s="99">
        <v>42</v>
      </c>
      <c r="S48" s="99">
        <v>23</v>
      </c>
      <c r="T48" s="99">
        <v>21</v>
      </c>
      <c r="U48" s="99">
        <v>9</v>
      </c>
      <c r="V48" s="99">
        <v>16</v>
      </c>
      <c r="W48" s="99">
        <v>50</v>
      </c>
      <c r="X48" s="99">
        <v>21</v>
      </c>
      <c r="Y48" s="99">
        <v>107</v>
      </c>
      <c r="Z48" s="99">
        <v>40</v>
      </c>
      <c r="AA48" s="99" t="s">
        <v>538</v>
      </c>
      <c r="AB48" s="99" t="s">
        <v>538</v>
      </c>
      <c r="AC48" s="99" t="s">
        <v>538</v>
      </c>
      <c r="AD48" s="98" t="s">
        <v>343</v>
      </c>
      <c r="AE48" s="100">
        <v>0.15376429901569566</v>
      </c>
      <c r="AF48" s="100">
        <v>0.26</v>
      </c>
      <c r="AG48" s="98">
        <v>571.9606278265496</v>
      </c>
      <c r="AH48" s="98">
        <v>279.3296089385475</v>
      </c>
      <c r="AI48" s="100">
        <v>0.015</v>
      </c>
      <c r="AJ48" s="100">
        <v>0.785104</v>
      </c>
      <c r="AK48" s="100">
        <v>0.786517</v>
      </c>
      <c r="AL48" s="100">
        <v>0.793953</v>
      </c>
      <c r="AM48" s="100">
        <v>0.486527</v>
      </c>
      <c r="AN48" s="100">
        <v>0.509186</v>
      </c>
      <c r="AO48" s="98">
        <v>2128.225591912743</v>
      </c>
      <c r="AP48" s="158">
        <v>1.204424286</v>
      </c>
      <c r="AQ48" s="100">
        <v>0.1625</v>
      </c>
      <c r="AR48" s="100">
        <v>0.6190476190476191</v>
      </c>
      <c r="AS48" s="98">
        <v>305.93242883745677</v>
      </c>
      <c r="AT48" s="98">
        <v>279.3296089385475</v>
      </c>
      <c r="AU48" s="98">
        <v>119.71268954509178</v>
      </c>
      <c r="AV48" s="98">
        <v>212.82255919127428</v>
      </c>
      <c r="AW48" s="98">
        <v>665.0704974727321</v>
      </c>
      <c r="AX48" s="98">
        <v>279.3296089385475</v>
      </c>
      <c r="AY48" s="98">
        <v>1423.2508645916466</v>
      </c>
      <c r="AZ48" s="98">
        <v>532.0563979781857</v>
      </c>
      <c r="BA48" s="100" t="s">
        <v>538</v>
      </c>
      <c r="BB48" s="100" t="s">
        <v>538</v>
      </c>
      <c r="BC48" s="100" t="s">
        <v>538</v>
      </c>
      <c r="BD48" s="158">
        <v>1.025029068</v>
      </c>
      <c r="BE48" s="158">
        <v>1.406183014</v>
      </c>
      <c r="BF48" s="162">
        <v>819</v>
      </c>
      <c r="BG48" s="162">
        <v>801</v>
      </c>
      <c r="BH48" s="162">
        <v>1786</v>
      </c>
      <c r="BI48" s="162">
        <v>668</v>
      </c>
      <c r="BJ48" s="162">
        <v>381</v>
      </c>
      <c r="BK48" s="97"/>
      <c r="BL48" s="97"/>
      <c r="BM48" s="97"/>
      <c r="BN48" s="97"/>
    </row>
    <row r="49" spans="1:66" ht="12.75">
      <c r="A49" s="79" t="s">
        <v>553</v>
      </c>
      <c r="B49" s="79" t="s">
        <v>298</v>
      </c>
      <c r="C49" s="79" t="s">
        <v>191</v>
      </c>
      <c r="D49" s="99">
        <v>6034</v>
      </c>
      <c r="E49" s="99">
        <v>1202</v>
      </c>
      <c r="F49" s="99" t="s">
        <v>366</v>
      </c>
      <c r="G49" s="99">
        <v>41</v>
      </c>
      <c r="H49" s="99">
        <v>21</v>
      </c>
      <c r="I49" s="99">
        <v>116</v>
      </c>
      <c r="J49" s="99">
        <v>674</v>
      </c>
      <c r="K49" s="99">
        <v>662</v>
      </c>
      <c r="L49" s="99">
        <v>1167</v>
      </c>
      <c r="M49" s="99">
        <v>438</v>
      </c>
      <c r="N49" s="99">
        <v>243</v>
      </c>
      <c r="O49" s="99">
        <v>141</v>
      </c>
      <c r="P49" s="159">
        <v>141</v>
      </c>
      <c r="Q49" s="99">
        <v>16</v>
      </c>
      <c r="R49" s="99">
        <v>32</v>
      </c>
      <c r="S49" s="99">
        <v>29</v>
      </c>
      <c r="T49" s="99">
        <v>22</v>
      </c>
      <c r="U49" s="99">
        <v>13</v>
      </c>
      <c r="V49" s="99">
        <v>17</v>
      </c>
      <c r="W49" s="99">
        <v>62</v>
      </c>
      <c r="X49" s="99">
        <v>26</v>
      </c>
      <c r="Y49" s="99">
        <v>131</v>
      </c>
      <c r="Z49" s="99">
        <v>34</v>
      </c>
      <c r="AA49" s="99" t="s">
        <v>538</v>
      </c>
      <c r="AB49" s="99" t="s">
        <v>538</v>
      </c>
      <c r="AC49" s="99" t="s">
        <v>538</v>
      </c>
      <c r="AD49" s="98" t="s">
        <v>343</v>
      </c>
      <c r="AE49" s="100">
        <v>0.19920450778919457</v>
      </c>
      <c r="AF49" s="100">
        <v>0.16</v>
      </c>
      <c r="AG49" s="98">
        <v>679.4829300629765</v>
      </c>
      <c r="AH49" s="98">
        <v>348.0278422273782</v>
      </c>
      <c r="AI49" s="100">
        <v>0.019</v>
      </c>
      <c r="AJ49" s="100">
        <v>0.777393</v>
      </c>
      <c r="AK49" s="100">
        <v>0.786223</v>
      </c>
      <c r="AL49" s="100">
        <v>0.791723</v>
      </c>
      <c r="AM49" s="100">
        <v>0.580902</v>
      </c>
      <c r="AN49" s="100">
        <v>0.58134</v>
      </c>
      <c r="AO49" s="98">
        <v>2336.758369240968</v>
      </c>
      <c r="AP49" s="158">
        <v>1.1235123439999999</v>
      </c>
      <c r="AQ49" s="100">
        <v>0.11347517730496454</v>
      </c>
      <c r="AR49" s="100">
        <v>0.5</v>
      </c>
      <c r="AS49" s="98">
        <v>480.6098773616175</v>
      </c>
      <c r="AT49" s="98">
        <v>364.6005966191581</v>
      </c>
      <c r="AU49" s="98">
        <v>215.44580709313888</v>
      </c>
      <c r="AV49" s="98">
        <v>281.73682466025855</v>
      </c>
      <c r="AW49" s="98">
        <v>1027.5107722903547</v>
      </c>
      <c r="AX49" s="98">
        <v>430.89161418627776</v>
      </c>
      <c r="AY49" s="98">
        <v>2171.0308253231688</v>
      </c>
      <c r="AZ49" s="98">
        <v>563.4736493205171</v>
      </c>
      <c r="BA49" s="100" t="s">
        <v>538</v>
      </c>
      <c r="BB49" s="100" t="s">
        <v>538</v>
      </c>
      <c r="BC49" s="100" t="s">
        <v>538</v>
      </c>
      <c r="BD49" s="158">
        <v>0.9457252502</v>
      </c>
      <c r="BE49" s="158">
        <v>1.325010834</v>
      </c>
      <c r="BF49" s="162">
        <v>867</v>
      </c>
      <c r="BG49" s="162">
        <v>842</v>
      </c>
      <c r="BH49" s="162">
        <v>1474</v>
      </c>
      <c r="BI49" s="162">
        <v>754</v>
      </c>
      <c r="BJ49" s="162">
        <v>418</v>
      </c>
      <c r="BK49" s="97"/>
      <c r="BL49" s="97"/>
      <c r="BM49" s="97"/>
      <c r="BN49" s="97"/>
    </row>
    <row r="50" spans="1:66" ht="12.75">
      <c r="A50" s="79" t="s">
        <v>568</v>
      </c>
      <c r="B50" s="79" t="s">
        <v>313</v>
      </c>
      <c r="C50" s="79" t="s">
        <v>191</v>
      </c>
      <c r="D50" s="99">
        <v>5152</v>
      </c>
      <c r="E50" s="99">
        <v>678</v>
      </c>
      <c r="F50" s="99" t="s">
        <v>364</v>
      </c>
      <c r="G50" s="99">
        <v>21</v>
      </c>
      <c r="H50" s="99">
        <v>9</v>
      </c>
      <c r="I50" s="99">
        <v>63</v>
      </c>
      <c r="J50" s="99">
        <v>344</v>
      </c>
      <c r="K50" s="99">
        <v>329</v>
      </c>
      <c r="L50" s="99">
        <v>728</v>
      </c>
      <c r="M50" s="99">
        <v>193</v>
      </c>
      <c r="N50" s="99">
        <v>112</v>
      </c>
      <c r="O50" s="99">
        <v>57</v>
      </c>
      <c r="P50" s="159">
        <v>57</v>
      </c>
      <c r="Q50" s="99">
        <v>12</v>
      </c>
      <c r="R50" s="99">
        <v>24</v>
      </c>
      <c r="S50" s="99">
        <v>6</v>
      </c>
      <c r="T50" s="99">
        <v>14</v>
      </c>
      <c r="U50" s="99">
        <v>13</v>
      </c>
      <c r="V50" s="99" t="s">
        <v>538</v>
      </c>
      <c r="W50" s="99">
        <v>26</v>
      </c>
      <c r="X50" s="99">
        <v>18</v>
      </c>
      <c r="Y50" s="99">
        <v>68</v>
      </c>
      <c r="Z50" s="99">
        <v>29</v>
      </c>
      <c r="AA50" s="99" t="s">
        <v>538</v>
      </c>
      <c r="AB50" s="99" t="s">
        <v>538</v>
      </c>
      <c r="AC50" s="99" t="s">
        <v>538</v>
      </c>
      <c r="AD50" s="98" t="s">
        <v>343</v>
      </c>
      <c r="AE50" s="100">
        <v>0.13159937888198758</v>
      </c>
      <c r="AF50" s="100">
        <v>0.41</v>
      </c>
      <c r="AG50" s="98">
        <v>407.60869565217394</v>
      </c>
      <c r="AH50" s="98">
        <v>174.68944099378882</v>
      </c>
      <c r="AI50" s="100">
        <v>0.012</v>
      </c>
      <c r="AJ50" s="100">
        <v>0.650284</v>
      </c>
      <c r="AK50" s="100">
        <v>0.640078</v>
      </c>
      <c r="AL50" s="100">
        <v>0.639719</v>
      </c>
      <c r="AM50" s="100">
        <v>0.374757</v>
      </c>
      <c r="AN50" s="100">
        <v>0.439216</v>
      </c>
      <c r="AO50" s="98">
        <v>1106.3664596273293</v>
      </c>
      <c r="AP50" s="158">
        <v>0.6737761688</v>
      </c>
      <c r="AQ50" s="100">
        <v>0.21052631578947367</v>
      </c>
      <c r="AR50" s="100">
        <v>0.5</v>
      </c>
      <c r="AS50" s="98">
        <v>116.45962732919254</v>
      </c>
      <c r="AT50" s="98">
        <v>271.7391304347826</v>
      </c>
      <c r="AU50" s="98">
        <v>252.32919254658384</v>
      </c>
      <c r="AV50" s="98" t="s">
        <v>538</v>
      </c>
      <c r="AW50" s="98">
        <v>504.6583850931677</v>
      </c>
      <c r="AX50" s="98">
        <v>349.37888198757764</v>
      </c>
      <c r="AY50" s="98">
        <v>1319.8757763975154</v>
      </c>
      <c r="AZ50" s="98">
        <v>562.888198757764</v>
      </c>
      <c r="BA50" s="100" t="s">
        <v>538</v>
      </c>
      <c r="BB50" s="100" t="s">
        <v>538</v>
      </c>
      <c r="BC50" s="100" t="s">
        <v>538</v>
      </c>
      <c r="BD50" s="158">
        <v>0.5103115082</v>
      </c>
      <c r="BE50" s="158">
        <v>0.8729551697</v>
      </c>
      <c r="BF50" s="162">
        <v>529</v>
      </c>
      <c r="BG50" s="162">
        <v>514</v>
      </c>
      <c r="BH50" s="162">
        <v>1138</v>
      </c>
      <c r="BI50" s="162">
        <v>515</v>
      </c>
      <c r="BJ50" s="162">
        <v>255</v>
      </c>
      <c r="BK50" s="97"/>
      <c r="BL50" s="97"/>
      <c r="BM50" s="97"/>
      <c r="BN50" s="97"/>
    </row>
    <row r="51" spans="1:66" ht="12.75">
      <c r="A51" s="79" t="s">
        <v>587</v>
      </c>
      <c r="B51" s="79" t="s">
        <v>336</v>
      </c>
      <c r="C51" s="79" t="s">
        <v>191</v>
      </c>
      <c r="D51" s="99">
        <v>1436</v>
      </c>
      <c r="E51" s="99">
        <v>215</v>
      </c>
      <c r="F51" s="99" t="s">
        <v>364</v>
      </c>
      <c r="G51" s="99" t="s">
        <v>538</v>
      </c>
      <c r="H51" s="99">
        <v>6</v>
      </c>
      <c r="I51" s="99">
        <v>13</v>
      </c>
      <c r="J51" s="99">
        <v>101</v>
      </c>
      <c r="K51" s="99">
        <v>96</v>
      </c>
      <c r="L51" s="99">
        <v>169</v>
      </c>
      <c r="M51" s="99">
        <v>51</v>
      </c>
      <c r="N51" s="99">
        <v>23</v>
      </c>
      <c r="O51" s="99">
        <v>12</v>
      </c>
      <c r="P51" s="159">
        <v>12</v>
      </c>
      <c r="Q51" s="99" t="s">
        <v>538</v>
      </c>
      <c r="R51" s="99">
        <v>9</v>
      </c>
      <c r="S51" s="99" t="s">
        <v>538</v>
      </c>
      <c r="T51" s="99" t="s">
        <v>538</v>
      </c>
      <c r="U51" s="99" t="s">
        <v>538</v>
      </c>
      <c r="V51" s="99" t="s">
        <v>538</v>
      </c>
      <c r="W51" s="99">
        <v>7</v>
      </c>
      <c r="X51" s="99" t="s">
        <v>538</v>
      </c>
      <c r="Y51" s="99">
        <v>36</v>
      </c>
      <c r="Z51" s="99" t="s">
        <v>538</v>
      </c>
      <c r="AA51" s="99" t="s">
        <v>538</v>
      </c>
      <c r="AB51" s="99" t="s">
        <v>538</v>
      </c>
      <c r="AC51" s="99" t="s">
        <v>538</v>
      </c>
      <c r="AD51" s="98" t="s">
        <v>343</v>
      </c>
      <c r="AE51" s="100">
        <v>0.14972144846796656</v>
      </c>
      <c r="AF51" s="100">
        <v>0.39</v>
      </c>
      <c r="AG51" s="98" t="s">
        <v>538</v>
      </c>
      <c r="AH51" s="98">
        <v>417.8272980501393</v>
      </c>
      <c r="AI51" s="100">
        <v>0.009000000000000001</v>
      </c>
      <c r="AJ51" s="100">
        <v>0.651613</v>
      </c>
      <c r="AK51" s="100">
        <v>0.64</v>
      </c>
      <c r="AL51" s="100">
        <v>0.563333</v>
      </c>
      <c r="AM51" s="100">
        <v>0.34</v>
      </c>
      <c r="AN51" s="100">
        <v>0.315068</v>
      </c>
      <c r="AO51" s="98">
        <v>835.6545961002786</v>
      </c>
      <c r="AP51" s="158">
        <v>0.4887275314</v>
      </c>
      <c r="AQ51" s="100" t="s">
        <v>538</v>
      </c>
      <c r="AR51" s="100" t="s">
        <v>538</v>
      </c>
      <c r="AS51" s="98" t="s">
        <v>538</v>
      </c>
      <c r="AT51" s="98" t="s">
        <v>538</v>
      </c>
      <c r="AU51" s="98" t="s">
        <v>538</v>
      </c>
      <c r="AV51" s="98" t="s">
        <v>538</v>
      </c>
      <c r="AW51" s="98">
        <v>487.46518105849583</v>
      </c>
      <c r="AX51" s="98" t="s">
        <v>538</v>
      </c>
      <c r="AY51" s="98">
        <v>2506.963788300836</v>
      </c>
      <c r="AZ51" s="98" t="s">
        <v>538</v>
      </c>
      <c r="BA51" s="100" t="s">
        <v>538</v>
      </c>
      <c r="BB51" s="100" t="s">
        <v>538</v>
      </c>
      <c r="BC51" s="100" t="s">
        <v>538</v>
      </c>
      <c r="BD51" s="158">
        <v>0.2525326538</v>
      </c>
      <c r="BE51" s="158">
        <v>0.8537086487000001</v>
      </c>
      <c r="BF51" s="162">
        <v>155</v>
      </c>
      <c r="BG51" s="162">
        <v>150</v>
      </c>
      <c r="BH51" s="162">
        <v>300</v>
      </c>
      <c r="BI51" s="162">
        <v>150</v>
      </c>
      <c r="BJ51" s="162">
        <v>73</v>
      </c>
      <c r="BK51" s="97"/>
      <c r="BL51" s="97"/>
      <c r="BM51" s="97"/>
      <c r="BN51" s="97"/>
    </row>
    <row r="52" spans="1:66" ht="12.75">
      <c r="A52" s="79" t="s">
        <v>579</v>
      </c>
      <c r="B52" s="79" t="s">
        <v>324</v>
      </c>
      <c r="C52" s="79" t="s">
        <v>191</v>
      </c>
      <c r="D52" s="99">
        <v>4390</v>
      </c>
      <c r="E52" s="99">
        <v>823</v>
      </c>
      <c r="F52" s="99" t="s">
        <v>366</v>
      </c>
      <c r="G52" s="99">
        <v>18</v>
      </c>
      <c r="H52" s="99">
        <v>22</v>
      </c>
      <c r="I52" s="99">
        <v>96</v>
      </c>
      <c r="J52" s="99">
        <v>388</v>
      </c>
      <c r="K52" s="99" t="s">
        <v>538</v>
      </c>
      <c r="L52" s="99">
        <v>968</v>
      </c>
      <c r="M52" s="99">
        <v>253</v>
      </c>
      <c r="N52" s="99">
        <v>144</v>
      </c>
      <c r="O52" s="99">
        <v>138</v>
      </c>
      <c r="P52" s="159">
        <v>138</v>
      </c>
      <c r="Q52" s="99">
        <v>21</v>
      </c>
      <c r="R52" s="99">
        <v>32</v>
      </c>
      <c r="S52" s="99">
        <v>33</v>
      </c>
      <c r="T52" s="99">
        <v>20</v>
      </c>
      <c r="U52" s="99">
        <v>11</v>
      </c>
      <c r="V52" s="99">
        <v>21</v>
      </c>
      <c r="W52" s="99">
        <v>42</v>
      </c>
      <c r="X52" s="99">
        <v>18</v>
      </c>
      <c r="Y52" s="99">
        <v>72</v>
      </c>
      <c r="Z52" s="99">
        <v>50</v>
      </c>
      <c r="AA52" s="99" t="s">
        <v>538</v>
      </c>
      <c r="AB52" s="99" t="s">
        <v>538</v>
      </c>
      <c r="AC52" s="99" t="s">
        <v>538</v>
      </c>
      <c r="AD52" s="98" t="s">
        <v>343</v>
      </c>
      <c r="AE52" s="100">
        <v>0.18747152619589977</v>
      </c>
      <c r="AF52" s="100">
        <v>0.16</v>
      </c>
      <c r="AG52" s="98">
        <v>410.0227790432802</v>
      </c>
      <c r="AH52" s="98">
        <v>501.1389521640091</v>
      </c>
      <c r="AI52" s="100">
        <v>0.022000000000000002</v>
      </c>
      <c r="AJ52" s="100">
        <v>0.681898</v>
      </c>
      <c r="AK52" s="100" t="s">
        <v>538</v>
      </c>
      <c r="AL52" s="100">
        <v>0.758621</v>
      </c>
      <c r="AM52" s="100">
        <v>0.558499</v>
      </c>
      <c r="AN52" s="100">
        <v>0.560311</v>
      </c>
      <c r="AO52" s="98">
        <v>3143.507972665148</v>
      </c>
      <c r="AP52" s="158">
        <v>1.557085419</v>
      </c>
      <c r="AQ52" s="100">
        <v>0.15217391304347827</v>
      </c>
      <c r="AR52" s="100">
        <v>0.65625</v>
      </c>
      <c r="AS52" s="98">
        <v>751.7084282460137</v>
      </c>
      <c r="AT52" s="98">
        <v>455.58086560364467</v>
      </c>
      <c r="AU52" s="98">
        <v>250.56947608200454</v>
      </c>
      <c r="AV52" s="98">
        <v>478.3599088838269</v>
      </c>
      <c r="AW52" s="98">
        <v>956.7198177676538</v>
      </c>
      <c r="AX52" s="98">
        <v>410.0227790432802</v>
      </c>
      <c r="AY52" s="98">
        <v>1640.0911161731208</v>
      </c>
      <c r="AZ52" s="98">
        <v>1138.9521640091116</v>
      </c>
      <c r="BA52" s="100" t="s">
        <v>538</v>
      </c>
      <c r="BB52" s="100" t="s">
        <v>538</v>
      </c>
      <c r="BC52" s="100" t="s">
        <v>538</v>
      </c>
      <c r="BD52" s="158">
        <v>1.308142548</v>
      </c>
      <c r="BE52" s="158">
        <v>1.83961441</v>
      </c>
      <c r="BF52" s="162">
        <v>569</v>
      </c>
      <c r="BG52" s="162" t="s">
        <v>538</v>
      </c>
      <c r="BH52" s="162">
        <v>1276</v>
      </c>
      <c r="BI52" s="162">
        <v>453</v>
      </c>
      <c r="BJ52" s="162">
        <v>257</v>
      </c>
      <c r="BK52" s="97"/>
      <c r="BL52" s="97"/>
      <c r="BM52" s="97"/>
      <c r="BN52" s="97"/>
    </row>
    <row r="53" spans="1:66" ht="12.75">
      <c r="A53" s="79" t="s">
        <v>542</v>
      </c>
      <c r="B53" s="79" t="s">
        <v>285</v>
      </c>
      <c r="C53" s="79" t="s">
        <v>191</v>
      </c>
      <c r="D53" s="99">
        <v>5363</v>
      </c>
      <c r="E53" s="99">
        <v>1393</v>
      </c>
      <c r="F53" s="99" t="s">
        <v>365</v>
      </c>
      <c r="G53" s="99">
        <v>38</v>
      </c>
      <c r="H53" s="99">
        <v>16</v>
      </c>
      <c r="I53" s="99">
        <v>153</v>
      </c>
      <c r="J53" s="99">
        <v>711</v>
      </c>
      <c r="K53" s="99">
        <v>681</v>
      </c>
      <c r="L53" s="99">
        <v>1006</v>
      </c>
      <c r="M53" s="99">
        <v>508</v>
      </c>
      <c r="N53" s="99">
        <v>298</v>
      </c>
      <c r="O53" s="99">
        <v>70</v>
      </c>
      <c r="P53" s="159">
        <v>70</v>
      </c>
      <c r="Q53" s="99">
        <v>15</v>
      </c>
      <c r="R53" s="99">
        <v>30</v>
      </c>
      <c r="S53" s="99">
        <v>12</v>
      </c>
      <c r="T53" s="99">
        <v>8</v>
      </c>
      <c r="U53" s="99">
        <v>6</v>
      </c>
      <c r="V53" s="99">
        <v>13</v>
      </c>
      <c r="W53" s="99">
        <v>36</v>
      </c>
      <c r="X53" s="99">
        <v>13</v>
      </c>
      <c r="Y53" s="99">
        <v>80</v>
      </c>
      <c r="Z53" s="99">
        <v>38</v>
      </c>
      <c r="AA53" s="99" t="s">
        <v>538</v>
      </c>
      <c r="AB53" s="99" t="s">
        <v>538</v>
      </c>
      <c r="AC53" s="99" t="s">
        <v>538</v>
      </c>
      <c r="AD53" s="98" t="s">
        <v>343</v>
      </c>
      <c r="AE53" s="100">
        <v>0.25974268133507367</v>
      </c>
      <c r="AF53" s="100">
        <v>0.09</v>
      </c>
      <c r="AG53" s="98">
        <v>708.5586425508111</v>
      </c>
      <c r="AH53" s="98">
        <v>298.3404810740257</v>
      </c>
      <c r="AI53" s="100">
        <v>0.028999999999999998</v>
      </c>
      <c r="AJ53" s="100">
        <v>0.848449</v>
      </c>
      <c r="AK53" s="100">
        <v>0.842822</v>
      </c>
      <c r="AL53" s="100">
        <v>0.81129</v>
      </c>
      <c r="AM53" s="100">
        <v>0.639798</v>
      </c>
      <c r="AN53" s="100">
        <v>0.665179</v>
      </c>
      <c r="AO53" s="98">
        <v>1305.2396046988626</v>
      </c>
      <c r="AP53" s="158">
        <v>0.5510683823</v>
      </c>
      <c r="AQ53" s="100">
        <v>0.21428571428571427</v>
      </c>
      <c r="AR53" s="100">
        <v>0.5</v>
      </c>
      <c r="AS53" s="98">
        <v>223.7553608055193</v>
      </c>
      <c r="AT53" s="98">
        <v>149.17024053701286</v>
      </c>
      <c r="AU53" s="98">
        <v>111.87768040275965</v>
      </c>
      <c r="AV53" s="98">
        <v>242.4016408726459</v>
      </c>
      <c r="AW53" s="98">
        <v>671.2660824165579</v>
      </c>
      <c r="AX53" s="98">
        <v>242.4016408726459</v>
      </c>
      <c r="AY53" s="98">
        <v>1491.7024053701286</v>
      </c>
      <c r="AZ53" s="98">
        <v>708.5586425508111</v>
      </c>
      <c r="BA53" s="100" t="s">
        <v>538</v>
      </c>
      <c r="BB53" s="100" t="s">
        <v>538</v>
      </c>
      <c r="BC53" s="100" t="s">
        <v>538</v>
      </c>
      <c r="BD53" s="158">
        <v>0.4295848465</v>
      </c>
      <c r="BE53" s="158">
        <v>0.6962417603</v>
      </c>
      <c r="BF53" s="162">
        <v>838</v>
      </c>
      <c r="BG53" s="162">
        <v>808</v>
      </c>
      <c r="BH53" s="162">
        <v>1240</v>
      </c>
      <c r="BI53" s="162">
        <v>794</v>
      </c>
      <c r="BJ53" s="162">
        <v>448</v>
      </c>
      <c r="BK53" s="97"/>
      <c r="BL53" s="97"/>
      <c r="BM53" s="97"/>
      <c r="BN53" s="97"/>
    </row>
    <row r="54" spans="1:66" ht="12.75">
      <c r="A54" s="79" t="s">
        <v>547</v>
      </c>
      <c r="B54" s="79" t="s">
        <v>291</v>
      </c>
      <c r="C54" s="79" t="s">
        <v>191</v>
      </c>
      <c r="D54" s="99">
        <v>5312</v>
      </c>
      <c r="E54" s="99">
        <v>1217</v>
      </c>
      <c r="F54" s="99" t="s">
        <v>365</v>
      </c>
      <c r="G54" s="99">
        <v>39</v>
      </c>
      <c r="H54" s="99">
        <v>18</v>
      </c>
      <c r="I54" s="99">
        <v>107</v>
      </c>
      <c r="J54" s="99">
        <v>607</v>
      </c>
      <c r="K54" s="99">
        <v>574</v>
      </c>
      <c r="L54" s="99">
        <v>1022</v>
      </c>
      <c r="M54" s="99">
        <v>412</v>
      </c>
      <c r="N54" s="99">
        <v>243</v>
      </c>
      <c r="O54" s="99">
        <v>177</v>
      </c>
      <c r="P54" s="159">
        <v>177</v>
      </c>
      <c r="Q54" s="99">
        <v>19</v>
      </c>
      <c r="R54" s="99">
        <v>33</v>
      </c>
      <c r="S54" s="99">
        <v>24</v>
      </c>
      <c r="T54" s="99">
        <v>37</v>
      </c>
      <c r="U54" s="99" t="s">
        <v>538</v>
      </c>
      <c r="V54" s="99">
        <v>46</v>
      </c>
      <c r="W54" s="99">
        <v>42</v>
      </c>
      <c r="X54" s="99">
        <v>18</v>
      </c>
      <c r="Y54" s="99">
        <v>96</v>
      </c>
      <c r="Z54" s="99">
        <v>47</v>
      </c>
      <c r="AA54" s="99" t="s">
        <v>538</v>
      </c>
      <c r="AB54" s="99" t="s">
        <v>538</v>
      </c>
      <c r="AC54" s="99" t="s">
        <v>538</v>
      </c>
      <c r="AD54" s="98" t="s">
        <v>343</v>
      </c>
      <c r="AE54" s="100">
        <v>0.2291039156626506</v>
      </c>
      <c r="AF54" s="100">
        <v>0.09</v>
      </c>
      <c r="AG54" s="98">
        <v>734.1867469879518</v>
      </c>
      <c r="AH54" s="98">
        <v>338.855421686747</v>
      </c>
      <c r="AI54" s="100">
        <v>0.02</v>
      </c>
      <c r="AJ54" s="100">
        <v>0.789337</v>
      </c>
      <c r="AK54" s="100">
        <v>0.784153</v>
      </c>
      <c r="AL54" s="100">
        <v>0.768999</v>
      </c>
      <c r="AM54" s="100">
        <v>0.604993</v>
      </c>
      <c r="AN54" s="100">
        <v>0.653226</v>
      </c>
      <c r="AO54" s="98">
        <v>3332.078313253012</v>
      </c>
      <c r="AP54" s="158">
        <v>1.498692932</v>
      </c>
      <c r="AQ54" s="100">
        <v>0.10734463276836158</v>
      </c>
      <c r="AR54" s="100">
        <v>0.5757575757575758</v>
      </c>
      <c r="AS54" s="98">
        <v>451.8072289156627</v>
      </c>
      <c r="AT54" s="98">
        <v>696.5361445783133</v>
      </c>
      <c r="AU54" s="98" t="s">
        <v>538</v>
      </c>
      <c r="AV54" s="98">
        <v>865.9638554216867</v>
      </c>
      <c r="AW54" s="98">
        <v>790.6626506024096</v>
      </c>
      <c r="AX54" s="98">
        <v>338.855421686747</v>
      </c>
      <c r="AY54" s="98">
        <v>1807.2289156626507</v>
      </c>
      <c r="AZ54" s="98">
        <v>884.789156626506</v>
      </c>
      <c r="BA54" s="101" t="s">
        <v>538</v>
      </c>
      <c r="BB54" s="101" t="s">
        <v>538</v>
      </c>
      <c r="BC54" s="101" t="s">
        <v>538</v>
      </c>
      <c r="BD54" s="158">
        <v>1.286031342</v>
      </c>
      <c r="BE54" s="158">
        <v>1.7364776610000001</v>
      </c>
      <c r="BF54" s="162">
        <v>769</v>
      </c>
      <c r="BG54" s="162">
        <v>732</v>
      </c>
      <c r="BH54" s="162">
        <v>1329</v>
      </c>
      <c r="BI54" s="162">
        <v>681</v>
      </c>
      <c r="BJ54" s="162">
        <v>372</v>
      </c>
      <c r="BK54" s="97"/>
      <c r="BL54" s="97"/>
      <c r="BM54" s="97"/>
      <c r="BN54" s="97"/>
    </row>
    <row r="55" spans="1:66" ht="12.75">
      <c r="A55" s="79" t="s">
        <v>545</v>
      </c>
      <c r="B55" s="79" t="s">
        <v>289</v>
      </c>
      <c r="C55" s="79" t="s">
        <v>191</v>
      </c>
      <c r="D55" s="99">
        <v>13872</v>
      </c>
      <c r="E55" s="99">
        <v>3851</v>
      </c>
      <c r="F55" s="99" t="s">
        <v>367</v>
      </c>
      <c r="G55" s="99">
        <v>96</v>
      </c>
      <c r="H55" s="99">
        <v>47</v>
      </c>
      <c r="I55" s="99">
        <v>392</v>
      </c>
      <c r="J55" s="99">
        <v>1793</v>
      </c>
      <c r="K55" s="99">
        <v>9</v>
      </c>
      <c r="L55" s="99">
        <v>2407</v>
      </c>
      <c r="M55" s="99">
        <v>1305</v>
      </c>
      <c r="N55" s="99">
        <v>793</v>
      </c>
      <c r="O55" s="99">
        <v>235</v>
      </c>
      <c r="P55" s="159">
        <v>235</v>
      </c>
      <c r="Q55" s="99">
        <v>43</v>
      </c>
      <c r="R55" s="99">
        <v>86</v>
      </c>
      <c r="S55" s="99">
        <v>33</v>
      </c>
      <c r="T55" s="99">
        <v>37</v>
      </c>
      <c r="U55" s="99">
        <v>16</v>
      </c>
      <c r="V55" s="99">
        <v>36</v>
      </c>
      <c r="W55" s="99">
        <v>95</v>
      </c>
      <c r="X55" s="99">
        <v>47</v>
      </c>
      <c r="Y55" s="99">
        <v>183</v>
      </c>
      <c r="Z55" s="99">
        <v>114</v>
      </c>
      <c r="AA55" s="99" t="s">
        <v>538</v>
      </c>
      <c r="AB55" s="99" t="s">
        <v>538</v>
      </c>
      <c r="AC55" s="99" t="s">
        <v>538</v>
      </c>
      <c r="AD55" s="98" t="s">
        <v>343</v>
      </c>
      <c r="AE55" s="100">
        <v>0.2776095732410611</v>
      </c>
      <c r="AF55" s="100">
        <v>0.07</v>
      </c>
      <c r="AG55" s="98">
        <v>692.0415224913495</v>
      </c>
      <c r="AH55" s="98">
        <v>338.81199538638987</v>
      </c>
      <c r="AI55" s="100">
        <v>0.027999999999999997</v>
      </c>
      <c r="AJ55" s="100">
        <v>0.820971</v>
      </c>
      <c r="AK55" s="100">
        <v>0.692308</v>
      </c>
      <c r="AL55" s="100">
        <v>0.767538</v>
      </c>
      <c r="AM55" s="100">
        <v>0.611241</v>
      </c>
      <c r="AN55" s="100">
        <v>0.651067</v>
      </c>
      <c r="AO55" s="98">
        <v>1694.0599769319492</v>
      </c>
      <c r="AP55" s="158">
        <v>0.6917527008000001</v>
      </c>
      <c r="AQ55" s="100">
        <v>0.1829787234042553</v>
      </c>
      <c r="AR55" s="100">
        <v>0.5</v>
      </c>
      <c r="AS55" s="98">
        <v>237.8892733564014</v>
      </c>
      <c r="AT55" s="98">
        <v>266.72433679354094</v>
      </c>
      <c r="AU55" s="98">
        <v>115.34025374855824</v>
      </c>
      <c r="AV55" s="98">
        <v>259.51557093425606</v>
      </c>
      <c r="AW55" s="98">
        <v>684.8327566320646</v>
      </c>
      <c r="AX55" s="98">
        <v>338.81199538638987</v>
      </c>
      <c r="AY55" s="98">
        <v>1319.204152249135</v>
      </c>
      <c r="AZ55" s="98">
        <v>821.7993079584775</v>
      </c>
      <c r="BA55" s="100" t="s">
        <v>538</v>
      </c>
      <c r="BB55" s="100" t="s">
        <v>538</v>
      </c>
      <c r="BC55" s="100" t="s">
        <v>538</v>
      </c>
      <c r="BD55" s="158">
        <v>0.6061296082</v>
      </c>
      <c r="BE55" s="158">
        <v>0.7860819243999999</v>
      </c>
      <c r="BF55" s="162">
        <v>2184</v>
      </c>
      <c r="BG55" s="162">
        <v>13</v>
      </c>
      <c r="BH55" s="162">
        <v>3136</v>
      </c>
      <c r="BI55" s="162">
        <v>2135</v>
      </c>
      <c r="BJ55" s="162">
        <v>1218</v>
      </c>
      <c r="BK55" s="97"/>
      <c r="BL55" s="97"/>
      <c r="BM55" s="97"/>
      <c r="BN55" s="97"/>
    </row>
    <row r="56" spans="1:66" ht="12.75">
      <c r="A56" s="79" t="s">
        <v>554</v>
      </c>
      <c r="B56" s="79" t="s">
        <v>299</v>
      </c>
      <c r="C56" s="79" t="s">
        <v>191</v>
      </c>
      <c r="D56" s="99">
        <v>8996</v>
      </c>
      <c r="E56" s="99">
        <v>1208</v>
      </c>
      <c r="F56" s="99" t="s">
        <v>364</v>
      </c>
      <c r="G56" s="99">
        <v>52</v>
      </c>
      <c r="H56" s="99">
        <v>22</v>
      </c>
      <c r="I56" s="99">
        <v>123</v>
      </c>
      <c r="J56" s="99">
        <v>659</v>
      </c>
      <c r="K56" s="99">
        <v>649</v>
      </c>
      <c r="L56" s="99">
        <v>1501</v>
      </c>
      <c r="M56" s="99">
        <v>367</v>
      </c>
      <c r="N56" s="99">
        <v>223</v>
      </c>
      <c r="O56" s="99">
        <v>136</v>
      </c>
      <c r="P56" s="159">
        <v>136</v>
      </c>
      <c r="Q56" s="99">
        <v>12</v>
      </c>
      <c r="R56" s="99">
        <v>31</v>
      </c>
      <c r="S56" s="99">
        <v>14</v>
      </c>
      <c r="T56" s="99">
        <v>29</v>
      </c>
      <c r="U56" s="99">
        <v>10</v>
      </c>
      <c r="V56" s="99">
        <v>19</v>
      </c>
      <c r="W56" s="99">
        <v>64</v>
      </c>
      <c r="X56" s="99">
        <v>28</v>
      </c>
      <c r="Y56" s="99">
        <v>143</v>
      </c>
      <c r="Z56" s="99">
        <v>58</v>
      </c>
      <c r="AA56" s="99" t="s">
        <v>538</v>
      </c>
      <c r="AB56" s="99" t="s">
        <v>538</v>
      </c>
      <c r="AC56" s="99" t="s">
        <v>538</v>
      </c>
      <c r="AD56" s="98" t="s">
        <v>343</v>
      </c>
      <c r="AE56" s="100">
        <v>0.13428190306803023</v>
      </c>
      <c r="AF56" s="100">
        <v>0.34</v>
      </c>
      <c r="AG56" s="98">
        <v>578.0346820809249</v>
      </c>
      <c r="AH56" s="98">
        <v>244.55313472654512</v>
      </c>
      <c r="AI56" s="100">
        <v>0.013999999999999999</v>
      </c>
      <c r="AJ56" s="100">
        <v>0.691501</v>
      </c>
      <c r="AK56" s="100">
        <v>0.698601</v>
      </c>
      <c r="AL56" s="100">
        <v>0.720595</v>
      </c>
      <c r="AM56" s="100">
        <v>0.427241</v>
      </c>
      <c r="AN56" s="100">
        <v>0.481641</v>
      </c>
      <c r="AO56" s="98">
        <v>1511.783014673188</v>
      </c>
      <c r="AP56" s="158">
        <v>0.9195499420000001</v>
      </c>
      <c r="AQ56" s="100">
        <v>0.08823529411764706</v>
      </c>
      <c r="AR56" s="100">
        <v>0.3870967741935484</v>
      </c>
      <c r="AS56" s="98">
        <v>155.62472209871055</v>
      </c>
      <c r="AT56" s="98">
        <v>322.3654957759004</v>
      </c>
      <c r="AU56" s="98">
        <v>111.16051578479325</v>
      </c>
      <c r="AV56" s="98">
        <v>211.20497999110717</v>
      </c>
      <c r="AW56" s="98">
        <v>711.4273010226767</v>
      </c>
      <c r="AX56" s="98">
        <v>311.2494441974211</v>
      </c>
      <c r="AY56" s="98">
        <v>1589.5953757225434</v>
      </c>
      <c r="AZ56" s="98">
        <v>644.7309915518008</v>
      </c>
      <c r="BA56" s="100" t="s">
        <v>538</v>
      </c>
      <c r="BB56" s="100" t="s">
        <v>538</v>
      </c>
      <c r="BC56" s="100" t="s">
        <v>538</v>
      </c>
      <c r="BD56" s="158">
        <v>0.7715055084</v>
      </c>
      <c r="BE56" s="158">
        <v>1.087724609</v>
      </c>
      <c r="BF56" s="162">
        <v>953</v>
      </c>
      <c r="BG56" s="162">
        <v>929</v>
      </c>
      <c r="BH56" s="162">
        <v>2083</v>
      </c>
      <c r="BI56" s="162">
        <v>859</v>
      </c>
      <c r="BJ56" s="162">
        <v>463</v>
      </c>
      <c r="BK56" s="97"/>
      <c r="BL56" s="97"/>
      <c r="BM56" s="97"/>
      <c r="BN56" s="97"/>
    </row>
    <row r="57" spans="1:66" ht="12.75">
      <c r="A57" s="79" t="s">
        <v>592</v>
      </c>
      <c r="B57" s="79" t="s">
        <v>342</v>
      </c>
      <c r="C57" s="79" t="s">
        <v>191</v>
      </c>
      <c r="D57" s="99">
        <v>2477</v>
      </c>
      <c r="E57" s="99">
        <v>247</v>
      </c>
      <c r="F57" s="99" t="s">
        <v>364</v>
      </c>
      <c r="G57" s="99">
        <v>8</v>
      </c>
      <c r="H57" s="99">
        <v>11</v>
      </c>
      <c r="I57" s="99">
        <v>31</v>
      </c>
      <c r="J57" s="99">
        <v>101</v>
      </c>
      <c r="K57" s="99" t="s">
        <v>538</v>
      </c>
      <c r="L57" s="99">
        <v>399</v>
      </c>
      <c r="M57" s="99">
        <v>59</v>
      </c>
      <c r="N57" s="99">
        <v>33</v>
      </c>
      <c r="O57" s="99">
        <v>24</v>
      </c>
      <c r="P57" s="159">
        <v>24</v>
      </c>
      <c r="Q57" s="99" t="s">
        <v>538</v>
      </c>
      <c r="R57" s="99" t="s">
        <v>538</v>
      </c>
      <c r="S57" s="99">
        <v>8</v>
      </c>
      <c r="T57" s="99" t="s">
        <v>538</v>
      </c>
      <c r="U57" s="99" t="s">
        <v>538</v>
      </c>
      <c r="V57" s="99" t="s">
        <v>538</v>
      </c>
      <c r="W57" s="99" t="s">
        <v>538</v>
      </c>
      <c r="X57" s="99">
        <v>6</v>
      </c>
      <c r="Y57" s="99">
        <v>37</v>
      </c>
      <c r="Z57" s="99">
        <v>13</v>
      </c>
      <c r="AA57" s="99" t="s">
        <v>538</v>
      </c>
      <c r="AB57" s="99" t="s">
        <v>538</v>
      </c>
      <c r="AC57" s="99" t="s">
        <v>538</v>
      </c>
      <c r="AD57" s="98" t="s">
        <v>343</v>
      </c>
      <c r="AE57" s="100">
        <v>0.09971740008074284</v>
      </c>
      <c r="AF57" s="100">
        <v>0.32</v>
      </c>
      <c r="AG57" s="98">
        <v>322.9713362939039</v>
      </c>
      <c r="AH57" s="98">
        <v>444.08558740411786</v>
      </c>
      <c r="AI57" s="100">
        <v>0.013000000000000001</v>
      </c>
      <c r="AJ57" s="100">
        <v>0.564246</v>
      </c>
      <c r="AK57" s="100" t="s">
        <v>538</v>
      </c>
      <c r="AL57" s="100">
        <v>0.721519</v>
      </c>
      <c r="AM57" s="100">
        <v>0.401361</v>
      </c>
      <c r="AN57" s="100">
        <v>0.44</v>
      </c>
      <c r="AO57" s="98">
        <v>968.9140088817118</v>
      </c>
      <c r="AP57" s="158">
        <v>0.71404953</v>
      </c>
      <c r="AQ57" s="100" t="s">
        <v>538</v>
      </c>
      <c r="AR57" s="100" t="s">
        <v>538</v>
      </c>
      <c r="AS57" s="98">
        <v>322.9713362939039</v>
      </c>
      <c r="AT57" s="98" t="s">
        <v>538</v>
      </c>
      <c r="AU57" s="98" t="s">
        <v>538</v>
      </c>
      <c r="AV57" s="98" t="s">
        <v>538</v>
      </c>
      <c r="AW57" s="98" t="s">
        <v>538</v>
      </c>
      <c r="AX57" s="98">
        <v>242.22850222042794</v>
      </c>
      <c r="AY57" s="98">
        <v>1493.7424303593057</v>
      </c>
      <c r="AZ57" s="98">
        <v>524.8284214775939</v>
      </c>
      <c r="BA57" s="100" t="s">
        <v>538</v>
      </c>
      <c r="BB57" s="100" t="s">
        <v>538</v>
      </c>
      <c r="BC57" s="100" t="s">
        <v>538</v>
      </c>
      <c r="BD57" s="158">
        <v>0.4575049973</v>
      </c>
      <c r="BE57" s="158">
        <v>1.0624491120000001</v>
      </c>
      <c r="BF57" s="162">
        <v>179</v>
      </c>
      <c r="BG57" s="162" t="s">
        <v>538</v>
      </c>
      <c r="BH57" s="162">
        <v>553</v>
      </c>
      <c r="BI57" s="162">
        <v>147</v>
      </c>
      <c r="BJ57" s="162">
        <v>75</v>
      </c>
      <c r="BK57" s="97"/>
      <c r="BL57" s="97"/>
      <c r="BM57" s="97"/>
      <c r="BN57" s="97"/>
    </row>
    <row r="58" spans="1:66" ht="12.75">
      <c r="A58" s="79" t="s">
        <v>529</v>
      </c>
      <c r="B58" s="79" t="s">
        <v>284</v>
      </c>
      <c r="C58" s="79" t="s">
        <v>191</v>
      </c>
      <c r="D58" s="99">
        <v>4311</v>
      </c>
      <c r="E58" s="99">
        <v>798</v>
      </c>
      <c r="F58" s="99" t="s">
        <v>366</v>
      </c>
      <c r="G58" s="99">
        <v>26</v>
      </c>
      <c r="H58" s="99">
        <v>14</v>
      </c>
      <c r="I58" s="99">
        <v>74</v>
      </c>
      <c r="J58" s="99">
        <v>388</v>
      </c>
      <c r="K58" s="99" t="s">
        <v>538</v>
      </c>
      <c r="L58" s="99">
        <v>809</v>
      </c>
      <c r="M58" s="99">
        <v>273</v>
      </c>
      <c r="N58" s="99">
        <v>168</v>
      </c>
      <c r="O58" s="99">
        <v>107</v>
      </c>
      <c r="P58" s="159">
        <v>107</v>
      </c>
      <c r="Q58" s="99">
        <v>14</v>
      </c>
      <c r="R58" s="99">
        <v>24</v>
      </c>
      <c r="S58" s="99">
        <v>14</v>
      </c>
      <c r="T58" s="99">
        <v>23</v>
      </c>
      <c r="U58" s="99">
        <v>9</v>
      </c>
      <c r="V58" s="99">
        <v>18</v>
      </c>
      <c r="W58" s="99">
        <v>27</v>
      </c>
      <c r="X58" s="99">
        <v>15</v>
      </c>
      <c r="Y58" s="99">
        <v>64</v>
      </c>
      <c r="Z58" s="99">
        <v>30</v>
      </c>
      <c r="AA58" s="99" t="s">
        <v>538</v>
      </c>
      <c r="AB58" s="99" t="s">
        <v>538</v>
      </c>
      <c r="AC58" s="99" t="s">
        <v>538</v>
      </c>
      <c r="AD58" s="98" t="s">
        <v>343</v>
      </c>
      <c r="AE58" s="100">
        <v>0.18510786360473208</v>
      </c>
      <c r="AF58" s="100">
        <v>0.12</v>
      </c>
      <c r="AG58" s="98">
        <v>603.1083275342148</v>
      </c>
      <c r="AH58" s="98">
        <v>324.75063790303875</v>
      </c>
      <c r="AI58" s="100">
        <v>0.017</v>
      </c>
      <c r="AJ58" s="100">
        <v>0.741874</v>
      </c>
      <c r="AK58" s="100" t="s">
        <v>538</v>
      </c>
      <c r="AL58" s="100">
        <v>0.766825</v>
      </c>
      <c r="AM58" s="100">
        <v>0.546</v>
      </c>
      <c r="AN58" s="100">
        <v>0.57931</v>
      </c>
      <c r="AO58" s="98">
        <v>2482.022732544653</v>
      </c>
      <c r="AP58" s="158">
        <v>1.290925751</v>
      </c>
      <c r="AQ58" s="100">
        <v>0.1308411214953271</v>
      </c>
      <c r="AR58" s="100">
        <v>0.5833333333333334</v>
      </c>
      <c r="AS58" s="98">
        <v>324.75063790303875</v>
      </c>
      <c r="AT58" s="98">
        <v>533.5189051264208</v>
      </c>
      <c r="AU58" s="98">
        <v>208.76826722338205</v>
      </c>
      <c r="AV58" s="98">
        <v>417.5365344467641</v>
      </c>
      <c r="AW58" s="98">
        <v>626.3048016701462</v>
      </c>
      <c r="AX58" s="98">
        <v>347.9471120389701</v>
      </c>
      <c r="AY58" s="98">
        <v>1484.5743446996057</v>
      </c>
      <c r="AZ58" s="98">
        <v>695.8942240779402</v>
      </c>
      <c r="BA58" s="100" t="s">
        <v>538</v>
      </c>
      <c r="BB58" s="100" t="s">
        <v>538</v>
      </c>
      <c r="BC58" s="100" t="s">
        <v>538</v>
      </c>
      <c r="BD58" s="158">
        <v>1.057944794</v>
      </c>
      <c r="BE58" s="158">
        <v>1.5599516299999998</v>
      </c>
      <c r="BF58" s="162">
        <v>523</v>
      </c>
      <c r="BG58" s="162" t="s">
        <v>538</v>
      </c>
      <c r="BH58" s="162">
        <v>1055</v>
      </c>
      <c r="BI58" s="162">
        <v>500</v>
      </c>
      <c r="BJ58" s="162">
        <v>290</v>
      </c>
      <c r="BK58" s="97"/>
      <c r="BL58" s="97"/>
      <c r="BM58" s="97"/>
      <c r="BN58" s="97"/>
    </row>
    <row r="59" spans="1:66" ht="12.75">
      <c r="A59" s="79" t="s">
        <v>596</v>
      </c>
      <c r="B59" s="79" t="s">
        <v>331</v>
      </c>
      <c r="C59" s="79" t="s">
        <v>191</v>
      </c>
      <c r="D59" s="99">
        <v>2658</v>
      </c>
      <c r="E59" s="99">
        <v>586</v>
      </c>
      <c r="F59" s="99" t="s">
        <v>363</v>
      </c>
      <c r="G59" s="99">
        <v>17</v>
      </c>
      <c r="H59" s="99">
        <v>13</v>
      </c>
      <c r="I59" s="99">
        <v>61</v>
      </c>
      <c r="J59" s="99">
        <v>278</v>
      </c>
      <c r="K59" s="99" t="s">
        <v>538</v>
      </c>
      <c r="L59" s="99">
        <v>451</v>
      </c>
      <c r="M59" s="99">
        <v>184</v>
      </c>
      <c r="N59" s="99">
        <v>103</v>
      </c>
      <c r="O59" s="99">
        <v>35</v>
      </c>
      <c r="P59" s="159">
        <v>35</v>
      </c>
      <c r="Q59" s="99">
        <v>9</v>
      </c>
      <c r="R59" s="99">
        <v>17</v>
      </c>
      <c r="S59" s="99" t="s">
        <v>538</v>
      </c>
      <c r="T59" s="99" t="s">
        <v>538</v>
      </c>
      <c r="U59" s="99" t="s">
        <v>538</v>
      </c>
      <c r="V59" s="99">
        <v>10</v>
      </c>
      <c r="W59" s="99">
        <v>17</v>
      </c>
      <c r="X59" s="99">
        <v>7</v>
      </c>
      <c r="Y59" s="99">
        <v>43</v>
      </c>
      <c r="Z59" s="99">
        <v>32</v>
      </c>
      <c r="AA59" s="99" t="s">
        <v>538</v>
      </c>
      <c r="AB59" s="99" t="s">
        <v>538</v>
      </c>
      <c r="AC59" s="99" t="s">
        <v>538</v>
      </c>
      <c r="AD59" s="98" t="s">
        <v>343</v>
      </c>
      <c r="AE59" s="100">
        <v>0.22046651617757712</v>
      </c>
      <c r="AF59" s="100">
        <v>0.19</v>
      </c>
      <c r="AG59" s="98">
        <v>639.5786305492852</v>
      </c>
      <c r="AH59" s="98">
        <v>489.0895410082769</v>
      </c>
      <c r="AI59" s="100">
        <v>0.023</v>
      </c>
      <c r="AJ59" s="100">
        <v>0.755435</v>
      </c>
      <c r="AK59" s="100" t="s">
        <v>538</v>
      </c>
      <c r="AL59" s="100">
        <v>0.732143</v>
      </c>
      <c r="AM59" s="100">
        <v>0.555891</v>
      </c>
      <c r="AN59" s="100">
        <v>0.556757</v>
      </c>
      <c r="AO59" s="98">
        <v>1316.7795334838224</v>
      </c>
      <c r="AP59" s="158">
        <v>0.6041997528</v>
      </c>
      <c r="AQ59" s="100">
        <v>0.2571428571428571</v>
      </c>
      <c r="AR59" s="100">
        <v>0.5294117647058824</v>
      </c>
      <c r="AS59" s="98" t="s">
        <v>538</v>
      </c>
      <c r="AT59" s="98" t="s">
        <v>538</v>
      </c>
      <c r="AU59" s="98" t="s">
        <v>538</v>
      </c>
      <c r="AV59" s="98">
        <v>376.2227238525207</v>
      </c>
      <c r="AW59" s="98">
        <v>639.5786305492852</v>
      </c>
      <c r="AX59" s="98">
        <v>263.35590669676446</v>
      </c>
      <c r="AY59" s="98">
        <v>1617.757712565839</v>
      </c>
      <c r="AZ59" s="98">
        <v>1203.9127163280662</v>
      </c>
      <c r="BA59" s="100" t="s">
        <v>538</v>
      </c>
      <c r="BB59" s="100" t="s">
        <v>538</v>
      </c>
      <c r="BC59" s="100" t="s">
        <v>538</v>
      </c>
      <c r="BD59" s="158">
        <v>0.42084728239999997</v>
      </c>
      <c r="BE59" s="158">
        <v>0.8402955627</v>
      </c>
      <c r="BF59" s="162">
        <v>368</v>
      </c>
      <c r="BG59" s="162" t="s">
        <v>538</v>
      </c>
      <c r="BH59" s="162">
        <v>616</v>
      </c>
      <c r="BI59" s="162">
        <v>331</v>
      </c>
      <c r="BJ59" s="162">
        <v>185</v>
      </c>
      <c r="BK59" s="97"/>
      <c r="BL59" s="97"/>
      <c r="BM59" s="97"/>
      <c r="BN59" s="97"/>
    </row>
    <row r="60" spans="1:66" ht="12.75">
      <c r="A60" s="79" t="s">
        <v>597</v>
      </c>
      <c r="B60" s="79" t="s">
        <v>333</v>
      </c>
      <c r="C60" s="79" t="s">
        <v>191</v>
      </c>
      <c r="D60" s="99">
        <v>4987</v>
      </c>
      <c r="E60" s="99">
        <v>460</v>
      </c>
      <c r="F60" s="99" t="s">
        <v>364</v>
      </c>
      <c r="G60" s="99">
        <v>12</v>
      </c>
      <c r="H60" s="99">
        <v>13</v>
      </c>
      <c r="I60" s="99">
        <v>76</v>
      </c>
      <c r="J60" s="99">
        <v>300</v>
      </c>
      <c r="K60" s="99">
        <v>272</v>
      </c>
      <c r="L60" s="99">
        <v>838</v>
      </c>
      <c r="M60" s="99">
        <v>118</v>
      </c>
      <c r="N60" s="99">
        <v>69</v>
      </c>
      <c r="O60" s="99">
        <v>64</v>
      </c>
      <c r="P60" s="159">
        <v>64</v>
      </c>
      <c r="Q60" s="99">
        <v>8</v>
      </c>
      <c r="R60" s="99">
        <v>14</v>
      </c>
      <c r="S60" s="99" t="s">
        <v>538</v>
      </c>
      <c r="T60" s="99" t="s">
        <v>538</v>
      </c>
      <c r="U60" s="99">
        <v>6</v>
      </c>
      <c r="V60" s="99">
        <v>10</v>
      </c>
      <c r="W60" s="99">
        <v>14</v>
      </c>
      <c r="X60" s="99">
        <v>16</v>
      </c>
      <c r="Y60" s="99">
        <v>78</v>
      </c>
      <c r="Z60" s="99">
        <v>33</v>
      </c>
      <c r="AA60" s="99" t="s">
        <v>538</v>
      </c>
      <c r="AB60" s="99" t="s">
        <v>538</v>
      </c>
      <c r="AC60" s="99" t="s">
        <v>538</v>
      </c>
      <c r="AD60" s="98" t="s">
        <v>343</v>
      </c>
      <c r="AE60" s="100">
        <v>0.09223982354120713</v>
      </c>
      <c r="AF60" s="100">
        <v>0.44</v>
      </c>
      <c r="AG60" s="98">
        <v>240.62562662923602</v>
      </c>
      <c r="AH60" s="98">
        <v>260.67776218167234</v>
      </c>
      <c r="AI60" s="100">
        <v>0.015</v>
      </c>
      <c r="AJ60" s="100">
        <v>0.659341</v>
      </c>
      <c r="AK60" s="100">
        <v>0.615385</v>
      </c>
      <c r="AL60" s="100">
        <v>0.715628</v>
      </c>
      <c r="AM60" s="100">
        <v>0.340058</v>
      </c>
      <c r="AN60" s="100">
        <v>0.368984</v>
      </c>
      <c r="AO60" s="98">
        <v>1283.3366753559253</v>
      </c>
      <c r="AP60" s="158">
        <v>0.9216347504</v>
      </c>
      <c r="AQ60" s="100">
        <v>0.125</v>
      </c>
      <c r="AR60" s="100">
        <v>0.5714285714285714</v>
      </c>
      <c r="AS60" s="98" t="s">
        <v>538</v>
      </c>
      <c r="AT60" s="98" t="s">
        <v>538</v>
      </c>
      <c r="AU60" s="98">
        <v>120.31281331461801</v>
      </c>
      <c r="AV60" s="98">
        <v>200.52135552436334</v>
      </c>
      <c r="AW60" s="98">
        <v>280.7298977341087</v>
      </c>
      <c r="AX60" s="98">
        <v>320.8341688389813</v>
      </c>
      <c r="AY60" s="98">
        <v>1564.0665730900341</v>
      </c>
      <c r="AZ60" s="98">
        <v>661.7204732303991</v>
      </c>
      <c r="BA60" s="100" t="s">
        <v>538</v>
      </c>
      <c r="BB60" s="100" t="s">
        <v>538</v>
      </c>
      <c r="BC60" s="100" t="s">
        <v>538</v>
      </c>
      <c r="BD60" s="158">
        <v>0.7097710419000001</v>
      </c>
      <c r="BE60" s="158">
        <v>1.176907043</v>
      </c>
      <c r="BF60" s="162">
        <v>455</v>
      </c>
      <c r="BG60" s="162">
        <v>442</v>
      </c>
      <c r="BH60" s="162">
        <v>1171</v>
      </c>
      <c r="BI60" s="162">
        <v>347</v>
      </c>
      <c r="BJ60" s="162">
        <v>187</v>
      </c>
      <c r="BK60" s="97"/>
      <c r="BL60" s="97"/>
      <c r="BM60" s="97"/>
      <c r="BN60" s="97"/>
    </row>
    <row r="61" spans="1:66" ht="12.75">
      <c r="A61" s="79" t="s">
        <v>595</v>
      </c>
      <c r="B61" s="79" t="s">
        <v>328</v>
      </c>
      <c r="C61" s="79" t="s">
        <v>191</v>
      </c>
      <c r="D61" s="99">
        <v>1517</v>
      </c>
      <c r="E61" s="99">
        <v>262</v>
      </c>
      <c r="F61" s="99" t="s">
        <v>363</v>
      </c>
      <c r="G61" s="99" t="s">
        <v>538</v>
      </c>
      <c r="H61" s="99" t="s">
        <v>538</v>
      </c>
      <c r="I61" s="99">
        <v>26</v>
      </c>
      <c r="J61" s="99">
        <v>144</v>
      </c>
      <c r="K61" s="99" t="s">
        <v>538</v>
      </c>
      <c r="L61" s="99">
        <v>274</v>
      </c>
      <c r="M61" s="99">
        <v>83</v>
      </c>
      <c r="N61" s="99">
        <v>52</v>
      </c>
      <c r="O61" s="99">
        <v>26</v>
      </c>
      <c r="P61" s="159">
        <v>26</v>
      </c>
      <c r="Q61" s="99" t="s">
        <v>538</v>
      </c>
      <c r="R61" s="99" t="s">
        <v>538</v>
      </c>
      <c r="S61" s="99" t="s">
        <v>538</v>
      </c>
      <c r="T61" s="99" t="s">
        <v>538</v>
      </c>
      <c r="U61" s="99" t="s">
        <v>538</v>
      </c>
      <c r="V61" s="99">
        <v>6</v>
      </c>
      <c r="W61" s="99" t="s">
        <v>538</v>
      </c>
      <c r="X61" s="99" t="s">
        <v>538</v>
      </c>
      <c r="Y61" s="99">
        <v>22</v>
      </c>
      <c r="Z61" s="99">
        <v>14</v>
      </c>
      <c r="AA61" s="99" t="s">
        <v>538</v>
      </c>
      <c r="AB61" s="99" t="s">
        <v>538</v>
      </c>
      <c r="AC61" s="99" t="s">
        <v>538</v>
      </c>
      <c r="AD61" s="98" t="s">
        <v>343</v>
      </c>
      <c r="AE61" s="100">
        <v>0.17270929466051418</v>
      </c>
      <c r="AF61" s="100">
        <v>0.23</v>
      </c>
      <c r="AG61" s="98" t="s">
        <v>538</v>
      </c>
      <c r="AH61" s="98" t="s">
        <v>538</v>
      </c>
      <c r="AI61" s="100">
        <v>0.017</v>
      </c>
      <c r="AJ61" s="100">
        <v>0.72</v>
      </c>
      <c r="AK61" s="100" t="s">
        <v>538</v>
      </c>
      <c r="AL61" s="100">
        <v>0.728723</v>
      </c>
      <c r="AM61" s="100">
        <v>0.48538</v>
      </c>
      <c r="AN61" s="100">
        <v>0.495238</v>
      </c>
      <c r="AO61" s="98">
        <v>1713.9090309822018</v>
      </c>
      <c r="AP61" s="158">
        <v>0.866758728</v>
      </c>
      <c r="AQ61" s="100" t="s">
        <v>538</v>
      </c>
      <c r="AR61" s="100" t="s">
        <v>538</v>
      </c>
      <c r="AS61" s="98" t="s">
        <v>538</v>
      </c>
      <c r="AT61" s="98" t="s">
        <v>538</v>
      </c>
      <c r="AU61" s="98" t="s">
        <v>538</v>
      </c>
      <c r="AV61" s="98">
        <v>395.5174686882004</v>
      </c>
      <c r="AW61" s="98" t="s">
        <v>538</v>
      </c>
      <c r="AX61" s="98" t="s">
        <v>538</v>
      </c>
      <c r="AY61" s="98">
        <v>1450.2307185234015</v>
      </c>
      <c r="AZ61" s="98">
        <v>922.8740936058009</v>
      </c>
      <c r="BA61" s="100" t="s">
        <v>538</v>
      </c>
      <c r="BB61" s="100" t="s">
        <v>538</v>
      </c>
      <c r="BC61" s="100" t="s">
        <v>538</v>
      </c>
      <c r="BD61" s="158">
        <v>0.5661955643000001</v>
      </c>
      <c r="BE61" s="158">
        <v>1.270002289</v>
      </c>
      <c r="BF61" s="162">
        <v>200</v>
      </c>
      <c r="BG61" s="162" t="s">
        <v>538</v>
      </c>
      <c r="BH61" s="162">
        <v>376</v>
      </c>
      <c r="BI61" s="162">
        <v>171</v>
      </c>
      <c r="BJ61" s="162">
        <v>105</v>
      </c>
      <c r="BK61" s="97"/>
      <c r="BL61" s="97"/>
      <c r="BM61" s="97"/>
      <c r="BN61" s="97"/>
    </row>
    <row r="62" spans="1:66" ht="12.75">
      <c r="A62" s="79" t="s">
        <v>530</v>
      </c>
      <c r="B62" s="79" t="s">
        <v>294</v>
      </c>
      <c r="C62" s="79" t="s">
        <v>191</v>
      </c>
      <c r="D62" s="99">
        <v>6676</v>
      </c>
      <c r="E62" s="99">
        <v>1338</v>
      </c>
      <c r="F62" s="99" t="s">
        <v>366</v>
      </c>
      <c r="G62" s="99">
        <v>43</v>
      </c>
      <c r="H62" s="99">
        <v>30</v>
      </c>
      <c r="I62" s="99">
        <v>120</v>
      </c>
      <c r="J62" s="99">
        <v>647</v>
      </c>
      <c r="K62" s="99">
        <v>24</v>
      </c>
      <c r="L62" s="99">
        <v>1290</v>
      </c>
      <c r="M62" s="99">
        <v>443</v>
      </c>
      <c r="N62" s="99">
        <v>264</v>
      </c>
      <c r="O62" s="99">
        <v>115</v>
      </c>
      <c r="P62" s="159">
        <v>115</v>
      </c>
      <c r="Q62" s="99">
        <v>19</v>
      </c>
      <c r="R62" s="99">
        <v>39</v>
      </c>
      <c r="S62" s="99">
        <v>22</v>
      </c>
      <c r="T62" s="99">
        <v>17</v>
      </c>
      <c r="U62" s="99" t="s">
        <v>538</v>
      </c>
      <c r="V62" s="99">
        <v>24</v>
      </c>
      <c r="W62" s="99">
        <v>36</v>
      </c>
      <c r="X62" s="99">
        <v>14</v>
      </c>
      <c r="Y62" s="99">
        <v>91</v>
      </c>
      <c r="Z62" s="99">
        <v>63</v>
      </c>
      <c r="AA62" s="99" t="s">
        <v>538</v>
      </c>
      <c r="AB62" s="99" t="s">
        <v>538</v>
      </c>
      <c r="AC62" s="99" t="s">
        <v>538</v>
      </c>
      <c r="AD62" s="98" t="s">
        <v>343</v>
      </c>
      <c r="AE62" s="100">
        <v>0.20041941282204914</v>
      </c>
      <c r="AF62" s="100">
        <v>0.15</v>
      </c>
      <c r="AG62" s="98">
        <v>644.0982624325944</v>
      </c>
      <c r="AH62" s="98">
        <v>449.3708807669263</v>
      </c>
      <c r="AI62" s="100">
        <v>0.018000000000000002</v>
      </c>
      <c r="AJ62" s="100">
        <v>0.704026</v>
      </c>
      <c r="AK62" s="100">
        <v>0.648649</v>
      </c>
      <c r="AL62" s="100">
        <v>0.744804</v>
      </c>
      <c r="AM62" s="100">
        <v>0.516317</v>
      </c>
      <c r="AN62" s="100">
        <v>0.566524</v>
      </c>
      <c r="AO62" s="98">
        <v>1722.5883762732176</v>
      </c>
      <c r="AP62" s="158">
        <v>0.8323888397</v>
      </c>
      <c r="AQ62" s="100">
        <v>0.16521739130434782</v>
      </c>
      <c r="AR62" s="100">
        <v>0.48717948717948717</v>
      </c>
      <c r="AS62" s="98">
        <v>329.53864589574596</v>
      </c>
      <c r="AT62" s="98">
        <v>254.64349910125824</v>
      </c>
      <c r="AU62" s="98" t="s">
        <v>538</v>
      </c>
      <c r="AV62" s="98">
        <v>359.49670461354106</v>
      </c>
      <c r="AW62" s="98">
        <v>539.2450569203115</v>
      </c>
      <c r="AX62" s="98">
        <v>209.7064110245656</v>
      </c>
      <c r="AY62" s="98">
        <v>1363.0916716596764</v>
      </c>
      <c r="AZ62" s="98">
        <v>943.6788496105453</v>
      </c>
      <c r="BA62" s="100" t="s">
        <v>538</v>
      </c>
      <c r="BB62" s="100" t="s">
        <v>538</v>
      </c>
      <c r="BC62" s="100" t="s">
        <v>538</v>
      </c>
      <c r="BD62" s="158">
        <v>0.6872223663</v>
      </c>
      <c r="BE62" s="158">
        <v>0.999156723</v>
      </c>
      <c r="BF62" s="162">
        <v>919</v>
      </c>
      <c r="BG62" s="162">
        <v>37</v>
      </c>
      <c r="BH62" s="162">
        <v>1732</v>
      </c>
      <c r="BI62" s="162">
        <v>858</v>
      </c>
      <c r="BJ62" s="162">
        <v>466</v>
      </c>
      <c r="BK62" s="97"/>
      <c r="BL62" s="97"/>
      <c r="BM62" s="97"/>
      <c r="BN62" s="97"/>
    </row>
    <row r="63" spans="1:66" ht="12.75">
      <c r="A63" s="79" t="s">
        <v>528</v>
      </c>
      <c r="B63" s="79" t="s">
        <v>283</v>
      </c>
      <c r="C63" s="79" t="s">
        <v>191</v>
      </c>
      <c r="D63" s="99">
        <v>6508</v>
      </c>
      <c r="E63" s="99">
        <v>1499</v>
      </c>
      <c r="F63" s="99" t="s">
        <v>365</v>
      </c>
      <c r="G63" s="99">
        <v>40</v>
      </c>
      <c r="H63" s="99">
        <v>25</v>
      </c>
      <c r="I63" s="99">
        <v>166</v>
      </c>
      <c r="J63" s="99">
        <v>720</v>
      </c>
      <c r="K63" s="99">
        <v>678</v>
      </c>
      <c r="L63" s="99">
        <v>1227</v>
      </c>
      <c r="M63" s="99">
        <v>493</v>
      </c>
      <c r="N63" s="99">
        <v>290</v>
      </c>
      <c r="O63" s="99">
        <v>122</v>
      </c>
      <c r="P63" s="159">
        <v>122</v>
      </c>
      <c r="Q63" s="99">
        <v>20</v>
      </c>
      <c r="R63" s="99">
        <v>39</v>
      </c>
      <c r="S63" s="99">
        <v>26</v>
      </c>
      <c r="T63" s="99">
        <v>18</v>
      </c>
      <c r="U63" s="99">
        <v>8</v>
      </c>
      <c r="V63" s="99">
        <v>19</v>
      </c>
      <c r="W63" s="99">
        <v>38</v>
      </c>
      <c r="X63" s="99">
        <v>20</v>
      </c>
      <c r="Y63" s="99">
        <v>84</v>
      </c>
      <c r="Z63" s="99">
        <v>49</v>
      </c>
      <c r="AA63" s="99" t="s">
        <v>538</v>
      </c>
      <c r="AB63" s="99" t="s">
        <v>538</v>
      </c>
      <c r="AC63" s="99" t="s">
        <v>538</v>
      </c>
      <c r="AD63" s="98" t="s">
        <v>343</v>
      </c>
      <c r="AE63" s="100">
        <v>0.2303318992009834</v>
      </c>
      <c r="AF63" s="100">
        <v>0.09</v>
      </c>
      <c r="AG63" s="98">
        <v>614.6281499692686</v>
      </c>
      <c r="AH63" s="98">
        <v>384.1425937307929</v>
      </c>
      <c r="AI63" s="100">
        <v>0.026000000000000002</v>
      </c>
      <c r="AJ63" s="100">
        <v>0.788609</v>
      </c>
      <c r="AK63" s="100">
        <v>0.787456</v>
      </c>
      <c r="AL63" s="100">
        <v>0.773157</v>
      </c>
      <c r="AM63" s="100">
        <v>0.610905</v>
      </c>
      <c r="AN63" s="100">
        <v>0.656109</v>
      </c>
      <c r="AO63" s="98">
        <v>1874.6158574062692</v>
      </c>
      <c r="AP63" s="158">
        <v>0.8452095032</v>
      </c>
      <c r="AQ63" s="100">
        <v>0.16393442622950818</v>
      </c>
      <c r="AR63" s="100">
        <v>0.5128205128205128</v>
      </c>
      <c r="AS63" s="98">
        <v>399.50829748002457</v>
      </c>
      <c r="AT63" s="98">
        <v>276.58266748617086</v>
      </c>
      <c r="AU63" s="98">
        <v>122.92562999385372</v>
      </c>
      <c r="AV63" s="98">
        <v>291.9483712354026</v>
      </c>
      <c r="AW63" s="98">
        <v>583.8967424708052</v>
      </c>
      <c r="AX63" s="98">
        <v>307.3140749846343</v>
      </c>
      <c r="AY63" s="98">
        <v>1290.719114935464</v>
      </c>
      <c r="AZ63" s="98">
        <v>752.919483712354</v>
      </c>
      <c r="BA63" s="100" t="s">
        <v>538</v>
      </c>
      <c r="BB63" s="100" t="s">
        <v>538</v>
      </c>
      <c r="BC63" s="100" t="s">
        <v>538</v>
      </c>
      <c r="BD63" s="158">
        <v>0.7018954467999999</v>
      </c>
      <c r="BE63" s="158">
        <v>1.009181366</v>
      </c>
      <c r="BF63" s="162">
        <v>913</v>
      </c>
      <c r="BG63" s="162">
        <v>861</v>
      </c>
      <c r="BH63" s="162">
        <v>1587</v>
      </c>
      <c r="BI63" s="162">
        <v>807</v>
      </c>
      <c r="BJ63" s="162">
        <v>442</v>
      </c>
      <c r="BK63" s="97"/>
      <c r="BL63" s="97"/>
      <c r="BM63" s="97"/>
      <c r="BN63" s="97"/>
    </row>
    <row r="64" spans="1:66" ht="12.75">
      <c r="A64" s="79" t="s">
        <v>192</v>
      </c>
      <c r="B64" s="94" t="s">
        <v>191</v>
      </c>
      <c r="C64" s="94" t="s">
        <v>7</v>
      </c>
      <c r="D64" s="99">
        <v>332176</v>
      </c>
      <c r="E64" s="99">
        <v>61082</v>
      </c>
      <c r="F64" s="99">
        <v>64891.46999999997</v>
      </c>
      <c r="G64" s="99">
        <v>1857</v>
      </c>
      <c r="H64" s="99">
        <v>1018</v>
      </c>
      <c r="I64" s="99">
        <v>5892</v>
      </c>
      <c r="J64" s="99">
        <v>31838</v>
      </c>
      <c r="K64" s="99">
        <v>9415</v>
      </c>
      <c r="L64" s="99">
        <v>59852</v>
      </c>
      <c r="M64" s="99">
        <v>20548</v>
      </c>
      <c r="N64" s="99">
        <v>12031</v>
      </c>
      <c r="O64" s="99">
        <v>6162</v>
      </c>
      <c r="P64" s="99">
        <v>6162</v>
      </c>
      <c r="Q64" s="99">
        <v>872</v>
      </c>
      <c r="R64" s="99">
        <v>1629</v>
      </c>
      <c r="S64" s="99">
        <v>1013</v>
      </c>
      <c r="T64" s="99">
        <v>975</v>
      </c>
      <c r="U64" s="99">
        <v>414</v>
      </c>
      <c r="V64" s="99">
        <v>1029</v>
      </c>
      <c r="W64" s="99">
        <v>2062</v>
      </c>
      <c r="X64" s="99">
        <v>991</v>
      </c>
      <c r="Y64" s="99">
        <v>4943</v>
      </c>
      <c r="Z64" s="99">
        <v>2366</v>
      </c>
      <c r="AA64" s="99">
        <v>0</v>
      </c>
      <c r="AB64" s="99">
        <v>0</v>
      </c>
      <c r="AC64" s="99">
        <v>0</v>
      </c>
      <c r="AD64" s="98">
        <v>0</v>
      </c>
      <c r="AE64" s="101">
        <v>0.18388444679928712</v>
      </c>
      <c r="AF64" s="101">
        <v>0.19535267448581467</v>
      </c>
      <c r="AG64" s="98">
        <v>559.0409903183854</v>
      </c>
      <c r="AH64" s="98">
        <v>306.46404315784406</v>
      </c>
      <c r="AI64" s="101">
        <v>0.017737584894754587</v>
      </c>
      <c r="AJ64" s="101">
        <v>0.73711017989026</v>
      </c>
      <c r="AK64" s="101">
        <v>0.7395334223548817</v>
      </c>
      <c r="AL64" s="101">
        <v>0.746144736021941</v>
      </c>
      <c r="AM64" s="101">
        <v>0.5302299176837922</v>
      </c>
      <c r="AN64" s="101">
        <v>0.5604938271604938</v>
      </c>
      <c r="AO64" s="98">
        <v>1855.0407013149656</v>
      </c>
      <c r="AP64" s="98">
        <v>0</v>
      </c>
      <c r="AQ64" s="101">
        <v>0.14151249594287568</v>
      </c>
      <c r="AR64" s="101">
        <v>0.5352977286678944</v>
      </c>
      <c r="AS64" s="98">
        <v>304.95881701266796</v>
      </c>
      <c r="AT64" s="98">
        <v>293.51909830933</v>
      </c>
      <c r="AU64" s="98">
        <v>124.63272482057704</v>
      </c>
      <c r="AV64" s="98">
        <v>309.77554067723133</v>
      </c>
      <c r="AW64" s="98">
        <v>620.7552622706036</v>
      </c>
      <c r="AX64" s="98">
        <v>298.33582197389336</v>
      </c>
      <c r="AY64" s="98">
        <v>1488.0665671210443</v>
      </c>
      <c r="AZ64" s="98">
        <v>712.2730118973075</v>
      </c>
      <c r="BA64" s="101">
        <v>0</v>
      </c>
      <c r="BB64" s="101">
        <v>0</v>
      </c>
      <c r="BC64" s="101">
        <v>0</v>
      </c>
      <c r="BD64" s="98">
        <v>0</v>
      </c>
      <c r="BE64" s="98">
        <v>0</v>
      </c>
      <c r="BF64" s="99">
        <v>43193</v>
      </c>
      <c r="BG64" s="99">
        <v>12731</v>
      </c>
      <c r="BH64" s="99">
        <v>80215</v>
      </c>
      <c r="BI64" s="99">
        <v>38753</v>
      </c>
      <c r="BJ64" s="99">
        <v>21465</v>
      </c>
      <c r="BK64" s="97"/>
      <c r="BL64" s="97"/>
      <c r="BM64" s="97"/>
      <c r="BN64" s="97"/>
    </row>
    <row r="65" spans="1:66" ht="12.75">
      <c r="A65" s="79" t="s">
        <v>24</v>
      </c>
      <c r="B65" s="94" t="s">
        <v>7</v>
      </c>
      <c r="C65" s="94" t="s">
        <v>7</v>
      </c>
      <c r="D65" s="99">
        <v>54615830</v>
      </c>
      <c r="E65" s="99">
        <v>8737890</v>
      </c>
      <c r="F65" s="99">
        <v>8198344.169999988</v>
      </c>
      <c r="G65" s="99">
        <v>243379</v>
      </c>
      <c r="H65" s="99">
        <v>127868</v>
      </c>
      <c r="I65" s="99">
        <v>870616</v>
      </c>
      <c r="J65" s="99">
        <v>4592627</v>
      </c>
      <c r="K65" s="99">
        <v>1679592</v>
      </c>
      <c r="L65" s="99">
        <v>10150944</v>
      </c>
      <c r="M65" s="99">
        <v>2959539</v>
      </c>
      <c r="N65" s="99">
        <v>1629320</v>
      </c>
      <c r="O65" s="99">
        <v>989730</v>
      </c>
      <c r="P65" s="99">
        <v>989730</v>
      </c>
      <c r="Q65" s="99">
        <v>108072</v>
      </c>
      <c r="R65" s="99">
        <v>238330</v>
      </c>
      <c r="S65" s="99">
        <v>206300</v>
      </c>
      <c r="T65" s="99">
        <v>154264</v>
      </c>
      <c r="U65" s="99">
        <v>38486</v>
      </c>
      <c r="V65" s="99">
        <v>176535</v>
      </c>
      <c r="W65" s="99">
        <v>307276</v>
      </c>
      <c r="X65" s="99">
        <v>221506</v>
      </c>
      <c r="Y65" s="99">
        <v>578574</v>
      </c>
      <c r="Z65" s="99">
        <v>318377</v>
      </c>
      <c r="AA65" s="99">
        <v>0</v>
      </c>
      <c r="AB65" s="99">
        <v>0</v>
      </c>
      <c r="AC65" s="99">
        <v>0</v>
      </c>
      <c r="AD65" s="98">
        <v>0</v>
      </c>
      <c r="AE65" s="101">
        <v>0.1599882305185145</v>
      </c>
      <c r="AF65" s="101">
        <v>0.15010930292554353</v>
      </c>
      <c r="AG65" s="98">
        <v>445.6198871279627</v>
      </c>
      <c r="AH65" s="98">
        <v>234.12259778895606</v>
      </c>
      <c r="AI65" s="101">
        <v>0.015940726342527432</v>
      </c>
      <c r="AJ65" s="101">
        <v>0.7248631360507991</v>
      </c>
      <c r="AK65" s="101">
        <v>0.7467412166569077</v>
      </c>
      <c r="AL65" s="101">
        <v>0.7559681673907895</v>
      </c>
      <c r="AM65" s="101">
        <v>0.5147293797466616</v>
      </c>
      <c r="AN65" s="101">
        <v>0.5752927626212945</v>
      </c>
      <c r="AO65" s="98">
        <v>1812.1669120472948</v>
      </c>
      <c r="AP65" s="98">
        <v>1</v>
      </c>
      <c r="AQ65" s="101">
        <v>0.10919341638628717</v>
      </c>
      <c r="AR65" s="101">
        <v>0.4534552930810221</v>
      </c>
      <c r="AS65" s="98">
        <v>377.7293140102421</v>
      </c>
      <c r="AT65" s="98">
        <v>282.45290788403287</v>
      </c>
      <c r="AU65" s="98">
        <v>70.46674929228394</v>
      </c>
      <c r="AV65" s="98">
        <v>323.23046266988894</v>
      </c>
      <c r="AW65" s="98">
        <v>562.6134400960308</v>
      </c>
      <c r="AX65" s="98">
        <v>405.57105879375996</v>
      </c>
      <c r="AY65" s="98">
        <v>1059.3522061277838</v>
      </c>
      <c r="AZ65" s="98">
        <v>582.9390489900089</v>
      </c>
      <c r="BA65" s="101">
        <v>0</v>
      </c>
      <c r="BB65" s="101">
        <v>0</v>
      </c>
      <c r="BC65" s="101">
        <v>0</v>
      </c>
      <c r="BD65" s="98">
        <v>0</v>
      </c>
      <c r="BE65" s="98">
        <v>0</v>
      </c>
      <c r="BF65" s="99">
        <v>6335854</v>
      </c>
      <c r="BG65" s="99">
        <v>2249229</v>
      </c>
      <c r="BH65" s="99">
        <v>13427740</v>
      </c>
      <c r="BI65" s="99">
        <v>5749699</v>
      </c>
      <c r="BJ65" s="99">
        <v>2832158</v>
      </c>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298"/>
      <c r="C70" s="298"/>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5"/>
      <c r="AE70" s="302"/>
      <c r="AF70" s="302"/>
      <c r="AG70" s="295"/>
      <c r="AH70" s="295"/>
      <c r="AI70" s="302"/>
      <c r="AJ70" s="302"/>
      <c r="AK70" s="302"/>
      <c r="AL70" s="302"/>
      <c r="AM70" s="302"/>
      <c r="AN70" s="302"/>
      <c r="AO70" s="295"/>
      <c r="AP70" s="295"/>
      <c r="AQ70" s="302"/>
      <c r="AR70" s="302"/>
      <c r="AS70" s="295"/>
      <c r="AT70" s="295"/>
      <c r="AU70" s="295"/>
      <c r="AV70" s="295"/>
      <c r="AW70" s="295"/>
      <c r="AX70" s="295"/>
      <c r="AY70" s="295"/>
      <c r="AZ70" s="295"/>
      <c r="BA70" s="302"/>
      <c r="BB70" s="302"/>
      <c r="BC70" s="302"/>
      <c r="BD70" s="295"/>
      <c r="BE70" s="295"/>
      <c r="BF70" s="299"/>
      <c r="BG70" s="299"/>
      <c r="BH70" s="299"/>
      <c r="BI70" s="299"/>
      <c r="BJ70" s="299"/>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475</v>
      </c>
      <c r="Q4" s="75" t="s">
        <v>476</v>
      </c>
      <c r="R4" s="75" t="s">
        <v>477</v>
      </c>
      <c r="S4" s="75" t="s">
        <v>478</v>
      </c>
      <c r="T4" s="39" t="s">
        <v>278</v>
      </c>
      <c r="U4" s="40" t="s">
        <v>279</v>
      </c>
      <c r="V4" s="41" t="s">
        <v>7</v>
      </c>
      <c r="W4" s="24" t="s">
        <v>2</v>
      </c>
      <c r="X4" s="24" t="s">
        <v>3</v>
      </c>
      <c r="Y4" s="75" t="s">
        <v>599</v>
      </c>
      <c r="Z4" s="75" t="s">
        <v>598</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431</v>
      </c>
      <c r="E7" s="38">
        <f>IF(LEFT(VLOOKUP($B7,'Indicator chart'!$D$1:$J$36,5,FALSE),1)=" "," ",VLOOKUP($B7,'Indicator chart'!$D$1:$J$36,5,FALSE))</f>
        <v>0.14913494809688582</v>
      </c>
      <c r="F7" s="38">
        <f>IF(LEFT(VLOOKUP($B7,'Indicator chart'!$D$1:$J$36,6,FALSE),1)=" "," ",VLOOKUP($B7,'Indicator chart'!$D$1:$J$36,6,FALSE))</f>
        <v>0.13661344369597153</v>
      </c>
      <c r="G7" s="38">
        <f>IF(LEFT(VLOOKUP($B7,'Indicator chart'!$D$1:$J$36,7,FALSE),1)=" "," ",VLOOKUP($B7,'Indicator chart'!$D$1:$J$36,7,FALSE))</f>
        <v>0.1625880053398015</v>
      </c>
      <c r="H7" s="50">
        <f aca="true" t="shared" si="0" ref="H7:H31">IF(LEFT(F7,1)=" ",4,IF(AND(ABS(N7-E7)&gt;SQRT((E7-G7)^2+(N7-R7)^2),E7&lt;N7),1,IF(AND(ABS(N7-E7)&gt;SQRT((E7-F7)^2+(N7-S7)^2),E7&gt;N7),3,2)))</f>
        <v>1</v>
      </c>
      <c r="I7" s="38">
        <v>0.07758356630802155</v>
      </c>
      <c r="J7" s="38">
        <v>0.15076161921024323</v>
      </c>
      <c r="K7" s="38">
        <v>0.17664779722690582</v>
      </c>
      <c r="L7" s="38">
        <v>0.20060229301452637</v>
      </c>
      <c r="M7" s="38">
        <v>0.279450923204422</v>
      </c>
      <c r="N7" s="80">
        <f>VLOOKUP('Hide - Control'!B$3,'All practice data'!A:CA,A7+29,FALSE)</f>
        <v>0.18388444679928712</v>
      </c>
      <c r="O7" s="80">
        <f>VLOOKUP('Hide - Control'!C$3,'All practice data'!A:CA,A7+29,FALSE)</f>
        <v>0.1599882305185145</v>
      </c>
      <c r="P7" s="38">
        <f>VLOOKUP('Hide - Control'!$B$4,'All practice data'!B:BC,A7+2,FALSE)</f>
        <v>61082</v>
      </c>
      <c r="Q7" s="38">
        <f>VLOOKUP('Hide - Control'!$B$4,'All practice data'!B:BC,3,FALSE)</f>
        <v>332176</v>
      </c>
      <c r="R7" s="38">
        <f>+((2*P7+1.96^2-1.96*SQRT(1.96^2+4*P7*(1-P7/Q7)))/(2*(Q7+1.96^2)))</f>
        <v>0.18257069723839642</v>
      </c>
      <c r="S7" s="38">
        <f>+((2*P7+1.96^2+1.96*SQRT(1.96^2+4*P7*(1-P7/Q7)))/(2*(Q7+1.96^2)))</f>
        <v>0.18520550799897764</v>
      </c>
      <c r="T7" s="53">
        <f>IF($C7=1,M7,I7)</f>
        <v>0.279450923204422</v>
      </c>
      <c r="U7" s="51">
        <f aca="true" t="shared" si="1" ref="U7:U15">IF($C7=1,I7,M7)</f>
        <v>0.07758356630802155</v>
      </c>
      <c r="V7" s="7">
        <v>1</v>
      </c>
      <c r="W7" s="27">
        <f aca="true" t="shared" si="2" ref="W7:W31">IF((K7-I7)&gt;(M7-K7),I7,(K7-(M7-K7)))</f>
        <v>0.07384467124938965</v>
      </c>
      <c r="X7" s="27">
        <f aca="true" t="shared" si="3" ref="X7:X31">IF(W7=I7,K7+(K7-I7),M7)</f>
        <v>0.279450923204422</v>
      </c>
      <c r="Y7" s="27">
        <f aca="true" t="shared" si="4" ref="Y7:Y31">IF(C7=1,W7,X7)</f>
        <v>0.07384467124938965</v>
      </c>
      <c r="Z7" s="27">
        <f aca="true" t="shared" si="5" ref="Z7:Z31">IF(C7=1,X7,W7)</f>
        <v>0.279450923204422</v>
      </c>
      <c r="AA7" s="32">
        <f aca="true" t="shared" si="6" ref="AA7:AA31">IF(ISERROR(IF(C7=1,(I7-$Y7)/($Z7-$Y7),(U7-$Y7)/($Z7-$Y7))),"",IF(C7=1,(I7-$Y7)/($Z7-$Y7),(U7-$Y7)/($Z7-$Y7)))</f>
        <v>0.018184734282543226</v>
      </c>
      <c r="AB7" s="33">
        <f aca="true" t="shared" si="7" ref="AB7:AB31">IF(ISERROR(IF(C7=1,(J7-$Y7)/($Z7-$Y7),(L7-$Y7)/($Z7-$Y7))),"",IF(C7=1,(J7-$Y7)/($Z7-$Y7),(L7-$Y7)/($Z7-$Y7)))</f>
        <v>0.3740982933616041</v>
      </c>
      <c r="AC7" s="33">
        <v>0.5</v>
      </c>
      <c r="AD7" s="33">
        <f aca="true" t="shared" si="8" ref="AD7:AD31">IF(ISERROR(IF(C7=1,(L7-$Y7)/($Z7-$Y7),(J7-$Y7)/($Z7-$Y7))),"",IF(C7=1,(L7-$Y7)/($Z7-$Y7),(J7-$Y7)/($Z7-$Y7)))</f>
        <v>0.616506650745521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0.3661867094584397</v>
      </c>
      <c r="AI7" s="34">
        <f aca="true" t="shared" si="13" ref="AI7:AI31">IF(ISERROR((O7-$Y7)/($Z7-$Y7)),-999,(O7-$Y7)/($Z7-$Y7))</f>
        <v>0.41897344292801514</v>
      </c>
      <c r="AJ7" s="4">
        <v>2.7020512924389086</v>
      </c>
      <c r="AK7" s="32">
        <f aca="true" t="shared" si="14" ref="AK7:AK31">IF(H7=1,(E7-$Y7)/($Z7-$Y7),-999)</f>
        <v>0.3661867094584397</v>
      </c>
      <c r="AL7" s="34">
        <f aca="true" t="shared" si="15" ref="AL7:AL31">IF(H7=3,(E7-$Y7)/($Z7-$Y7),-999)</f>
        <v>-999</v>
      </c>
      <c r="AQ7" s="103">
        <v>2</v>
      </c>
      <c r="AR7" s="103">
        <v>0.2422</v>
      </c>
      <c r="AS7" s="103">
        <v>7.2247</v>
      </c>
      <c r="AY7" s="103" t="s">
        <v>68</v>
      </c>
      <c r="AZ7" s="103" t="s">
        <v>397</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0.1955397120675326</v>
      </c>
      <c r="G8" s="38">
        <f>IF(LEFT(VLOOKUP($B8,'Indicator chart'!$D$1:$J$36,7,FALSE),1)=" "," ",VLOOKUP($B8,'Indicator chart'!$D$1:$J$36,7,FALSE))</f>
        <v>0.22523024299842534</v>
      </c>
      <c r="H8" s="50">
        <f t="shared" si="0"/>
        <v>3</v>
      </c>
      <c r="I8" s="38">
        <v>0.07000000029802322</v>
      </c>
      <c r="J8" s="38">
        <v>0.1274999976158142</v>
      </c>
      <c r="K8" s="38">
        <v>0.20000000298023224</v>
      </c>
      <c r="L8" s="38">
        <v>0.25999999046325684</v>
      </c>
      <c r="M8" s="38">
        <v>0.4399999976158142</v>
      </c>
      <c r="N8" s="80">
        <f>VLOOKUP('Hide - Control'!B$3,'All practice data'!A:CA,A8+29,FALSE)</f>
        <v>0.19535267448581467</v>
      </c>
      <c r="O8" s="80">
        <f>VLOOKUP('Hide - Control'!C$3,'All practice data'!A:CA,A8+29,FALSE)</f>
        <v>0.15010930292554353</v>
      </c>
      <c r="P8" s="38">
        <f>VLOOKUP('Hide - Control'!$B$4,'All practice data'!B:BC,A8+2,FALSE)</f>
        <v>64891.46999999997</v>
      </c>
      <c r="Q8" s="38">
        <f>VLOOKUP('Hide - Control'!$B$4,'All practice data'!B:BC,3,FALSE)</f>
        <v>332176</v>
      </c>
      <c r="R8" s="38">
        <f>+((2*P8+1.96^2-1.96*SQRT(1.96^2+4*P8*(1-P8/Q8)))/(2*(Q8+1.96^2)))</f>
        <v>0.19400790745830132</v>
      </c>
      <c r="S8" s="38">
        <f>+((2*P8+1.96^2+1.96*SQRT(1.96^2+4*P8*(1-P8/Q8)))/(2*(Q8+1.96^2)))</f>
        <v>0.19670448789615522</v>
      </c>
      <c r="T8" s="53">
        <f aca="true" t="shared" si="16" ref="T8:T15">IF($C8=1,M8,I8)</f>
        <v>0.4399999976158142</v>
      </c>
      <c r="U8" s="51">
        <f t="shared" si="1"/>
        <v>0.07000000029802322</v>
      </c>
      <c r="V8" s="7"/>
      <c r="W8" s="27">
        <f t="shared" si="2"/>
        <v>-0.03999999165534973</v>
      </c>
      <c r="X8" s="27">
        <f t="shared" si="3"/>
        <v>0.4399999976158142</v>
      </c>
      <c r="Y8" s="27">
        <f t="shared" si="4"/>
        <v>-0.03999999165534973</v>
      </c>
      <c r="Z8" s="27">
        <f t="shared" si="5"/>
        <v>0.4399999976158142</v>
      </c>
      <c r="AA8" s="32">
        <f t="shared" si="6"/>
        <v>0.22916665502513422</v>
      </c>
      <c r="AB8" s="33">
        <f t="shared" si="7"/>
        <v>0.34895831878141775</v>
      </c>
      <c r="AC8" s="33">
        <v>0.5</v>
      </c>
      <c r="AD8" s="33">
        <f t="shared" si="8"/>
        <v>0.6249999767169351</v>
      </c>
      <c r="AE8" s="33">
        <f t="shared" si="9"/>
        <v>1</v>
      </c>
      <c r="AF8" s="33">
        <f t="shared" si="10"/>
        <v>-999</v>
      </c>
      <c r="AG8" s="33">
        <f t="shared" si="11"/>
        <v>-999</v>
      </c>
      <c r="AH8" s="33">
        <f t="shared" si="12"/>
        <v>0.5208333275901773</v>
      </c>
      <c r="AI8" s="34">
        <f t="shared" si="13"/>
        <v>0.396061039229515</v>
      </c>
      <c r="AJ8" s="4">
        <v>3.778046717820832</v>
      </c>
      <c r="AK8" s="32">
        <f t="shared" si="14"/>
        <v>-999</v>
      </c>
      <c r="AL8" s="34">
        <f t="shared" si="15"/>
        <v>0.5208333275901773</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449.8269896193772</v>
      </c>
      <c r="F9" s="38">
        <f>IF(LEFT(VLOOKUP($B9,'Indicator chart'!$D$1:$J$36,6,FALSE),1)=" "," ",VLOOKUP($B9,'Indicator chart'!$D$1:$J$36,6,FALSE))</f>
        <v>239.27874371157537</v>
      </c>
      <c r="G9" s="38">
        <f>IF(LEFT(VLOOKUP($B9,'Indicator chart'!$D$1:$J$36,7,FALSE),1)=" "," ",VLOOKUP($B9,'Indicator chart'!$D$1:$J$36,7,FALSE))</f>
        <v>769.2702571367605</v>
      </c>
      <c r="H9" s="50">
        <f t="shared" si="0"/>
        <v>2</v>
      </c>
      <c r="I9" s="38">
        <v>92.60600280761719</v>
      </c>
      <c r="J9" s="38">
        <v>439.8759460449219</v>
      </c>
      <c r="K9" s="38">
        <v>567.4662475585938</v>
      </c>
      <c r="L9" s="38">
        <v>640.7085571289062</v>
      </c>
      <c r="M9" s="38">
        <v>816.8350830078125</v>
      </c>
      <c r="N9" s="80">
        <f>VLOOKUP('Hide - Control'!B$3,'All practice data'!A:CA,A9+29,FALSE)</f>
        <v>559.0409903183854</v>
      </c>
      <c r="O9" s="80">
        <f>VLOOKUP('Hide - Control'!C$3,'All practice data'!A:CA,A9+29,FALSE)</f>
        <v>445.6198871279627</v>
      </c>
      <c r="P9" s="38">
        <f>VLOOKUP('Hide - Control'!$B$4,'All practice data'!B:BC,A9+2,FALSE)</f>
        <v>1857</v>
      </c>
      <c r="Q9" s="38">
        <f>VLOOKUP('Hide - Control'!$B$4,'All practice data'!B:BC,3,FALSE)</f>
        <v>332176</v>
      </c>
      <c r="R9" s="38">
        <f>100000*(P9*(1-1/(9*P9)-1.96/(3*SQRT(P9)))^3)/Q9</f>
        <v>533.9002968861251</v>
      </c>
      <c r="S9" s="38">
        <f>100000*((P9+1)*(1-1/(9*(P9+1))+1.96/(3*SQRT(P9+1)))^3)/Q9</f>
        <v>585.0598405565694</v>
      </c>
      <c r="T9" s="53">
        <f t="shared" si="16"/>
        <v>816.8350830078125</v>
      </c>
      <c r="U9" s="51">
        <f t="shared" si="1"/>
        <v>92.60600280761719</v>
      </c>
      <c r="V9" s="7"/>
      <c r="W9" s="27">
        <f t="shared" si="2"/>
        <v>92.60600280761719</v>
      </c>
      <c r="X9" s="27">
        <f t="shared" si="3"/>
        <v>1042.3264923095703</v>
      </c>
      <c r="Y9" s="27">
        <f t="shared" si="4"/>
        <v>92.60600280761719</v>
      </c>
      <c r="Z9" s="27">
        <f t="shared" si="5"/>
        <v>1042.3264923095703</v>
      </c>
      <c r="AA9" s="32">
        <f t="shared" si="6"/>
        <v>0</v>
      </c>
      <c r="AB9" s="33">
        <f t="shared" si="7"/>
        <v>0.365654892229837</v>
      </c>
      <c r="AC9" s="33">
        <v>0.5</v>
      </c>
      <c r="AD9" s="33">
        <f t="shared" si="8"/>
        <v>0.5771198582950672</v>
      </c>
      <c r="AE9" s="33">
        <f t="shared" si="9"/>
        <v>0.7625707649836967</v>
      </c>
      <c r="AF9" s="33">
        <f t="shared" si="10"/>
        <v>-999</v>
      </c>
      <c r="AG9" s="33">
        <f t="shared" si="11"/>
        <v>0.37613275775390687</v>
      </c>
      <c r="AH9" s="33">
        <f t="shared" si="12"/>
        <v>-999</v>
      </c>
      <c r="AI9" s="34">
        <f t="shared" si="13"/>
        <v>0.371702925463334</v>
      </c>
      <c r="AJ9" s="4">
        <v>4.854042143202755</v>
      </c>
      <c r="AK9" s="32">
        <f t="shared" si="14"/>
        <v>-999</v>
      </c>
      <c r="AL9" s="34">
        <f t="shared" si="15"/>
        <v>-999</v>
      </c>
      <c r="AQ9" s="103">
        <v>4</v>
      </c>
      <c r="AR9" s="103">
        <v>1.0899</v>
      </c>
      <c r="AS9" s="103">
        <v>10.2416</v>
      </c>
      <c r="AY9" s="103" t="s">
        <v>90</v>
      </c>
      <c r="AZ9" s="103" t="s">
        <v>407</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484.42906574394465</v>
      </c>
      <c r="F10" s="38">
        <f>IF(LEFT(VLOOKUP($B10,'Indicator chart'!$D$1:$J$36,6,FALSE),1)=" "," ",VLOOKUP($B10,'Indicator chart'!$D$1:$J$36,6,FALSE))</f>
        <v>264.61732355516267</v>
      </c>
      <c r="G10" s="38">
        <f>IF(LEFT(VLOOKUP($B10,'Indicator chart'!$D$1:$J$36,7,FALSE),1)=" "," ",VLOOKUP($B10,'Indicator chart'!$D$1:$J$36,7,FALSE))</f>
        <v>812.8438023329672</v>
      </c>
      <c r="H10" s="50">
        <f t="shared" si="0"/>
        <v>2</v>
      </c>
      <c r="I10" s="38">
        <v>44.173431396484375</v>
      </c>
      <c r="J10" s="38">
        <v>241.67481994628906</v>
      </c>
      <c r="K10" s="38">
        <v>313.70513916015625</v>
      </c>
      <c r="L10" s="38">
        <v>376.6559753417969</v>
      </c>
      <c r="M10" s="38">
        <v>501.1389465332031</v>
      </c>
      <c r="N10" s="80">
        <f>VLOOKUP('Hide - Control'!B$3,'All practice data'!A:CA,A10+29,FALSE)</f>
        <v>306.46404315784406</v>
      </c>
      <c r="O10" s="80">
        <f>VLOOKUP('Hide - Control'!C$3,'All practice data'!A:CA,A10+29,FALSE)</f>
        <v>234.12259778895606</v>
      </c>
      <c r="P10" s="38">
        <f>VLOOKUP('Hide - Control'!$B$4,'All practice data'!B:BC,A10+2,FALSE)</f>
        <v>1018</v>
      </c>
      <c r="Q10" s="38">
        <f>VLOOKUP('Hide - Control'!$B$4,'All practice data'!B:BC,3,FALSE)</f>
        <v>332176</v>
      </c>
      <c r="R10" s="38">
        <f>100000*(P10*(1-1/(9*P10)-1.96/(3*SQRT(P10)))^3)/Q10</f>
        <v>287.92448178231103</v>
      </c>
      <c r="S10" s="38">
        <f>100000*((P10+1)*(1-1/(9*(P10+1))+1.96/(3*SQRT(P10+1)))^3)/Q10</f>
        <v>325.8841327230801</v>
      </c>
      <c r="T10" s="53">
        <f t="shared" si="16"/>
        <v>501.1389465332031</v>
      </c>
      <c r="U10" s="51">
        <f t="shared" si="1"/>
        <v>44.173431396484375</v>
      </c>
      <c r="V10" s="7"/>
      <c r="W10" s="27">
        <f t="shared" si="2"/>
        <v>44.173431396484375</v>
      </c>
      <c r="X10" s="27">
        <f t="shared" si="3"/>
        <v>583.2368469238281</v>
      </c>
      <c r="Y10" s="27">
        <f t="shared" si="4"/>
        <v>44.173431396484375</v>
      </c>
      <c r="Z10" s="27">
        <f t="shared" si="5"/>
        <v>583.2368469238281</v>
      </c>
      <c r="AA10" s="32">
        <f t="shared" si="6"/>
        <v>0</v>
      </c>
      <c r="AB10" s="33">
        <f t="shared" si="7"/>
        <v>0.366378765208166</v>
      </c>
      <c r="AC10" s="33">
        <v>0.5</v>
      </c>
      <c r="AD10" s="33">
        <f t="shared" si="8"/>
        <v>0.6167781644392588</v>
      </c>
      <c r="AE10" s="33">
        <f t="shared" si="9"/>
        <v>0.8477027043092658</v>
      </c>
      <c r="AF10" s="33">
        <f t="shared" si="10"/>
        <v>-999</v>
      </c>
      <c r="AG10" s="33">
        <f t="shared" si="11"/>
        <v>0.8167047172303024</v>
      </c>
      <c r="AH10" s="33">
        <f t="shared" si="12"/>
        <v>-999</v>
      </c>
      <c r="AI10" s="34">
        <f t="shared" si="13"/>
        <v>0.3523688696378183</v>
      </c>
      <c r="AJ10" s="4">
        <v>5.930037568584676</v>
      </c>
      <c r="AK10" s="32">
        <f t="shared" si="14"/>
        <v>-999</v>
      </c>
      <c r="AL10" s="34">
        <f t="shared" si="15"/>
        <v>-999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67</v>
      </c>
      <c r="E11" s="38">
        <f>IF(LEFT(VLOOKUP($B11,'Indicator chart'!$D$1:$J$36,5,FALSE),1)=" "," ",VLOOKUP($B11,'Indicator chart'!$D$1:$J$36,5,FALSE))</f>
        <v>0.023</v>
      </c>
      <c r="F11" s="38">
        <f>IF(LEFT(VLOOKUP($B11,'Indicator chart'!$D$1:$J$36,6,FALSE),1)=" "," ",VLOOKUP($B11,'Indicator chart'!$D$1:$J$36,6,FALSE))</f>
        <v>0.01829701057128853</v>
      </c>
      <c r="G11" s="38">
        <f>IF(LEFT(VLOOKUP($B11,'Indicator chart'!$D$1:$J$36,7,FALSE),1)=" "," ",VLOOKUP($B11,'Indicator chart'!$D$1:$J$36,7,FALSE))</f>
        <v>0.029335727861941534</v>
      </c>
      <c r="H11" s="50">
        <f t="shared" si="0"/>
        <v>3</v>
      </c>
      <c r="I11" s="38">
        <v>0.004999999888241291</v>
      </c>
      <c r="J11" s="38">
        <v>0.014000000432133675</v>
      </c>
      <c r="K11" s="38">
        <v>0.017000000923871994</v>
      </c>
      <c r="L11" s="38">
        <v>0.019999999552965164</v>
      </c>
      <c r="M11" s="38">
        <v>0.028999999165534973</v>
      </c>
      <c r="N11" s="80">
        <f>VLOOKUP('Hide - Control'!B$3,'All practice data'!A:CA,A11+29,FALSE)</f>
        <v>0.017737584894754587</v>
      </c>
      <c r="O11" s="80">
        <f>VLOOKUP('Hide - Control'!C$3,'All practice data'!A:CA,A11+29,FALSE)</f>
        <v>0.015940726342527432</v>
      </c>
      <c r="P11" s="38">
        <f>VLOOKUP('Hide - Control'!$B$4,'All practice data'!B:BC,A11+2,FALSE)</f>
        <v>5892</v>
      </c>
      <c r="Q11" s="38">
        <f>VLOOKUP('Hide - Control'!$B$4,'All practice data'!B:BC,3,FALSE)</f>
        <v>332176</v>
      </c>
      <c r="R11" s="80">
        <f aca="true" t="shared" si="17" ref="R11:R16">+((2*P11+1.96^2-1.96*SQRT(1.96^2+4*P11*(1-P11/Q11)))/(2*(Q11+1.96^2)))</f>
        <v>0.017294247333583077</v>
      </c>
      <c r="S11" s="80">
        <f aca="true" t="shared" si="18" ref="S11:S16">+((2*P11+1.96^2+1.96*SQRT(1.96^2+4*P11*(1-P11/Q11)))/(2*(Q11+1.96^2)))</f>
        <v>0.018192077011753117</v>
      </c>
      <c r="T11" s="53">
        <f t="shared" si="16"/>
        <v>0.028999999165534973</v>
      </c>
      <c r="U11" s="51">
        <f t="shared" si="1"/>
        <v>0.004999999888241291</v>
      </c>
      <c r="V11" s="7"/>
      <c r="W11" s="27">
        <f t="shared" si="2"/>
        <v>0.004999999888241291</v>
      </c>
      <c r="X11" s="27">
        <f t="shared" si="3"/>
        <v>0.029000001959502697</v>
      </c>
      <c r="Y11" s="27">
        <f t="shared" si="4"/>
        <v>0.004999999888241291</v>
      </c>
      <c r="Z11" s="27">
        <f t="shared" si="5"/>
        <v>0.029000001959502697</v>
      </c>
      <c r="AA11" s="32">
        <f t="shared" si="6"/>
        <v>0</v>
      </c>
      <c r="AB11" s="33">
        <f t="shared" si="7"/>
        <v>0.374999990298724</v>
      </c>
      <c r="AC11" s="33">
        <v>0.5</v>
      </c>
      <c r="AD11" s="33">
        <f t="shared" si="8"/>
        <v>0.6249999320910681</v>
      </c>
      <c r="AE11" s="33">
        <f t="shared" si="9"/>
        <v>0.9999998835846882</v>
      </c>
      <c r="AF11" s="33">
        <f t="shared" si="10"/>
        <v>-999</v>
      </c>
      <c r="AG11" s="33">
        <f t="shared" si="11"/>
        <v>-999</v>
      </c>
      <c r="AH11" s="33">
        <f t="shared" si="12"/>
        <v>0.7499999399296992</v>
      </c>
      <c r="AI11" s="34">
        <f t="shared" si="13"/>
        <v>0.45586356291973074</v>
      </c>
      <c r="AJ11" s="4">
        <v>7.0060329939666</v>
      </c>
      <c r="AK11" s="32">
        <f t="shared" si="14"/>
        <v>-999</v>
      </c>
      <c r="AL11" s="34">
        <f t="shared" si="15"/>
        <v>0.7499999399296992</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216</v>
      </c>
      <c r="E12" s="38">
        <f>IF(LEFT(VLOOKUP($B12,'Indicator chart'!$D$1:$J$36,5,FALSE),1)=" "," ",VLOOKUP($B12,'Indicator chart'!$D$1:$J$36,5,FALSE))</f>
        <v>0.644776</v>
      </c>
      <c r="F12" s="38">
        <f>IF(LEFT(VLOOKUP($B12,'Indicator chart'!$D$1:$J$36,6,FALSE),1)=" "," ",VLOOKUP($B12,'Indicator chart'!$D$1:$J$36,6,FALSE))</f>
        <v>0.5921501952319012</v>
      </c>
      <c r="G12" s="38">
        <f>IF(LEFT(VLOOKUP($B12,'Indicator chart'!$D$1:$J$36,7,FALSE),1)=" "," ",VLOOKUP($B12,'Indicator chart'!$D$1:$J$36,7,FALSE))</f>
        <v>0.6941192592860801</v>
      </c>
      <c r="H12" s="50">
        <f t="shared" si="0"/>
        <v>1</v>
      </c>
      <c r="I12" s="38">
        <v>0.5642459988594055</v>
      </c>
      <c r="J12" s="38">
        <v>0.6780455112457275</v>
      </c>
      <c r="K12" s="38">
        <v>0.7168740034103394</v>
      </c>
      <c r="L12" s="38">
        <v>0.7731720209121704</v>
      </c>
      <c r="M12" s="38">
        <v>0.8484489917755127</v>
      </c>
      <c r="N12" s="80">
        <f>VLOOKUP('Hide - Control'!B$3,'All practice data'!A:CA,A12+29,FALSE)</f>
        <v>0.73711017989026</v>
      </c>
      <c r="O12" s="80">
        <f>VLOOKUP('Hide - Control'!C$3,'All practice data'!A:CA,A12+29,FALSE)</f>
        <v>0.7248631360507991</v>
      </c>
      <c r="P12" s="38">
        <f>VLOOKUP('Hide - Control'!$B$4,'All practice data'!B:BC,A12+2,FALSE)</f>
        <v>31838</v>
      </c>
      <c r="Q12" s="38">
        <f>VLOOKUP('Hide - Control'!$B$4,'All practice data'!B:BJ,57,FALSE)</f>
        <v>43193</v>
      </c>
      <c r="R12" s="38">
        <f t="shared" si="17"/>
        <v>0.7329377486878712</v>
      </c>
      <c r="S12" s="38">
        <f t="shared" si="18"/>
        <v>0.741240437524706</v>
      </c>
      <c r="T12" s="53">
        <f t="shared" si="16"/>
        <v>0.8484489917755127</v>
      </c>
      <c r="U12" s="51">
        <f t="shared" si="1"/>
        <v>0.5642459988594055</v>
      </c>
      <c r="V12" s="7"/>
      <c r="W12" s="27">
        <f t="shared" si="2"/>
        <v>0.5642459988594055</v>
      </c>
      <c r="X12" s="27">
        <f t="shared" si="3"/>
        <v>0.8695020079612732</v>
      </c>
      <c r="Y12" s="27">
        <f t="shared" si="4"/>
        <v>0.5642459988594055</v>
      </c>
      <c r="Z12" s="27">
        <f t="shared" si="5"/>
        <v>0.8695020079612732</v>
      </c>
      <c r="AA12" s="32">
        <f t="shared" si="6"/>
        <v>0</v>
      </c>
      <c r="AB12" s="33">
        <f t="shared" si="7"/>
        <v>0.3728002365003263</v>
      </c>
      <c r="AC12" s="33">
        <v>0.5</v>
      </c>
      <c r="AD12" s="33">
        <f t="shared" si="8"/>
        <v>0.6844288591319547</v>
      </c>
      <c r="AE12" s="33">
        <f t="shared" si="9"/>
        <v>0.9310316077062554</v>
      </c>
      <c r="AF12" s="33">
        <f t="shared" si="10"/>
        <v>-999</v>
      </c>
      <c r="AG12" s="33">
        <f t="shared" si="11"/>
        <v>-999</v>
      </c>
      <c r="AH12" s="33">
        <f t="shared" si="12"/>
        <v>0.26381135420571084</v>
      </c>
      <c r="AI12" s="34">
        <f t="shared" si="13"/>
        <v>0.5261719094866162</v>
      </c>
      <c r="AJ12" s="4">
        <v>8.082028419348523</v>
      </c>
      <c r="AK12" s="32">
        <f t="shared" si="14"/>
        <v>0.26381135420571084</v>
      </c>
      <c r="AL12" s="34">
        <f t="shared" si="15"/>
        <v>-999</v>
      </c>
      <c r="AY12" s="103" t="s">
        <v>261</v>
      </c>
      <c r="AZ12" s="103" t="s">
        <v>460</v>
      </c>
      <c r="BA12" s="103" t="s">
        <v>343</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v>
      </c>
      <c r="K13" s="38">
        <v>0.6770834922790527</v>
      </c>
      <c r="L13" s="38">
        <v>0.7781117558479309</v>
      </c>
      <c r="M13" s="38">
        <v>1</v>
      </c>
      <c r="N13" s="80">
        <f>VLOOKUP('Hide - Control'!B$3,'All practice data'!A:CA,A13+29,FALSE)</f>
        <v>0.7395334223548817</v>
      </c>
      <c r="O13" s="80">
        <f>VLOOKUP('Hide - Control'!C$3,'All practice data'!A:CA,A13+29,FALSE)</f>
        <v>0.7467412166569077</v>
      </c>
      <c r="P13" s="38">
        <f>VLOOKUP('Hide - Control'!$B$4,'All practice data'!B:BC,A13+2,FALSE)</f>
        <v>9415</v>
      </c>
      <c r="Q13" s="38">
        <f>VLOOKUP('Hide - Control'!$B$4,'All practice data'!B:BJ,58,FALSE)</f>
        <v>12731</v>
      </c>
      <c r="R13" s="38">
        <f t="shared" si="17"/>
        <v>0.731838027757661</v>
      </c>
      <c r="S13" s="38">
        <f t="shared" si="18"/>
        <v>0.7470843013587058</v>
      </c>
      <c r="T13" s="53">
        <f t="shared" si="16"/>
        <v>1</v>
      </c>
      <c r="U13" s="51">
        <f t="shared" si="1"/>
        <v>0</v>
      </c>
      <c r="V13" s="7"/>
      <c r="W13" s="27">
        <f t="shared" si="2"/>
        <v>0</v>
      </c>
      <c r="X13" s="27">
        <f t="shared" si="3"/>
        <v>1.3541669845581055</v>
      </c>
      <c r="Y13" s="27">
        <f t="shared" si="4"/>
        <v>0</v>
      </c>
      <c r="Z13" s="27">
        <f t="shared" si="5"/>
        <v>1.3541669845581055</v>
      </c>
      <c r="AA13" s="32">
        <f t="shared" si="6"/>
        <v>0</v>
      </c>
      <c r="AB13" s="33">
        <f t="shared" si="7"/>
        <v>0.3692306825536446</v>
      </c>
      <c r="AC13" s="33">
        <v>0.5</v>
      </c>
      <c r="AD13" s="33">
        <f t="shared" si="8"/>
        <v>0.5746054694294928</v>
      </c>
      <c r="AE13" s="33">
        <f t="shared" si="9"/>
        <v>0.7384613651072892</v>
      </c>
      <c r="AF13" s="33">
        <f t="shared" si="10"/>
        <v>-999</v>
      </c>
      <c r="AG13" s="33">
        <f t="shared" si="11"/>
        <v>-999</v>
      </c>
      <c r="AH13" s="33">
        <f t="shared" si="12"/>
        <v>-999</v>
      </c>
      <c r="AI13" s="34">
        <f t="shared" si="13"/>
        <v>0.5514395382343381</v>
      </c>
      <c r="AJ13" s="4">
        <v>9.158023844730446</v>
      </c>
      <c r="AK13" s="32">
        <f t="shared" si="14"/>
        <v>-999</v>
      </c>
      <c r="AL13" s="34">
        <f t="shared" si="15"/>
        <v>-999</v>
      </c>
      <c r="AY13" s="103" t="s">
        <v>260</v>
      </c>
      <c r="AZ13" s="103" t="s">
        <v>459</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401</v>
      </c>
      <c r="E14" s="38">
        <f>IF(LEFT(VLOOKUP($B14,'Indicator chart'!$D$1:$J$36,5,FALSE),1)=" "," ",VLOOKUP($B14,'Indicator chart'!$D$1:$J$36,5,FALSE))</f>
        <v>0.79249</v>
      </c>
      <c r="F14" s="38">
        <f>IF(LEFT(VLOOKUP($B14,'Indicator chart'!$D$1:$J$36,6,FALSE),1)=" "," ",VLOOKUP($B14,'Indicator chart'!$D$1:$J$36,6,FALSE))</f>
        <v>0.7550163344256121</v>
      </c>
      <c r="G14" s="38">
        <f>IF(LEFT(VLOOKUP($B14,'Indicator chart'!$D$1:$J$36,7,FALSE),1)=" "," ",VLOOKUP($B14,'Indicator chart'!$D$1:$J$36,7,FALSE))</f>
        <v>0.8255561414178655</v>
      </c>
      <c r="H14" s="50">
        <f t="shared" si="0"/>
        <v>3</v>
      </c>
      <c r="I14" s="38">
        <v>0.5633329749107361</v>
      </c>
      <c r="J14" s="38">
        <v>0.7212880253791809</v>
      </c>
      <c r="K14" s="38">
        <v>0.7448225021362305</v>
      </c>
      <c r="L14" s="38">
        <v>0.7700384855270386</v>
      </c>
      <c r="M14" s="38">
        <v>0.8182989954948425</v>
      </c>
      <c r="N14" s="80">
        <f>VLOOKUP('Hide - Control'!B$3,'All practice data'!A:CA,A14+29,FALSE)</f>
        <v>0.746144736021941</v>
      </c>
      <c r="O14" s="80">
        <f>VLOOKUP('Hide - Control'!C$3,'All practice data'!A:CA,A14+29,FALSE)</f>
        <v>0.7559681673907895</v>
      </c>
      <c r="P14" s="38">
        <f>VLOOKUP('Hide - Control'!$B$4,'All practice data'!B:BC,A14+2,FALSE)</f>
        <v>59852</v>
      </c>
      <c r="Q14" s="38">
        <f>VLOOKUP('Hide - Control'!$B$4,'All practice data'!B:BJ,59,FALSE)</f>
        <v>80215</v>
      </c>
      <c r="R14" s="38">
        <f t="shared" si="17"/>
        <v>0.7431211504637892</v>
      </c>
      <c r="S14" s="38">
        <f t="shared" si="18"/>
        <v>0.7491447463302128</v>
      </c>
      <c r="T14" s="53">
        <f t="shared" si="16"/>
        <v>0.8182989954948425</v>
      </c>
      <c r="U14" s="51">
        <f t="shared" si="1"/>
        <v>0.5633329749107361</v>
      </c>
      <c r="V14" s="7"/>
      <c r="W14" s="27">
        <f t="shared" si="2"/>
        <v>0.5633329749107361</v>
      </c>
      <c r="X14" s="27">
        <f t="shared" si="3"/>
        <v>0.9263120293617249</v>
      </c>
      <c r="Y14" s="27">
        <f t="shared" si="4"/>
        <v>0.5633329749107361</v>
      </c>
      <c r="Z14" s="27">
        <f t="shared" si="5"/>
        <v>0.9263120293617249</v>
      </c>
      <c r="AA14" s="32">
        <f t="shared" si="6"/>
        <v>0</v>
      </c>
      <c r="AB14" s="33">
        <f t="shared" si="7"/>
        <v>0.4351629895211287</v>
      </c>
      <c r="AC14" s="33">
        <v>0.5</v>
      </c>
      <c r="AD14" s="33">
        <f t="shared" si="8"/>
        <v>0.569469527460607</v>
      </c>
      <c r="AE14" s="33">
        <f t="shared" si="9"/>
        <v>0.7024262625008663</v>
      </c>
      <c r="AF14" s="33">
        <f t="shared" si="10"/>
        <v>-999</v>
      </c>
      <c r="AG14" s="33">
        <f t="shared" si="11"/>
        <v>-999</v>
      </c>
      <c r="AH14" s="33">
        <f t="shared" si="12"/>
        <v>0.6313229986117721</v>
      </c>
      <c r="AI14" s="34">
        <f t="shared" si="13"/>
        <v>0.530706083775046</v>
      </c>
      <c r="AJ14" s="4">
        <v>10.234019270112368</v>
      </c>
      <c r="AK14" s="32">
        <f t="shared" si="14"/>
        <v>-999</v>
      </c>
      <c r="AL14" s="34">
        <f t="shared" si="15"/>
        <v>0.6313229986117721</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142</v>
      </c>
      <c r="E15" s="38">
        <f>IF(LEFT(VLOOKUP($B15,'Indicator chart'!$D$1:$J$36,5,FALSE),1)=" "," ",VLOOKUP($B15,'Indicator chart'!$D$1:$J$36,5,FALSE))</f>
        <v>0.459547</v>
      </c>
      <c r="F15" s="38">
        <f>IF(LEFT(VLOOKUP($B15,'Indicator chart'!$D$1:$J$36,6,FALSE),1)=" "," ",VLOOKUP($B15,'Indicator chart'!$D$1:$J$36,6,FALSE))</f>
        <v>0.4048161853372062</v>
      </c>
      <c r="G15" s="38">
        <f>IF(LEFT(VLOOKUP($B15,'Indicator chart'!$D$1:$J$36,7,FALSE),1)=" "," ",VLOOKUP($B15,'Indicator chart'!$D$1:$J$36,7,FALSE))</f>
        <v>0.5152711687742674</v>
      </c>
      <c r="H15" s="50">
        <f t="shared" si="0"/>
        <v>1</v>
      </c>
      <c r="I15" s="38">
        <v>0.3400000035762787</v>
      </c>
      <c r="J15" s="38">
        <v>0.46488699316978455</v>
      </c>
      <c r="K15" s="38">
        <v>0.5097334980964661</v>
      </c>
      <c r="L15" s="38">
        <v>0.5723174810409546</v>
      </c>
      <c r="M15" s="38">
        <v>0.6849560141563416</v>
      </c>
      <c r="N15" s="80">
        <f>VLOOKUP('Hide - Control'!B$3,'All practice data'!A:CA,A15+29,FALSE)</f>
        <v>0.5302299176837922</v>
      </c>
      <c r="O15" s="80">
        <f>VLOOKUP('Hide - Control'!C$3,'All practice data'!A:CA,A15+29,FALSE)</f>
        <v>0.5147293797466616</v>
      </c>
      <c r="P15" s="38">
        <f>VLOOKUP('Hide - Control'!$B$4,'All practice data'!B:BC,A15+2,FALSE)</f>
        <v>20548</v>
      </c>
      <c r="Q15" s="38">
        <f>VLOOKUP('Hide - Control'!$B$4,'All practice data'!B:BJ,60,FALSE)</f>
        <v>38753</v>
      </c>
      <c r="R15" s="38">
        <f t="shared" si="17"/>
        <v>0.5252580613609674</v>
      </c>
      <c r="S15" s="38">
        <f t="shared" si="18"/>
        <v>0.5351957811936333</v>
      </c>
      <c r="T15" s="53">
        <f t="shared" si="16"/>
        <v>0.6849560141563416</v>
      </c>
      <c r="U15" s="51">
        <f t="shared" si="1"/>
        <v>0.3400000035762787</v>
      </c>
      <c r="V15" s="7"/>
      <c r="W15" s="27">
        <f t="shared" si="2"/>
        <v>0.3345109820365906</v>
      </c>
      <c r="X15" s="27">
        <f t="shared" si="3"/>
        <v>0.6849560141563416</v>
      </c>
      <c r="Y15" s="27">
        <f t="shared" si="4"/>
        <v>0.3345109820365906</v>
      </c>
      <c r="Z15" s="27">
        <f t="shared" si="5"/>
        <v>0.6849560141563416</v>
      </c>
      <c r="AA15" s="32">
        <f t="shared" si="6"/>
        <v>0.01566300285807005</v>
      </c>
      <c r="AB15" s="33">
        <f t="shared" si="7"/>
        <v>0.37202984543562606</v>
      </c>
      <c r="AC15" s="33">
        <v>0.5</v>
      </c>
      <c r="AD15" s="33">
        <f t="shared" si="8"/>
        <v>0.6785843062631942</v>
      </c>
      <c r="AE15" s="33">
        <f t="shared" si="9"/>
        <v>1</v>
      </c>
      <c r="AF15" s="33">
        <f t="shared" si="10"/>
        <v>-999</v>
      </c>
      <c r="AG15" s="33">
        <f t="shared" si="11"/>
        <v>-999</v>
      </c>
      <c r="AH15" s="33">
        <f t="shared" si="12"/>
        <v>0.35679209720023425</v>
      </c>
      <c r="AI15" s="34">
        <f t="shared" si="13"/>
        <v>0.5142558210055845</v>
      </c>
      <c r="AJ15" s="4">
        <v>11.310014695494289</v>
      </c>
      <c r="AK15" s="32">
        <f t="shared" si="14"/>
        <v>0.35679209720023425</v>
      </c>
      <c r="AL15" s="34">
        <f t="shared" si="15"/>
        <v>-999</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v>
      </c>
      <c r="E16" s="38">
        <f>IF(LEFT(VLOOKUP($B16,'Indicator chart'!$D$1:$J$36,5,FALSE),1)=" "," ",VLOOKUP($B16,'Indicator chart'!$D$1:$J$36,5,FALSE))</f>
        <v>0.525424</v>
      </c>
      <c r="F16" s="38">
        <f>IF(LEFT(VLOOKUP($B16,'Indicator chart'!$D$1:$J$36,6,FALSE),1)=" "," ",VLOOKUP($B16,'Indicator chart'!$D$1:$J$36,6,FALSE))</f>
        <v>0.452101198701844</v>
      </c>
      <c r="G16" s="38">
        <f>IF(LEFT(VLOOKUP($B16,'Indicator chart'!$D$1:$J$36,7,FALSE),1)=" "," ",VLOOKUP($B16,'Indicator chart'!$D$1:$J$36,7,FALSE))</f>
        <v>0.5976661114745756</v>
      </c>
      <c r="H16" s="50">
        <f t="shared" si="0"/>
        <v>2</v>
      </c>
      <c r="I16" s="38">
        <v>0.31506800651550293</v>
      </c>
      <c r="J16" s="38">
        <v>0.47460874915122986</v>
      </c>
      <c r="K16" s="38">
        <v>0.5389094948768616</v>
      </c>
      <c r="L16" s="38">
        <v>0.5905642509460449</v>
      </c>
      <c r="M16" s="38">
        <v>0.7343279719352722</v>
      </c>
      <c r="N16" s="80">
        <f>VLOOKUP('Hide - Control'!B$3,'All practice data'!A:CA,A16+29,FALSE)</f>
        <v>0.5604938271604938</v>
      </c>
      <c r="O16" s="80">
        <f>VLOOKUP('Hide - Control'!C$3,'All practice data'!A:CA,A16+29,FALSE)</f>
        <v>0.5752927626212945</v>
      </c>
      <c r="P16" s="38">
        <f>VLOOKUP('Hide - Control'!$B$4,'All practice data'!B:BC,A16+2,FALSE)</f>
        <v>12031</v>
      </c>
      <c r="Q16" s="38">
        <f>VLOOKUP('Hide - Control'!$B$4,'All practice data'!B:BJ,61,FALSE)</f>
        <v>21465</v>
      </c>
      <c r="R16" s="38">
        <f t="shared" si="17"/>
        <v>0.5538437337345724</v>
      </c>
      <c r="S16" s="38">
        <f t="shared" si="18"/>
        <v>0.5671222712500654</v>
      </c>
      <c r="T16" s="53">
        <f aca="true" t="shared" si="19" ref="T16:T31">IF($C16=1,M16,I16)</f>
        <v>0.7343279719352722</v>
      </c>
      <c r="U16" s="51">
        <f aca="true" t="shared" si="20" ref="U16:U31">IF($C16=1,I16,M16)</f>
        <v>0.31506800651550293</v>
      </c>
      <c r="V16" s="7"/>
      <c r="W16" s="27">
        <f t="shared" si="2"/>
        <v>0.31506800651550293</v>
      </c>
      <c r="X16" s="27">
        <f t="shared" si="3"/>
        <v>0.7627509832382202</v>
      </c>
      <c r="Y16" s="27">
        <f t="shared" si="4"/>
        <v>0.31506800651550293</v>
      </c>
      <c r="Z16" s="27">
        <f t="shared" si="5"/>
        <v>0.7627509832382202</v>
      </c>
      <c r="AA16" s="32">
        <f t="shared" si="6"/>
        <v>0</v>
      </c>
      <c r="AB16" s="33">
        <f t="shared" si="7"/>
        <v>0.35636991114482813</v>
      </c>
      <c r="AC16" s="33">
        <v>0.5</v>
      </c>
      <c r="AD16" s="33">
        <f t="shared" si="8"/>
        <v>0.6153824441736075</v>
      </c>
      <c r="AE16" s="33">
        <f t="shared" si="9"/>
        <v>0.9365108508011185</v>
      </c>
      <c r="AF16" s="33">
        <f t="shared" si="10"/>
        <v>-999</v>
      </c>
      <c r="AG16" s="33">
        <f t="shared" si="11"/>
        <v>0.46987713275232684</v>
      </c>
      <c r="AH16" s="33">
        <f t="shared" si="12"/>
        <v>-999</v>
      </c>
      <c r="AI16" s="34">
        <f t="shared" si="13"/>
        <v>0.5812701613333127</v>
      </c>
      <c r="AJ16" s="4">
        <v>12.386010120876215</v>
      </c>
      <c r="AK16" s="32">
        <f t="shared" si="14"/>
        <v>-999</v>
      </c>
      <c r="AL16" s="34">
        <f t="shared" si="15"/>
        <v>-999</v>
      </c>
      <c r="AY16" s="103" t="s">
        <v>341</v>
      </c>
      <c r="AZ16" s="103" t="s">
        <v>362</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57</v>
      </c>
      <c r="E17" s="38">
        <f>IF(LEFT(VLOOKUP($B17,'Indicator chart'!$D$1:$J$36,5,FALSE),1)=" "," ",VLOOKUP($B17,'Indicator chart'!$D$1:$J$36,5,FALSE))</f>
        <v>1972.318339100346</v>
      </c>
      <c r="F17" s="38">
        <f>IF(LEFT(VLOOKUP($B17,'Indicator chart'!$D$1:$J$36,6,FALSE),1)=" "," ",VLOOKUP($B17,'Indicator chart'!$D$1:$J$36,6,FALSE))</f>
        <v>1493.7153891096693</v>
      </c>
      <c r="G17" s="38">
        <f>IF(LEFT(VLOOKUP($B17,'Indicator chart'!$D$1:$J$36,7,FALSE),1)=" "," ",VLOOKUP($B17,'Indicator chart'!$D$1:$J$36,7,FALSE))</f>
        <v>2555.4249655207286</v>
      </c>
      <c r="H17" s="50">
        <f t="shared" si="0"/>
        <v>2</v>
      </c>
      <c r="I17" s="38">
        <v>835.6546020507812</v>
      </c>
      <c r="J17" s="38">
        <v>1313.89453125</v>
      </c>
      <c r="K17" s="38">
        <v>1703.9844970703125</v>
      </c>
      <c r="L17" s="38">
        <v>2149.318603515625</v>
      </c>
      <c r="M17" s="38">
        <v>3332.078369140625</v>
      </c>
      <c r="N17" s="80">
        <f>VLOOKUP('Hide - Control'!B$3,'All practice data'!A:CA,A17+29,FALSE)</f>
        <v>1855.0407013149656</v>
      </c>
      <c r="O17" s="80">
        <f>VLOOKUP('Hide - Control'!C$3,'All practice data'!A:CA,A17+29,FALSE)</f>
        <v>1812.1669120472948</v>
      </c>
      <c r="P17" s="38">
        <f>VLOOKUP('Hide - Control'!$B$4,'All practice data'!B:BC,A17+2,FALSE)</f>
        <v>6162</v>
      </c>
      <c r="Q17" s="38">
        <f>VLOOKUP('Hide - Control'!$B$4,'All practice data'!B:BC,3,FALSE)</f>
        <v>332176</v>
      </c>
      <c r="R17" s="38">
        <f>100000*(P17*(1-1/(9*P17)-1.96/(3*SQRT(P17)))^3)/Q17</f>
        <v>1809.0085677274196</v>
      </c>
      <c r="S17" s="38">
        <f>100000*((P17+1)*(1-1/(9*(P17+1))+1.96/(3*SQRT(P17+1)))^3)/Q17</f>
        <v>1901.9479281749504</v>
      </c>
      <c r="T17" s="53">
        <f t="shared" si="19"/>
        <v>3332.078369140625</v>
      </c>
      <c r="U17" s="51">
        <f t="shared" si="20"/>
        <v>835.6546020507812</v>
      </c>
      <c r="V17" s="7"/>
      <c r="W17" s="27">
        <f t="shared" si="2"/>
        <v>75.890625</v>
      </c>
      <c r="X17" s="27">
        <f t="shared" si="3"/>
        <v>3332.078369140625</v>
      </c>
      <c r="Y17" s="27">
        <f t="shared" si="4"/>
        <v>75.890625</v>
      </c>
      <c r="Z17" s="27">
        <f t="shared" si="5"/>
        <v>3332.078369140625</v>
      </c>
      <c r="AA17" s="32">
        <f t="shared" si="6"/>
        <v>0.23332929079963066</v>
      </c>
      <c r="AB17" s="33">
        <f t="shared" si="7"/>
        <v>0.38020040720248294</v>
      </c>
      <c r="AC17" s="33">
        <v>0.5</v>
      </c>
      <c r="AD17" s="33">
        <f t="shared" si="8"/>
        <v>0.6367654881837427</v>
      </c>
      <c r="AE17" s="33">
        <f t="shared" si="9"/>
        <v>1</v>
      </c>
      <c r="AF17" s="33">
        <f t="shared" si="10"/>
        <v>-999</v>
      </c>
      <c r="AG17" s="33">
        <f t="shared" si="11"/>
        <v>0.5824073619565976</v>
      </c>
      <c r="AH17" s="33">
        <f t="shared" si="12"/>
        <v>-999</v>
      </c>
      <c r="AI17" s="34">
        <f t="shared" si="13"/>
        <v>0.5332236417177272</v>
      </c>
      <c r="AJ17" s="4">
        <v>13.462005546258133</v>
      </c>
      <c r="AK17" s="32">
        <f t="shared" si="14"/>
        <v>-999</v>
      </c>
      <c r="AL17" s="34">
        <f t="shared" si="15"/>
        <v>-999</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57</v>
      </c>
      <c r="E18" s="80">
        <f>IF(LEFT(VLOOKUP($B18,'Indicator chart'!$D$1:$J$36,5,FALSE),1)=" "," ",VLOOKUP($B18,'Indicator chart'!$D$1:$J$36,5,FALSE))</f>
        <v>1.073888016</v>
      </c>
      <c r="F18" s="81">
        <f>IF(LEFT(VLOOKUP($B18,'Indicator chart'!$D$1:$J$36,6,FALSE),1)=" "," ",VLOOKUP($B18,'Indicator chart'!$D$1:$J$36,6,FALSE))</f>
        <v>0.8133522797</v>
      </c>
      <c r="G18" s="38">
        <f>IF(LEFT(VLOOKUP($B18,'Indicator chart'!$D$1:$J$36,7,FALSE),1)=" "," ",VLOOKUP($B18,'Indicator chart'!$D$1:$J$36,7,FALSE))</f>
        <v>1.391346436</v>
      </c>
      <c r="H18" s="50">
        <f>IF(LEFT(F18,1)=" ",4,IF(AND(ABS(N18-E18)&gt;SQRT((E18-G18)^2+(N18-R18)^2),E18&lt;N18),1,IF(AND(ABS(N18-E18)&gt;SQRT((E18-F18)^2+(N18-S18)^2),E18&gt;N18),3,2)))</f>
        <v>2</v>
      </c>
      <c r="I18" s="38">
        <v>0.48872753977775574</v>
      </c>
      <c r="J18" s="38"/>
      <c r="K18" s="38">
        <v>1</v>
      </c>
      <c r="L18" s="38"/>
      <c r="M18" s="38">
        <v>1.6159765720367432</v>
      </c>
      <c r="N18" s="80">
        <v>1</v>
      </c>
      <c r="O18" s="80">
        <f>VLOOKUP('Hide - Control'!C$3,'All practice data'!A:CA,A18+29,FALSE)</f>
        <v>1</v>
      </c>
      <c r="P18" s="38">
        <f>VLOOKUP('Hide - Control'!$B$4,'All practice data'!B:BC,A18+2,FALSE)</f>
        <v>6162</v>
      </c>
      <c r="Q18" s="38">
        <f>VLOOKUP('Hide - Control'!$B$4,'All practice data'!B:BC,14,FALSE)</f>
        <v>6162</v>
      </c>
      <c r="R18" s="81">
        <v>1</v>
      </c>
      <c r="S18" s="38">
        <v>1</v>
      </c>
      <c r="T18" s="53">
        <f t="shared" si="19"/>
        <v>1.6159765720367432</v>
      </c>
      <c r="U18" s="51">
        <f t="shared" si="20"/>
        <v>0.48872753977775574</v>
      </c>
      <c r="V18" s="7"/>
      <c r="W18" s="27">
        <f>IF((K18-I18)&gt;(M18-K18),I18,(K18-(M18-K18)))</f>
        <v>0.38402342796325684</v>
      </c>
      <c r="X18" s="27">
        <f t="shared" si="3"/>
        <v>1.6159765720367432</v>
      </c>
      <c r="Y18" s="27">
        <f t="shared" si="4"/>
        <v>0.38402342796325684</v>
      </c>
      <c r="Z18" s="27">
        <f t="shared" si="5"/>
        <v>1.6159765720367432</v>
      </c>
      <c r="AA18" s="32" t="s">
        <v>343</v>
      </c>
      <c r="AB18" s="33" t="s">
        <v>343</v>
      </c>
      <c r="AC18" s="33">
        <v>0.5</v>
      </c>
      <c r="AD18" s="33" t="s">
        <v>343</v>
      </c>
      <c r="AE18" s="33" t="s">
        <v>343</v>
      </c>
      <c r="AF18" s="33">
        <f t="shared" si="10"/>
        <v>-999</v>
      </c>
      <c r="AG18" s="33">
        <f t="shared" si="11"/>
        <v>0.5599763200049047</v>
      </c>
      <c r="AH18" s="33">
        <f t="shared" si="12"/>
        <v>-999</v>
      </c>
      <c r="AI18" s="34">
        <v>0.5</v>
      </c>
      <c r="AJ18" s="4">
        <v>14.538000971640056</v>
      </c>
      <c r="AK18" s="32">
        <f t="shared" si="14"/>
        <v>-999</v>
      </c>
      <c r="AL18" s="34">
        <f t="shared" si="15"/>
        <v>-999</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0.14035087719298245</v>
      </c>
      <c r="F19" s="38">
        <f>IF(LEFT(VLOOKUP($B19,'Indicator chart'!$D$1:$J$36,6,FALSE),1)=" "," ",VLOOKUP($B19,'Indicator chart'!$D$1:$J$36,6,FALSE))</f>
        <v>0.07287189227128285</v>
      </c>
      <c r="G19" s="38">
        <f>IF(LEFT(VLOOKUP($B19,'Indicator chart'!$D$1:$J$36,7,FALSE),1)=" "," ",VLOOKUP($B19,'Indicator chart'!$D$1:$J$36,7,FALSE))</f>
        <v>0.25324707895892806</v>
      </c>
      <c r="H19" s="50">
        <f t="shared" si="0"/>
        <v>2</v>
      </c>
      <c r="I19" s="38">
        <v>0.02070442959666252</v>
      </c>
      <c r="J19" s="38">
        <v>0.11490725725889206</v>
      </c>
      <c r="K19" s="38">
        <v>0.1428571492433548</v>
      </c>
      <c r="L19" s="38">
        <v>0.1845823973417282</v>
      </c>
      <c r="M19" s="38">
        <v>0.3636363744735718</v>
      </c>
      <c r="N19" s="80">
        <f>VLOOKUP('Hide - Control'!B$3,'All practice data'!A:CA,A19+29,FALSE)</f>
        <v>0.14151249594287568</v>
      </c>
      <c r="O19" s="80">
        <f>VLOOKUP('Hide - Control'!C$3,'All practice data'!A:CA,A19+29,FALSE)</f>
        <v>0.10919341638628717</v>
      </c>
      <c r="P19" s="38">
        <f>VLOOKUP('Hide - Control'!$B$4,'All practice data'!B:BC,A19+2,FALSE)</f>
        <v>872</v>
      </c>
      <c r="Q19" s="38">
        <f>VLOOKUP('Hide - Control'!$B$4,'All practice data'!B:BC,15,FALSE)</f>
        <v>6162</v>
      </c>
      <c r="R19" s="38">
        <f>+((2*P19+1.96^2-1.96*SQRT(1.96^2+4*P19*(1-P19/Q19)))/(2*(Q19+1.96^2)))</f>
        <v>0.13303288281896206</v>
      </c>
      <c r="S19" s="38">
        <f>+((2*P19+1.96^2+1.96*SQRT(1.96^2+4*P19*(1-P19/Q19)))/(2*(Q19+1.96^2)))</f>
        <v>0.15043881713518534</v>
      </c>
      <c r="T19" s="53">
        <f t="shared" si="19"/>
        <v>0.3636363744735718</v>
      </c>
      <c r="U19" s="51">
        <f t="shared" si="20"/>
        <v>0.02070442959666252</v>
      </c>
      <c r="V19" s="7"/>
      <c r="W19" s="27">
        <f t="shared" si="2"/>
        <v>-0.07792207598686218</v>
      </c>
      <c r="X19" s="27">
        <f t="shared" si="3"/>
        <v>0.3636363744735718</v>
      </c>
      <c r="Y19" s="27">
        <f t="shared" si="4"/>
        <v>-0.07792207598686218</v>
      </c>
      <c r="Z19" s="27">
        <f t="shared" si="5"/>
        <v>0.3636363744735718</v>
      </c>
      <c r="AA19" s="32">
        <f t="shared" si="6"/>
        <v>0.2233600228478974</v>
      </c>
      <c r="AB19" s="33">
        <f t="shared" si="7"/>
        <v>0.4367017164877763</v>
      </c>
      <c r="AC19" s="33">
        <v>0.5</v>
      </c>
      <c r="AD19" s="33">
        <f t="shared" si="8"/>
        <v>0.5944954129059573</v>
      </c>
      <c r="AE19" s="33">
        <f t="shared" si="9"/>
        <v>1</v>
      </c>
      <c r="AF19" s="33">
        <f t="shared" si="10"/>
        <v>-999</v>
      </c>
      <c r="AG19" s="33">
        <f t="shared" si="11"/>
        <v>0.4943240310591748</v>
      </c>
      <c r="AH19" s="33">
        <f t="shared" si="12"/>
        <v>-999</v>
      </c>
      <c r="AI19" s="34">
        <f t="shared" si="13"/>
        <v>0.4237615477136382</v>
      </c>
      <c r="AJ19" s="4">
        <v>15.61399639702198</v>
      </c>
      <c r="AK19" s="32">
        <f t="shared" si="14"/>
        <v>-999</v>
      </c>
      <c r="AL19" s="34">
        <f t="shared" si="15"/>
        <v>-999</v>
      </c>
      <c r="AY19" s="103" t="s">
        <v>270</v>
      </c>
      <c r="AZ19" s="103" t="s">
        <v>463</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f>IF(LEFT(VLOOKUP($B20,'Indicator chart'!$D$1:$J$36,5,FALSE),1)=" "," ",VLOOKUP($B20,'Indicator chart'!$D$1:$J$36,5,FALSE))</f>
        <v>0.6666666666666666</v>
      </c>
      <c r="F20" s="38">
        <f>IF(LEFT(VLOOKUP($B20,'Indicator chart'!$D$1:$J$36,6,FALSE),1)=" "," ",VLOOKUP($B20,'Indicator chart'!$D$1:$J$36,6,FALSE))</f>
        <v>0.3906175873976138</v>
      </c>
      <c r="G20" s="38">
        <f>IF(LEFT(VLOOKUP($B20,'Indicator chart'!$D$1:$J$36,7,FALSE),1)=" "," ",VLOOKUP($B20,'Indicator chart'!$D$1:$J$36,7,FALSE))</f>
        <v>0.8618821601026386</v>
      </c>
      <c r="H20" s="50">
        <f t="shared" si="0"/>
        <v>2</v>
      </c>
      <c r="I20" s="38">
        <v>0.09238772839307785</v>
      </c>
      <c r="J20" s="38">
        <v>0.48881614208221436</v>
      </c>
      <c r="K20" s="38">
        <v>0.5383522510528564</v>
      </c>
      <c r="L20" s="38">
        <v>0.6086956262588501</v>
      </c>
      <c r="M20" s="38">
        <v>1</v>
      </c>
      <c r="N20" s="80">
        <f>VLOOKUP('Hide - Control'!B$3,'All practice data'!A:CA,A20+29,FALSE)</f>
        <v>0.5352977286678944</v>
      </c>
      <c r="O20" s="80">
        <f>VLOOKUP('Hide - Control'!C$3,'All practice data'!A:CA,A20+29,FALSE)</f>
        <v>0.4534552930810221</v>
      </c>
      <c r="P20" s="38">
        <f>VLOOKUP('Hide - Control'!$B$4,'All practice data'!B:BC,A20+1,FALSE)</f>
        <v>872</v>
      </c>
      <c r="Q20" s="38">
        <f>VLOOKUP('Hide - Control'!$B$4,'All practice data'!B:BC,A20+2,FALSE)</f>
        <v>1629</v>
      </c>
      <c r="R20" s="38">
        <f>+((2*P20+1.96^2-1.96*SQRT(1.96^2+4*P20*(1-P20/Q20)))/(2*(Q20+1.96^2)))</f>
        <v>0.5110226875256709</v>
      </c>
      <c r="S20" s="38">
        <f>+((2*P20+1.96^2+1.96*SQRT(1.96^2+4*P20*(1-P20/Q20)))/(2*(Q20+1.96^2)))</f>
        <v>0.559406679291049</v>
      </c>
      <c r="T20" s="53">
        <f t="shared" si="19"/>
        <v>1</v>
      </c>
      <c r="U20" s="51">
        <f t="shared" si="20"/>
        <v>0.09238772839307785</v>
      </c>
      <c r="V20" s="7"/>
      <c r="W20" s="27">
        <f t="shared" si="2"/>
        <v>0.07670450210571289</v>
      </c>
      <c r="X20" s="27">
        <f t="shared" si="3"/>
        <v>1</v>
      </c>
      <c r="Y20" s="27">
        <f t="shared" si="4"/>
        <v>0.07670450210571289</v>
      </c>
      <c r="Z20" s="27">
        <f t="shared" si="5"/>
        <v>1</v>
      </c>
      <c r="AA20" s="32">
        <f t="shared" si="6"/>
        <v>0.016986139673737057</v>
      </c>
      <c r="AB20" s="33">
        <f t="shared" si="7"/>
        <v>0.4463485860338141</v>
      </c>
      <c r="AC20" s="33">
        <v>0.5</v>
      </c>
      <c r="AD20" s="33">
        <f t="shared" si="8"/>
        <v>0.576187282799951</v>
      </c>
      <c r="AE20" s="33">
        <f t="shared" si="9"/>
        <v>1</v>
      </c>
      <c r="AF20" s="33">
        <f t="shared" si="10"/>
        <v>-999</v>
      </c>
      <c r="AG20" s="33">
        <f t="shared" si="11"/>
        <v>0.6389743759245554</v>
      </c>
      <c r="AH20" s="33">
        <f t="shared" si="12"/>
        <v>-999</v>
      </c>
      <c r="AI20" s="34">
        <f t="shared" si="13"/>
        <v>0.4080500682983352</v>
      </c>
      <c r="AJ20" s="4">
        <v>16.689991822403904</v>
      </c>
      <c r="AK20" s="32">
        <f t="shared" si="14"/>
        <v>-999</v>
      </c>
      <c r="AL20" s="34">
        <f t="shared" si="15"/>
        <v>-999</v>
      </c>
      <c r="AY20" s="103" t="s">
        <v>211</v>
      </c>
      <c r="AZ20" s="103" t="s">
        <v>444</v>
      </c>
      <c r="BA20" s="103" t="s">
        <v>343</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185.6183624267578</v>
      </c>
      <c r="K21" s="38">
        <v>291.6255187988281</v>
      </c>
      <c r="L21" s="38">
        <v>355.5985412597656</v>
      </c>
      <c r="M21" s="38">
        <v>789.1458129882812</v>
      </c>
      <c r="N21" s="80">
        <f>VLOOKUP('Hide - Control'!B$3,'All practice data'!A:CA,A21+29,FALSE)</f>
        <v>304.95881701266796</v>
      </c>
      <c r="O21" s="80">
        <f>VLOOKUP('Hide - Control'!C$3,'All practice data'!A:CA,A21+29,FALSE)</f>
        <v>377.7293140102421</v>
      </c>
      <c r="P21" s="38">
        <f>VLOOKUP('Hide - Control'!$B$4,'All practice data'!B:BC,A21+2,FALSE)</f>
        <v>1013</v>
      </c>
      <c r="Q21" s="38">
        <f>VLOOKUP('Hide - Control'!$B$4,'All practice data'!B:BC,3,FALSE)</f>
        <v>332176</v>
      </c>
      <c r="R21" s="38">
        <f aca="true" t="shared" si="21" ref="R21:R27">100000*(P21*(1-1/(9*P21)-1.96/(3*SQRT(P21)))^3)/Q21</f>
        <v>286.4655492338479</v>
      </c>
      <c r="S21" s="38">
        <f aca="true" t="shared" si="22" ref="S21:S27">100000*((P21+1)*(1-1/(9*(P21+1))+1.96/(3*SQRT(P21+1)))^3)/Q21</f>
        <v>324.3326354546515</v>
      </c>
      <c r="T21" s="53">
        <f t="shared" si="19"/>
        <v>789.1458129882812</v>
      </c>
      <c r="U21" s="51">
        <f t="shared" si="20"/>
        <v>61.46357345581055</v>
      </c>
      <c r="V21" s="7"/>
      <c r="W21" s="27">
        <f t="shared" si="2"/>
        <v>-205.894775390625</v>
      </c>
      <c r="X21" s="27">
        <f t="shared" si="3"/>
        <v>789.1458129882812</v>
      </c>
      <c r="Y21" s="27">
        <f t="shared" si="4"/>
        <v>-205.894775390625</v>
      </c>
      <c r="Z21" s="27">
        <f t="shared" si="5"/>
        <v>789.1458129882812</v>
      </c>
      <c r="AA21" s="32">
        <f t="shared" si="6"/>
        <v>0.2686908976065074</v>
      </c>
      <c r="AB21" s="33">
        <f t="shared" si="7"/>
        <v>0.39346449018248153</v>
      </c>
      <c r="AC21" s="33">
        <v>0.5</v>
      </c>
      <c r="AD21" s="33">
        <f t="shared" si="8"/>
        <v>0.5642918723196615</v>
      </c>
      <c r="AE21" s="33">
        <f t="shared" si="9"/>
        <v>1</v>
      </c>
      <c r="AF21" s="33">
        <f t="shared" si="10"/>
        <v>-999</v>
      </c>
      <c r="AG21" s="33">
        <f t="shared" si="11"/>
        <v>-999</v>
      </c>
      <c r="AH21" s="33">
        <f t="shared" si="12"/>
        <v>-999</v>
      </c>
      <c r="AI21" s="34">
        <f t="shared" si="13"/>
        <v>0.5865329477179337</v>
      </c>
      <c r="AJ21" s="4">
        <v>17.765987247785823</v>
      </c>
      <c r="AK21" s="32">
        <f t="shared" si="14"/>
        <v>-999</v>
      </c>
      <c r="AL21" s="34">
        <f t="shared" si="15"/>
        <v>-999</v>
      </c>
      <c r="AY21" s="103" t="s">
        <v>123</v>
      </c>
      <c r="AZ21" s="103" t="s">
        <v>418</v>
      </c>
      <c r="BA21" s="103" t="s">
        <v>343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519.0311418685121</v>
      </c>
      <c r="F22" s="38">
        <f>IF(LEFT(VLOOKUP($B22,'Indicator chart'!$D$1:$J$36,6,FALSE),1)=" "," ",VLOOKUP($B22,'Indicator chart'!$D$1:$J$36,6,FALSE))</f>
        <v>290.2826756651014</v>
      </c>
      <c r="G22" s="38">
        <f>IF(LEFT(VLOOKUP($B22,'Indicator chart'!$D$1:$J$36,7,FALSE),1)=" "," ",VLOOKUP($B22,'Indicator chart'!$D$1:$J$36,7,FALSE))</f>
        <v>856.1184770695983</v>
      </c>
      <c r="H22" s="50">
        <f t="shared" si="0"/>
        <v>2</v>
      </c>
      <c r="I22" s="38">
        <v>18.07059669494629</v>
      </c>
      <c r="J22" s="38">
        <v>177.67576599121094</v>
      </c>
      <c r="K22" s="38">
        <v>277.9561462402344</v>
      </c>
      <c r="L22" s="38">
        <v>360.8739929199219</v>
      </c>
      <c r="M22" s="38">
        <v>696.5361328125</v>
      </c>
      <c r="N22" s="80">
        <f>VLOOKUP('Hide - Control'!B$3,'All practice data'!A:CA,A22+29,FALSE)</f>
        <v>293.51909830933</v>
      </c>
      <c r="O22" s="80">
        <f>VLOOKUP('Hide - Control'!C$3,'All practice data'!A:CA,A22+29,FALSE)</f>
        <v>282.45290788403287</v>
      </c>
      <c r="P22" s="38">
        <f>VLOOKUP('Hide - Control'!$B$4,'All practice data'!B:BC,A22+2,FALSE)</f>
        <v>975</v>
      </c>
      <c r="Q22" s="38">
        <f>VLOOKUP('Hide - Control'!$B$4,'All practice data'!B:BC,3,FALSE)</f>
        <v>332176</v>
      </c>
      <c r="R22" s="38">
        <f t="shared" si="21"/>
        <v>275.3814630724696</v>
      </c>
      <c r="S22" s="38">
        <f t="shared" si="22"/>
        <v>312.53746059045625</v>
      </c>
      <c r="T22" s="53">
        <f t="shared" si="19"/>
        <v>696.5361328125</v>
      </c>
      <c r="U22" s="51">
        <f t="shared" si="20"/>
        <v>18.07059669494629</v>
      </c>
      <c r="V22" s="7"/>
      <c r="W22" s="27">
        <f t="shared" si="2"/>
        <v>-140.62384033203125</v>
      </c>
      <c r="X22" s="27">
        <f t="shared" si="3"/>
        <v>696.5361328125</v>
      </c>
      <c r="Y22" s="27">
        <f t="shared" si="4"/>
        <v>-140.62384033203125</v>
      </c>
      <c r="Z22" s="27">
        <f t="shared" si="5"/>
        <v>696.5361328125</v>
      </c>
      <c r="AA22" s="32">
        <f t="shared" si="6"/>
        <v>0.18956285789786534</v>
      </c>
      <c r="AB22" s="33">
        <f t="shared" si="7"/>
        <v>0.3802135989942862</v>
      </c>
      <c r="AC22" s="33">
        <v>0.5</v>
      </c>
      <c r="AD22" s="33">
        <f t="shared" si="8"/>
        <v>0.5990465972330621</v>
      </c>
      <c r="AE22" s="33">
        <f t="shared" si="9"/>
        <v>1</v>
      </c>
      <c r="AF22" s="33">
        <f t="shared" si="10"/>
        <v>-999</v>
      </c>
      <c r="AG22" s="33">
        <f t="shared" si="11"/>
        <v>0.7879676565552394</v>
      </c>
      <c r="AH22" s="33">
        <f t="shared" si="12"/>
        <v>-999</v>
      </c>
      <c r="AI22" s="34">
        <f t="shared" si="13"/>
        <v>0.5053714484543591</v>
      </c>
      <c r="AJ22" s="4">
        <v>18.841982673167745</v>
      </c>
      <c r="AK22" s="32">
        <f t="shared" si="14"/>
        <v>-999</v>
      </c>
      <c r="AL22" s="34">
        <f t="shared" si="15"/>
        <v>-999</v>
      </c>
      <c r="AY22" s="103" t="s">
        <v>149</v>
      </c>
      <c r="AZ22" s="103" t="s">
        <v>428</v>
      </c>
      <c r="BA22" s="103" t="s">
        <v>343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84.8568115234375</v>
      </c>
      <c r="K23" s="38">
        <v>115.96554565429688</v>
      </c>
      <c r="L23" s="38">
        <v>147.60794067382812</v>
      </c>
      <c r="M23" s="38">
        <v>425.9202880859375</v>
      </c>
      <c r="N23" s="80">
        <f>VLOOKUP('Hide - Control'!B$3,'All practice data'!A:CA,A23+29,FALSE)</f>
        <v>124.63272482057704</v>
      </c>
      <c r="O23" s="80">
        <f>VLOOKUP('Hide - Control'!C$3,'All practice data'!A:CA,A23+29,FALSE)</f>
        <v>70.46674929228394</v>
      </c>
      <c r="P23" s="38">
        <f>VLOOKUP('Hide - Control'!$B$4,'All practice data'!B:BC,A23+2,FALSE)</f>
        <v>414</v>
      </c>
      <c r="Q23" s="38">
        <f>VLOOKUP('Hide - Control'!$B$4,'All practice data'!B:BC,3,FALSE)</f>
        <v>332176</v>
      </c>
      <c r="R23" s="38">
        <f t="shared" si="21"/>
        <v>112.91440176178341</v>
      </c>
      <c r="S23" s="38">
        <f t="shared" si="22"/>
        <v>137.23673401112572</v>
      </c>
      <c r="T23" s="53">
        <f t="shared" si="19"/>
        <v>425.9202880859375</v>
      </c>
      <c r="U23" s="51">
        <f t="shared" si="20"/>
        <v>3.248678207397461</v>
      </c>
      <c r="V23" s="7"/>
      <c r="W23" s="27">
        <f t="shared" si="2"/>
        <v>-193.98919677734375</v>
      </c>
      <c r="X23" s="27">
        <f t="shared" si="3"/>
        <v>425.9202880859375</v>
      </c>
      <c r="Y23" s="27">
        <f t="shared" si="4"/>
        <v>-193.98919677734375</v>
      </c>
      <c r="Z23" s="27">
        <f t="shared" si="5"/>
        <v>425.9202880859375</v>
      </c>
      <c r="AA23" s="32">
        <f t="shared" si="6"/>
        <v>0.3181720554384505</v>
      </c>
      <c r="AB23" s="33">
        <f t="shared" si="7"/>
        <v>0.4498172960884438</v>
      </c>
      <c r="AC23" s="33">
        <v>0.5</v>
      </c>
      <c r="AD23" s="33">
        <f t="shared" si="8"/>
        <v>0.5510435729605103</v>
      </c>
      <c r="AE23" s="33">
        <f t="shared" si="9"/>
        <v>1</v>
      </c>
      <c r="AF23" s="33">
        <f t="shared" si="10"/>
        <v>-999</v>
      </c>
      <c r="AG23" s="33">
        <f t="shared" si="11"/>
        <v>-999</v>
      </c>
      <c r="AH23" s="33">
        <f t="shared" si="12"/>
        <v>-999</v>
      </c>
      <c r="AI23" s="34">
        <f t="shared" si="13"/>
        <v>0.4266041293560018</v>
      </c>
      <c r="AJ23" s="4">
        <v>19.917978098549675</v>
      </c>
      <c r="AK23" s="32">
        <f t="shared" si="14"/>
        <v>-999</v>
      </c>
      <c r="AL23" s="34">
        <f t="shared" si="15"/>
        <v>-999</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346.02076124567475</v>
      </c>
      <c r="F24" s="38">
        <f>IF(LEFT(VLOOKUP($B24,'Indicator chart'!$D$1:$J$36,6,FALSE),1)=" "," ",VLOOKUP($B24,'Indicator chart'!$D$1:$J$36,6,FALSE))</f>
        <v>165.65329465514193</v>
      </c>
      <c r="G24" s="38">
        <f>IF(LEFT(VLOOKUP($B24,'Indicator chart'!$D$1:$J$36,7,FALSE),1)=" "," ",VLOOKUP($B24,'Indicator chart'!$D$1:$J$36,7,FALSE))</f>
        <v>636.388473150537</v>
      </c>
      <c r="H24" s="50">
        <f t="shared" si="0"/>
        <v>2</v>
      </c>
      <c r="I24" s="38">
        <v>27.3076171875</v>
      </c>
      <c r="J24" s="38">
        <v>187.45730590820312</v>
      </c>
      <c r="K24" s="38">
        <v>303.3766174316406</v>
      </c>
      <c r="L24" s="38">
        <v>379.3622741699219</v>
      </c>
      <c r="M24" s="38">
        <v>865.9638671875</v>
      </c>
      <c r="N24" s="80">
        <f>VLOOKUP('Hide - Control'!B$3,'All practice data'!A:CA,A24+29,FALSE)</f>
        <v>309.77554067723133</v>
      </c>
      <c r="O24" s="80">
        <f>VLOOKUP('Hide - Control'!C$3,'All practice data'!A:CA,A24+29,FALSE)</f>
        <v>323.23046266988894</v>
      </c>
      <c r="P24" s="38">
        <f>VLOOKUP('Hide - Control'!$B$4,'All practice data'!B:BC,A24+2,FALSE)</f>
        <v>1029</v>
      </c>
      <c r="Q24" s="38">
        <f>VLOOKUP('Hide - Control'!$B$4,'All practice data'!B:BC,3,FALSE)</f>
        <v>332176</v>
      </c>
      <c r="R24" s="38">
        <f t="shared" si="21"/>
        <v>291.1345319687169</v>
      </c>
      <c r="S24" s="38">
        <f t="shared" si="22"/>
        <v>329.29702870888576</v>
      </c>
      <c r="T24" s="53">
        <f t="shared" si="19"/>
        <v>865.9638671875</v>
      </c>
      <c r="U24" s="51">
        <f t="shared" si="20"/>
        <v>27.3076171875</v>
      </c>
      <c r="V24" s="7"/>
      <c r="W24" s="27">
        <f t="shared" si="2"/>
        <v>-259.21063232421875</v>
      </c>
      <c r="X24" s="27">
        <f t="shared" si="3"/>
        <v>865.9638671875</v>
      </c>
      <c r="Y24" s="27">
        <f t="shared" si="4"/>
        <v>-259.21063232421875</v>
      </c>
      <c r="Z24" s="27">
        <f t="shared" si="5"/>
        <v>865.9638671875</v>
      </c>
      <c r="AA24" s="32">
        <f t="shared" si="6"/>
        <v>0.2546433905461387</v>
      </c>
      <c r="AB24" s="33">
        <f t="shared" si="7"/>
        <v>0.39697659200973545</v>
      </c>
      <c r="AC24" s="33">
        <v>0.5</v>
      </c>
      <c r="AD24" s="33">
        <f t="shared" si="8"/>
        <v>0.5675323310039962</v>
      </c>
      <c r="AE24" s="33">
        <f t="shared" si="9"/>
        <v>1</v>
      </c>
      <c r="AF24" s="33">
        <f t="shared" si="10"/>
        <v>-999</v>
      </c>
      <c r="AG24" s="33">
        <f t="shared" si="11"/>
        <v>0.5379000269136387</v>
      </c>
      <c r="AH24" s="33">
        <f t="shared" si="12"/>
        <v>-999</v>
      </c>
      <c r="AI24" s="34">
        <f t="shared" si="13"/>
        <v>0.5176451254866371</v>
      </c>
      <c r="AJ24" s="4">
        <v>20.99397352393159</v>
      </c>
      <c r="AK24" s="32">
        <f t="shared" si="14"/>
        <v>-999</v>
      </c>
      <c r="AL24" s="34">
        <f t="shared" si="15"/>
        <v>-999</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19</v>
      </c>
      <c r="E25" s="38">
        <f>IF(LEFT(VLOOKUP($B25,'Indicator chart'!$D$1:$J$36,5,FALSE),1)=" "," ",VLOOKUP($B25,'Indicator chart'!$D$1:$J$36,5,FALSE))</f>
        <v>657.439446366782</v>
      </c>
      <c r="F25" s="38">
        <f>IF(LEFT(VLOOKUP($B25,'Indicator chart'!$D$1:$J$36,6,FALSE),1)=" "," ",VLOOKUP($B25,'Indicator chart'!$D$1:$J$36,6,FALSE))</f>
        <v>395.6355936680996</v>
      </c>
      <c r="G25" s="38">
        <f>IF(LEFT(VLOOKUP($B25,'Indicator chart'!$D$1:$J$36,7,FALSE),1)=" "," ",VLOOKUP($B25,'Indicator chart'!$D$1:$J$36,7,FALSE))</f>
        <v>1026.7320339954827</v>
      </c>
      <c r="H25" s="50">
        <f t="shared" si="0"/>
        <v>2</v>
      </c>
      <c r="I25" s="38">
        <v>185.5142822265625</v>
      </c>
      <c r="J25" s="38">
        <v>492.0081787109375</v>
      </c>
      <c r="K25" s="38">
        <v>621.5405883789062</v>
      </c>
      <c r="L25" s="38">
        <v>697.4530029296875</v>
      </c>
      <c r="M25" s="38">
        <v>1088.64697265625</v>
      </c>
      <c r="N25" s="80">
        <f>VLOOKUP('Hide - Control'!B$3,'All practice data'!A:CA,A25+29,FALSE)</f>
        <v>620.7552622706036</v>
      </c>
      <c r="O25" s="80">
        <f>VLOOKUP('Hide - Control'!C$3,'All practice data'!A:CA,A25+29,FALSE)</f>
        <v>562.6134400960308</v>
      </c>
      <c r="P25" s="38">
        <f>VLOOKUP('Hide - Control'!$B$4,'All practice data'!B:BC,A25+2,FALSE)</f>
        <v>2062</v>
      </c>
      <c r="Q25" s="38">
        <f>VLOOKUP('Hide - Control'!$B$4,'All practice data'!B:BC,3,FALSE)</f>
        <v>332176</v>
      </c>
      <c r="R25" s="38">
        <f t="shared" si="21"/>
        <v>594.2477689155205</v>
      </c>
      <c r="S25" s="38">
        <f t="shared" si="22"/>
        <v>648.1405666867735</v>
      </c>
      <c r="T25" s="53">
        <f t="shared" si="19"/>
        <v>1088.64697265625</v>
      </c>
      <c r="U25" s="51">
        <f t="shared" si="20"/>
        <v>185.5142822265625</v>
      </c>
      <c r="V25" s="7"/>
      <c r="W25" s="27">
        <f t="shared" si="2"/>
        <v>154.4342041015625</v>
      </c>
      <c r="X25" s="27">
        <f t="shared" si="3"/>
        <v>1088.64697265625</v>
      </c>
      <c r="Y25" s="27">
        <f t="shared" si="4"/>
        <v>154.4342041015625</v>
      </c>
      <c r="Z25" s="27">
        <f t="shared" si="5"/>
        <v>1088.64697265625</v>
      </c>
      <c r="AA25" s="32">
        <f t="shared" si="6"/>
        <v>0.033268736171401</v>
      </c>
      <c r="AB25" s="33">
        <f t="shared" si="7"/>
        <v>0.3613459224408084</v>
      </c>
      <c r="AC25" s="33">
        <v>0.5</v>
      </c>
      <c r="AD25" s="33">
        <f t="shared" si="8"/>
        <v>0.5812581642062382</v>
      </c>
      <c r="AE25" s="33">
        <f t="shared" si="9"/>
        <v>1</v>
      </c>
      <c r="AF25" s="33">
        <f t="shared" si="10"/>
        <v>-999</v>
      </c>
      <c r="AG25" s="33">
        <f t="shared" si="11"/>
        <v>0.538426854348624</v>
      </c>
      <c r="AH25" s="33">
        <f t="shared" si="12"/>
        <v>-999</v>
      </c>
      <c r="AI25" s="34">
        <f t="shared" si="13"/>
        <v>0.4369232039356076</v>
      </c>
      <c r="AJ25" s="4">
        <v>22.06996894931352</v>
      </c>
      <c r="AK25" s="32">
        <f t="shared" si="14"/>
        <v>-999</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207.61245674740485</v>
      </c>
      <c r="F26" s="38">
        <f>IF(LEFT(VLOOKUP($B26,'Indicator chart'!$D$1:$J$36,6,FALSE),1)=" "," ",VLOOKUP($B26,'Indicator chart'!$D$1:$J$36,6,FALSE))</f>
        <v>75.81109829355292</v>
      </c>
      <c r="G26" s="38">
        <f>IF(LEFT(VLOOKUP($B26,'Indicator chart'!$D$1:$J$36,7,FALSE),1)=" "," ",VLOOKUP($B26,'Indicator chart'!$D$1:$J$36,7,FALSE))</f>
        <v>451.89949026566643</v>
      </c>
      <c r="H26" s="50">
        <f t="shared" si="0"/>
        <v>2</v>
      </c>
      <c r="I26" s="38">
        <v>112.1823501586914</v>
      </c>
      <c r="J26" s="38">
        <v>238.26187133789062</v>
      </c>
      <c r="K26" s="38">
        <v>299.5968933105469</v>
      </c>
      <c r="L26" s="38">
        <v>339.2720947265625</v>
      </c>
      <c r="M26" s="38">
        <v>517.8663940429688</v>
      </c>
      <c r="N26" s="80">
        <f>VLOOKUP('Hide - Control'!B$3,'All practice data'!A:CA,A26+29,FALSE)</f>
        <v>298.33582197389336</v>
      </c>
      <c r="O26" s="80">
        <f>VLOOKUP('Hide - Control'!C$3,'All practice data'!A:CA,A26+29,FALSE)</f>
        <v>405.57105879375996</v>
      </c>
      <c r="P26" s="38">
        <f>VLOOKUP('Hide - Control'!$B$4,'All practice data'!B:BC,A26+2,FALSE)</f>
        <v>991</v>
      </c>
      <c r="Q26" s="38">
        <f>VLOOKUP('Hide - Control'!$B$4,'All practice data'!B:BC,3,FALSE)</f>
        <v>332176</v>
      </c>
      <c r="R26" s="38">
        <f t="shared" si="21"/>
        <v>280.047616743416</v>
      </c>
      <c r="S26" s="38">
        <f t="shared" si="22"/>
        <v>317.5046787530904</v>
      </c>
      <c r="T26" s="53">
        <f t="shared" si="19"/>
        <v>517.8663940429688</v>
      </c>
      <c r="U26" s="51">
        <f t="shared" si="20"/>
        <v>112.1823501586914</v>
      </c>
      <c r="V26" s="7"/>
      <c r="W26" s="27">
        <f t="shared" si="2"/>
        <v>81.327392578125</v>
      </c>
      <c r="X26" s="27">
        <f t="shared" si="3"/>
        <v>517.8663940429688</v>
      </c>
      <c r="Y26" s="27">
        <f t="shared" si="4"/>
        <v>81.327392578125</v>
      </c>
      <c r="Z26" s="27">
        <f t="shared" si="5"/>
        <v>517.8663940429688</v>
      </c>
      <c r="AA26" s="32">
        <f t="shared" si="6"/>
        <v>0.07068087267582042</v>
      </c>
      <c r="AB26" s="33">
        <f t="shared" si="7"/>
        <v>0.35949703974480773</v>
      </c>
      <c r="AC26" s="33">
        <v>0.5</v>
      </c>
      <c r="AD26" s="33">
        <f t="shared" si="8"/>
        <v>0.5908858115377598</v>
      </c>
      <c r="AE26" s="33">
        <f t="shared" si="9"/>
        <v>1</v>
      </c>
      <c r="AF26" s="33">
        <f t="shared" si="10"/>
        <v>-999</v>
      </c>
      <c r="AG26" s="33">
        <f t="shared" si="11"/>
        <v>0.28928701386478545</v>
      </c>
      <c r="AH26" s="33">
        <f t="shared" si="12"/>
        <v>-999</v>
      </c>
      <c r="AI26" s="34">
        <f t="shared" si="13"/>
        <v>0.7427599026149044</v>
      </c>
      <c r="AJ26" s="4">
        <v>23.145964374695435</v>
      </c>
      <c r="AK26" s="32">
        <f t="shared" si="14"/>
        <v>-999</v>
      </c>
      <c r="AL26" s="34">
        <f t="shared" si="15"/>
        <v>-999</v>
      </c>
      <c r="AY26" s="103" t="s">
        <v>120</v>
      </c>
      <c r="AZ26" s="103" t="s">
        <v>417</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45</v>
      </c>
      <c r="E27" s="38">
        <f>IF(LEFT(VLOOKUP($B27,'Indicator chart'!$D$1:$J$36,5,FALSE),1)=" "," ",VLOOKUP($B27,'Indicator chart'!$D$1:$J$36,5,FALSE))</f>
        <v>1557.0934256055364</v>
      </c>
      <c r="F27" s="38">
        <f>IF(LEFT(VLOOKUP($B27,'Indicator chart'!$D$1:$J$36,6,FALSE),1)=" "," ",VLOOKUP($B27,'Indicator chart'!$D$1:$J$36,6,FALSE))</f>
        <v>1135.6421363338552</v>
      </c>
      <c r="G27" s="38">
        <f>IF(LEFT(VLOOKUP($B27,'Indicator chart'!$D$1:$J$36,7,FALSE),1)=" "," ",VLOOKUP($B27,'Indicator chart'!$D$1:$J$36,7,FALSE))</f>
        <v>2083.5728021352847</v>
      </c>
      <c r="H27" s="50">
        <f t="shared" si="0"/>
        <v>2</v>
      </c>
      <c r="I27" s="38">
        <v>751.445068359375</v>
      </c>
      <c r="J27" s="38">
        <v>1298.7503662109375</v>
      </c>
      <c r="K27" s="38">
        <v>1454.7716064453125</v>
      </c>
      <c r="L27" s="38">
        <v>1619.09814453125</v>
      </c>
      <c r="M27" s="38">
        <v>2506.9638671875</v>
      </c>
      <c r="N27" s="80">
        <f>VLOOKUP('Hide - Control'!B$3,'All practice data'!A:CA,A27+29,FALSE)</f>
        <v>1488.0665671210443</v>
      </c>
      <c r="O27" s="80">
        <f>VLOOKUP('Hide - Control'!C$3,'All practice data'!A:CA,A27+29,FALSE)</f>
        <v>1059.3522061277838</v>
      </c>
      <c r="P27" s="38">
        <f>VLOOKUP('Hide - Control'!$B$4,'All practice data'!B:BC,A27+2,FALSE)</f>
        <v>4943</v>
      </c>
      <c r="Q27" s="38">
        <f>VLOOKUP('Hide - Control'!$B$4,'All practice data'!B:BC,3,FALSE)</f>
        <v>332176</v>
      </c>
      <c r="R27" s="38">
        <f t="shared" si="21"/>
        <v>1446.8681428439224</v>
      </c>
      <c r="S27" s="38">
        <f t="shared" si="22"/>
        <v>1530.1405200077645</v>
      </c>
      <c r="T27" s="53">
        <f t="shared" si="19"/>
        <v>2506.9638671875</v>
      </c>
      <c r="U27" s="51">
        <f t="shared" si="20"/>
        <v>751.445068359375</v>
      </c>
      <c r="V27" s="7"/>
      <c r="W27" s="27">
        <f t="shared" si="2"/>
        <v>402.579345703125</v>
      </c>
      <c r="X27" s="27">
        <f t="shared" si="3"/>
        <v>2506.9638671875</v>
      </c>
      <c r="Y27" s="27">
        <f t="shared" si="4"/>
        <v>402.579345703125</v>
      </c>
      <c r="Z27" s="27">
        <f t="shared" si="5"/>
        <v>2506.9638671875</v>
      </c>
      <c r="AA27" s="32">
        <f t="shared" si="6"/>
        <v>0.16578040709507297</v>
      </c>
      <c r="AB27" s="33">
        <f t="shared" si="7"/>
        <v>0.4258589679588016</v>
      </c>
      <c r="AC27" s="33">
        <v>0.5</v>
      </c>
      <c r="AD27" s="33">
        <f t="shared" si="8"/>
        <v>0.5780876956698132</v>
      </c>
      <c r="AE27" s="33">
        <f t="shared" si="9"/>
        <v>1</v>
      </c>
      <c r="AF27" s="33">
        <f t="shared" si="10"/>
        <v>-999</v>
      </c>
      <c r="AG27" s="33">
        <f t="shared" si="11"/>
        <v>0.548623157087303</v>
      </c>
      <c r="AH27" s="33">
        <f t="shared" si="12"/>
        <v>-999</v>
      </c>
      <c r="AI27" s="34">
        <f t="shared" si="13"/>
        <v>0.3120973632525054</v>
      </c>
      <c r="AJ27" s="4">
        <v>24.221959800077364</v>
      </c>
      <c r="AK27" s="32">
        <f t="shared" si="14"/>
        <v>-999</v>
      </c>
      <c r="AL27" s="34">
        <f t="shared" si="15"/>
        <v>-999</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899.6539792387543</v>
      </c>
      <c r="F28" s="38">
        <f>IF(LEFT(VLOOKUP($B28,'Indicator chart'!$D$1:$J$36,6,FALSE),1)=" "," ",VLOOKUP($B28,'Indicator chart'!$D$1:$J$36,6,FALSE))</f>
        <v>587.5300197968853</v>
      </c>
      <c r="G28" s="38">
        <f>IF(LEFT(VLOOKUP($B28,'Indicator chart'!$D$1:$J$36,7,FALSE),1)=" "," ",VLOOKUP($B28,'Indicator chart'!$D$1:$J$36,7,FALSE))</f>
        <v>1318.2621999237658</v>
      </c>
      <c r="H28" s="50">
        <f t="shared" si="0"/>
        <v>2</v>
      </c>
      <c r="I28" s="38">
        <v>155.9251708984375</v>
      </c>
      <c r="J28" s="38">
        <v>582.4581298828125</v>
      </c>
      <c r="K28" s="38">
        <v>702.3528442382812</v>
      </c>
      <c r="L28" s="38">
        <v>892.9657592773438</v>
      </c>
      <c r="M28" s="38">
        <v>1203.9127197265625</v>
      </c>
      <c r="N28" s="80">
        <f>VLOOKUP('Hide - Control'!B$3,'All practice data'!A:CA,A28+29,FALSE)</f>
        <v>712.2730118973075</v>
      </c>
      <c r="O28" s="80">
        <f>VLOOKUP('Hide - Control'!C$3,'All practice data'!A:CA,A28+29,FALSE)</f>
        <v>582.9390489900089</v>
      </c>
      <c r="P28" s="38">
        <f>VLOOKUP('Hide - Control'!$B$4,'All practice data'!B:BC,A28+2,FALSE)</f>
        <v>2366</v>
      </c>
      <c r="Q28" s="38">
        <f>VLOOKUP('Hide - Control'!$B$4,'All practice data'!B:BC,3,FALSE)</f>
        <v>332176</v>
      </c>
      <c r="R28" s="38">
        <f>100000*(P28*(1-1/(9*P28)-1.96/(3*SQRT(P28)))^3)/Q28</f>
        <v>683.8582396941364</v>
      </c>
      <c r="S28" s="38">
        <f>100000*((P28+1)*(1-1/(9*(P28+1))+1.96/(3*SQRT(P28+1)))^3)/Q28</f>
        <v>741.5651674732044</v>
      </c>
      <c r="T28" s="53">
        <f t="shared" si="19"/>
        <v>1203.9127197265625</v>
      </c>
      <c r="U28" s="51">
        <f t="shared" si="20"/>
        <v>155.9251708984375</v>
      </c>
      <c r="V28" s="7"/>
      <c r="W28" s="27">
        <f t="shared" si="2"/>
        <v>155.9251708984375</v>
      </c>
      <c r="X28" s="27">
        <f t="shared" si="3"/>
        <v>1248.780517578125</v>
      </c>
      <c r="Y28" s="27">
        <f t="shared" si="4"/>
        <v>155.9251708984375</v>
      </c>
      <c r="Z28" s="27">
        <f t="shared" si="5"/>
        <v>1248.780517578125</v>
      </c>
      <c r="AA28" s="32">
        <f t="shared" si="6"/>
        <v>0</v>
      </c>
      <c r="AB28" s="33">
        <f t="shared" si="7"/>
        <v>0.3902922379254191</v>
      </c>
      <c r="AC28" s="33">
        <v>0.5</v>
      </c>
      <c r="AD28" s="33">
        <f t="shared" si="8"/>
        <v>0.6744173331065109</v>
      </c>
      <c r="AE28" s="33">
        <f t="shared" si="9"/>
        <v>0.9589444312205821</v>
      </c>
      <c r="AF28" s="33">
        <f t="shared" si="10"/>
        <v>-999</v>
      </c>
      <c r="AG28" s="33">
        <f t="shared" si="11"/>
        <v>0.6805372829989927</v>
      </c>
      <c r="AH28" s="33">
        <f t="shared" si="12"/>
        <v>-999</v>
      </c>
      <c r="AI28" s="34">
        <f t="shared" si="13"/>
        <v>0.3907322953480758</v>
      </c>
      <c r="AJ28" s="4">
        <v>25.297955225459287</v>
      </c>
      <c r="AK28" s="32">
        <f t="shared" si="14"/>
        <v>-999</v>
      </c>
      <c r="AL28" s="34">
        <f t="shared" si="15"/>
        <v>-999</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540</v>
      </c>
      <c r="I35" s="291"/>
      <c r="Y35" s="43"/>
      <c r="Z35" s="44"/>
      <c r="AA35" s="44"/>
      <c r="AB35" s="43"/>
      <c r="AC35" s="43"/>
      <c r="AY35" s="103" t="s">
        <v>159</v>
      </c>
      <c r="AZ35" s="103" t="s">
        <v>432</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343</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343</v>
      </c>
      <c r="BB65" s="10">
        <v>1169302</v>
      </c>
      <c r="BE65" s="70"/>
      <c r="BF65" s="241"/>
    </row>
    <row r="66" spans="1:58" ht="12.75">
      <c r="A66" s="3"/>
      <c r="B66" s="12"/>
      <c r="C66" s="3"/>
      <c r="E66" s="2"/>
      <c r="F66" s="2"/>
      <c r="G66" s="2"/>
      <c r="V66" s="2"/>
      <c r="AY66" s="103" t="s">
        <v>200</v>
      </c>
      <c r="AZ66" s="103" t="s">
        <v>443</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395</v>
      </c>
      <c r="BA73" s="103" t="s">
        <v>343</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448</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343</v>
      </c>
      <c r="BB89" s="10">
        <v>283085</v>
      </c>
      <c r="BE89" s="70"/>
      <c r="BF89" s="241"/>
    </row>
    <row r="90" spans="1:58" ht="12.75">
      <c r="A90" s="3"/>
      <c r="B90" s="12"/>
      <c r="C90" s="3"/>
      <c r="AY90" s="103" t="s">
        <v>76</v>
      </c>
      <c r="AZ90" s="103" t="s">
        <v>401</v>
      </c>
      <c r="BA90" s="103" t="s">
        <v>343</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439</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405</v>
      </c>
      <c r="BA98" s="103" t="s">
        <v>343</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436</v>
      </c>
      <c r="BA103" s="103" t="s">
        <v>343</v>
      </c>
      <c r="BB103" s="10">
        <v>656875</v>
      </c>
      <c r="BE103" s="70"/>
      <c r="BF103" s="239"/>
    </row>
    <row r="104" spans="51:58" ht="12.75">
      <c r="AY104" s="103" t="s">
        <v>114</v>
      </c>
      <c r="AZ104" s="103" t="s">
        <v>415</v>
      </c>
      <c r="BA104" s="103" t="s">
        <v>343</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343</v>
      </c>
      <c r="BB107" s="10">
        <v>274443</v>
      </c>
      <c r="BF107" s="252"/>
    </row>
    <row r="108" spans="51:58" ht="12.75">
      <c r="AY108" s="103" t="s">
        <v>95</v>
      </c>
      <c r="AZ108" s="103" t="s">
        <v>410</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430</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451</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461</v>
      </c>
      <c r="BA119" s="103" t="s">
        <v>343</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425</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343</v>
      </c>
      <c r="BB129" s="10">
        <v>191885</v>
      </c>
      <c r="BE129" s="70"/>
      <c r="BF129" s="249"/>
    </row>
    <row r="130" spans="51:58" ht="12.75">
      <c r="AY130" s="103" t="s">
        <v>233</v>
      </c>
      <c r="AZ130" s="103" t="s">
        <v>452</v>
      </c>
      <c r="BA130" s="103" t="s">
        <v>343</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431</v>
      </c>
      <c r="BA134" s="103" t="s">
        <v>343</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343</v>
      </c>
      <c r="BB138" s="10">
        <v>145889</v>
      </c>
      <c r="BE138" s="70"/>
      <c r="BF138" s="239"/>
    </row>
    <row r="139" spans="51:58" ht="12.75">
      <c r="AY139" s="103" t="s">
        <v>75</v>
      </c>
      <c r="AZ139" s="103" t="s">
        <v>400</v>
      </c>
      <c r="BA139" s="103" t="s">
        <v>343</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343</v>
      </c>
      <c r="BB153" s="10">
        <v>332176</v>
      </c>
      <c r="BF153" s="252"/>
    </row>
    <row r="154" spans="51:58" ht="12.75">
      <c r="AY154" s="103" t="s">
        <v>161</v>
      </c>
      <c r="AZ154" s="103" t="s">
        <v>434</v>
      </c>
      <c r="BA154" s="103" t="s">
        <v>343</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591</v>
      </c>
      <c r="B3" s="56" t="s">
        <v>192</v>
      </c>
      <c r="C3" s="56" t="s">
        <v>24</v>
      </c>
    </row>
    <row r="4" spans="1:2" ht="12.75">
      <c r="A4" s="76">
        <v>1</v>
      </c>
      <c r="B4" s="78" t="s">
        <v>191</v>
      </c>
    </row>
    <row r="5" ht="12.75">
      <c r="A5" s="280" t="s">
        <v>591</v>
      </c>
    </row>
    <row r="6" ht="12.75">
      <c r="A6" s="280" t="s">
        <v>552</v>
      </c>
    </row>
    <row r="7" ht="12.75">
      <c r="A7" s="280" t="s">
        <v>561</v>
      </c>
    </row>
    <row r="8" ht="12.75">
      <c r="A8" s="280" t="s">
        <v>586</v>
      </c>
    </row>
    <row r="9" ht="12.75">
      <c r="A9" s="280" t="s">
        <v>544</v>
      </c>
    </row>
    <row r="10" ht="12.75">
      <c r="A10" s="280" t="s">
        <v>571</v>
      </c>
    </row>
    <row r="11" ht="12.75">
      <c r="A11" s="280" t="s">
        <v>546</v>
      </c>
    </row>
    <row r="12" ht="12.75">
      <c r="A12" s="280" t="s">
        <v>550</v>
      </c>
    </row>
    <row r="13" ht="12.75">
      <c r="A13" s="280" t="s">
        <v>543</v>
      </c>
    </row>
    <row r="14" ht="12.75">
      <c r="A14" s="280" t="s">
        <v>585</v>
      </c>
    </row>
    <row r="15" ht="12.75">
      <c r="A15" s="280" t="s">
        <v>563</v>
      </c>
    </row>
    <row r="16" ht="12.75">
      <c r="A16" s="280" t="s">
        <v>577</v>
      </c>
    </row>
    <row r="17" ht="12.75">
      <c r="A17" s="280" t="s">
        <v>564</v>
      </c>
    </row>
    <row r="18" ht="12.75">
      <c r="A18" s="280" t="s">
        <v>565</v>
      </c>
    </row>
    <row r="19" ht="12.75">
      <c r="A19" s="280" t="s">
        <v>570</v>
      </c>
    </row>
    <row r="20" ht="12.75">
      <c r="A20" s="280" t="s">
        <v>584</v>
      </c>
    </row>
    <row r="21" ht="12.75">
      <c r="A21" s="280" t="s">
        <v>576</v>
      </c>
    </row>
    <row r="22" ht="12.75">
      <c r="A22" s="280" t="s">
        <v>556</v>
      </c>
    </row>
    <row r="23" ht="12.75">
      <c r="A23" s="280" t="s">
        <v>567</v>
      </c>
    </row>
    <row r="24" ht="12.75">
      <c r="A24" s="280" t="s">
        <v>593</v>
      </c>
    </row>
    <row r="25" ht="12.75">
      <c r="A25" s="280" t="s">
        <v>557</v>
      </c>
    </row>
    <row r="26" ht="12.75">
      <c r="A26" s="280" t="s">
        <v>594</v>
      </c>
    </row>
    <row r="27" ht="12.75">
      <c r="A27" s="280" t="s">
        <v>572</v>
      </c>
    </row>
    <row r="28" ht="12.75">
      <c r="A28" s="280" t="s">
        <v>578</v>
      </c>
    </row>
    <row r="29" ht="12.75">
      <c r="A29" s="280" t="s">
        <v>589</v>
      </c>
    </row>
    <row r="30" ht="12.75">
      <c r="A30" s="280" t="s">
        <v>582</v>
      </c>
    </row>
    <row r="31" ht="12.75">
      <c r="A31" s="280" t="s">
        <v>558</v>
      </c>
    </row>
    <row r="32" ht="12.75">
      <c r="A32" s="280" t="s">
        <v>588</v>
      </c>
    </row>
    <row r="33" ht="12.75">
      <c r="A33" s="280" t="s">
        <v>562</v>
      </c>
    </row>
    <row r="34" ht="12.75">
      <c r="A34" s="280" t="s">
        <v>569</v>
      </c>
    </row>
    <row r="35" ht="12.75">
      <c r="A35" s="280" t="s">
        <v>574</v>
      </c>
    </row>
    <row r="36" ht="12.75">
      <c r="A36" s="280" t="s">
        <v>573</v>
      </c>
    </row>
    <row r="37" ht="12.75">
      <c r="A37" s="280" t="s">
        <v>575</v>
      </c>
    </row>
    <row r="38" ht="12.75">
      <c r="A38" s="280" t="s">
        <v>566</v>
      </c>
    </row>
    <row r="39" ht="12.75">
      <c r="A39" s="280" t="s">
        <v>590</v>
      </c>
    </row>
    <row r="40" ht="12.75">
      <c r="A40" s="280" t="s">
        <v>551</v>
      </c>
    </row>
    <row r="41" ht="12.75">
      <c r="A41" s="280" t="s">
        <v>541</v>
      </c>
    </row>
    <row r="42" ht="12.75">
      <c r="A42" s="280" t="s">
        <v>581</v>
      </c>
    </row>
    <row r="43" ht="12.75">
      <c r="A43" s="280" t="s">
        <v>559</v>
      </c>
    </row>
    <row r="44" ht="12.75">
      <c r="A44" s="280" t="s">
        <v>583</v>
      </c>
    </row>
    <row r="45" ht="12.75">
      <c r="A45" s="280" t="s">
        <v>548</v>
      </c>
    </row>
    <row r="46" ht="12.75">
      <c r="A46" s="280" t="s">
        <v>560</v>
      </c>
    </row>
    <row r="47" ht="12.75">
      <c r="A47" s="280" t="s">
        <v>580</v>
      </c>
    </row>
    <row r="48" ht="12.75">
      <c r="A48" s="280" t="s">
        <v>549</v>
      </c>
    </row>
    <row r="49" ht="12.75">
      <c r="A49" s="280" t="s">
        <v>555</v>
      </c>
    </row>
    <row r="50" ht="12.75">
      <c r="A50" s="280" t="s">
        <v>553</v>
      </c>
    </row>
    <row r="51" ht="12.75">
      <c r="A51" s="280" t="s">
        <v>568</v>
      </c>
    </row>
    <row r="52" ht="12.75">
      <c r="A52" s="280" t="s">
        <v>587</v>
      </c>
    </row>
    <row r="53" ht="12.75">
      <c r="A53" s="280" t="s">
        <v>579</v>
      </c>
    </row>
    <row r="54" ht="12.75">
      <c r="A54" s="280" t="s">
        <v>542</v>
      </c>
    </row>
    <row r="55" ht="12.75">
      <c r="A55" s="280" t="s">
        <v>547</v>
      </c>
    </row>
    <row r="56" ht="12.75">
      <c r="A56" s="280" t="s">
        <v>545</v>
      </c>
    </row>
    <row r="57" ht="12.75">
      <c r="A57" s="280" t="s">
        <v>554</v>
      </c>
    </row>
    <row r="58" ht="12.75">
      <c r="A58" s="280" t="s">
        <v>592</v>
      </c>
    </row>
    <row r="59" ht="12.75">
      <c r="A59" s="280" t="s">
        <v>529</v>
      </c>
    </row>
    <row r="60" ht="12.75">
      <c r="A60" s="280" t="s">
        <v>596</v>
      </c>
    </row>
    <row r="61" ht="12.75">
      <c r="A61" s="280" t="s">
        <v>597</v>
      </c>
    </row>
    <row r="62" ht="12.75">
      <c r="A62" s="280" t="s">
        <v>595</v>
      </c>
    </row>
    <row r="63" ht="12.75">
      <c r="A63" s="280" t="s">
        <v>530</v>
      </c>
    </row>
    <row r="64" ht="12.75">
      <c r="A64" s="280" t="s">
        <v>528</v>
      </c>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