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<sst xmlns="http://schemas.openxmlformats.org/spreadsheetml/2006/main" count="2607" uniqueCount="677">
  <si>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</si>
  <si>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</si>
  <si>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</si>
  <si>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</si>
  <si>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</si>
  <si>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</si>
  <si>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</si>
  <si>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</si>
  <si>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</si>
  <si>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</si>
  <si>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</si>
  <si>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</si>
  <si>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</si>
  <si>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</si>
  <si>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</si>
  <si>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</si>
  <si>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</si>
  <si>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</si>
  <si>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</si>
  <si>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</si>
  <si>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</si>
  <si>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</si>
  <si>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</si>
  <si>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</si>
  <si>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</si>
  <si>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</si>
  <si>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</si>
  <si>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</si>
  <si>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</si>
  <si>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</si>
  <si>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</si>
  <si>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</si>
  <si>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</si>
  <si>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</si>
  <si>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</si>
  <si>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</si>
  <si>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</si>
  <si>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</si>
  <si>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</si>
  <si>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</si>
  <si>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</si>
  <si>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</si>
  <si>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</si>
  <si>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</si>
  <si>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</si>
  <si>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</si>
  <si>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</si>
  <si>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</si>
  <si>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</si>
  <si>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</si>
  <si>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</si>
  <si>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</si>
  <si>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</si>
  <si>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</si>
  <si>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</si>
  <si>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</si>
  <si>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</si>
  <si>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</si>
  <si>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</si>
  <si>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</si>
  <si>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</si>
  <si>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</si>
  <si>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</si>
  <si>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</si>
  <si>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</si>
  <si>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</si>
  <si>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</si>
  <si>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</si>
  <si>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</si>
  <si>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</si>
  <si>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</si>
  <si>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</si>
  <si>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</si>
  <si>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</si>
  <si>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</si>
  <si>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</si>
  <si>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</si>
  <si>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</si>
  <si>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</si>
  <si>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</si>
  <si>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</si>
  <si>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</si>
  <si>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</si>
  <si>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</si>
  <si>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</si>
  <si>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</si>
  <si>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</si>
  <si>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</si>
  <si>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</si>
  <si>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</si>
  <si>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</si>
  <si>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</si>
  <si>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</si>
  <si>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</si>
  <si>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</si>
  <si>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</si>
  <si>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</si>
  <si>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</si>
  <si>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</si>
  <si>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</si>
  <si>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</si>
  <si>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</si>
  <si>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</si>
  <si>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</si>
  <si>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</si>
  <si>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</si>
  <si>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</si>
  <si>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</si>
  <si>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</si>
  <si>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</si>
  <si>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</si>
  <si>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</si>
  <si>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</si>
  <si>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</si>
  <si>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</si>
  <si>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</si>
  <si>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</si>
  <si>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</si>
  <si>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</si>
  <si>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</si>
  <si>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</si>
  <si>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</si>
  <si>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</si>
  <si>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</si>
  <si>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</si>
  <si>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</si>
  <si>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</si>
  <si>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</si>
  <si>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</si>
  <si>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</si>
  <si>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</si>
  <si>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</si>
  <si>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</si>
  <si>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</si>
  <si>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</si>
  <si>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</si>
  <si>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</si>
  <si>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</si>
  <si>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</si>
  <si>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</si>
  <si>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</si>
  <si>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</si>
  <si>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</si>
  <si>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</si>
  <si>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</si>
  <si>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</si>
  <si>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</si>
  <si>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</si>
  <si>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</si>
  <si>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</si>
  <si>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</si>
  <si>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</si>
  <si>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</si>
  <si>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</si>
  <si>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</si>
  <si>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</si>
  <si>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</si>
  <si>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</si>
  <si>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</si>
  <si>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</si>
  <si>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</si>
  <si>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</si>
  <si>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</si>
  <si>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</si>
  <si>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</si>
  <si>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</si>
  <si>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</si>
  <si>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</si>
  <si>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</si>
  <si>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</si>
  <si>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</si>
  <si>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</si>
  <si>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</si>
  <si>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</si>
  <si>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</si>
  <si>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</si>
  <si>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</si>
  <si>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</si>
  <si>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</si>
  <si>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</si>
  <si>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</si>
  <si>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</si>
  <si>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</si>
  <si>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</si>
  <si>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</si>
  <si>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</si>
  <si>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</si>
  <si>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</si>
  <si>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</si>
  <si>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</si>
  <si>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</si>
  <si>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</si>
  <si>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</si>
  <si>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</si>
  <si>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</si>
  <si>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</si>
  <si>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</si>
  <si>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</si>
  <si>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</si>
  <si>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</si>
  <si>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</si>
  <si>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</si>
  <si>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</si>
  <si>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</si>
  <si>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</si>
  <si>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</si>
  <si>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</si>
  <si>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</si>
  <si>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</si>
  <si>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</si>
  <si>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</si>
  <si>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</si>
  <si>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</si>
  <si>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</si>
  <si>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</si>
  <si>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</si>
  <si>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</si>
  <si>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</si>
  <si>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</si>
  <si>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</si>
  <si>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</si>
  <si>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</si>
  <si>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</si>
  <si>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</si>
  <si>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</si>
  <si>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</si>
  <si>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</si>
  <si>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</si>
  <si>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</si>
  <si>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</si>
  <si>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</si>
  <si>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</si>
  <si>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</si>
  <si>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</si>
  <si>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</si>
  <si>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</si>
  <si>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</si>
  <si>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</si>
  <si>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</si>
  <si>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</si>
  <si>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</si>
  <si>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</si>
  <si>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</si>
  <si>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</si>
  <si>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</si>
  <si>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</si>
  <si>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</si>
  <si>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</si>
  <si>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</si>
  <si>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</si>
  <si>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</si>
  <si>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</si>
  <si>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</si>
  <si>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</si>
  <si>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</si>
  <si>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</si>
  <si>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</si>
  <si>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</si>
  <si>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</si>
  <si>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</si>
  <si>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</si>
  <si>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</si>
  <si>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</si>
  <si>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</si>
  <si>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</si>
  <si>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</si>
  <si>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</si>
  <si>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</si>
  <si>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</si>
  <si>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</si>
  <si>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</si>
  <si>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</si>
  <si>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</si>
  <si>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</si>
  <si>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</si>
  <si>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</si>
  <si>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</si>
  <si>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</si>
  <si>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</si>
  <si>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</si>
  <si>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</si>
  <si>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</si>
  <si>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5CC</t>
  </si>
  <si>
    <t>P84004</t>
  </si>
  <si>
    <t>P84005</t>
  </si>
  <si>
    <t>P84009</t>
  </si>
  <si>
    <t>P84010</t>
  </si>
  <si>
    <t>P84012</t>
  </si>
  <si>
    <t>P84014</t>
  </si>
  <si>
    <t>P84016</t>
  </si>
  <si>
    <t>P84017</t>
  </si>
  <si>
    <t>P84018</t>
  </si>
  <si>
    <t>P84019</t>
  </si>
  <si>
    <t>P84020</t>
  </si>
  <si>
    <t>P84021</t>
  </si>
  <si>
    <t>P84022</t>
  </si>
  <si>
    <t>P84023</t>
  </si>
  <si>
    <t>P84024</t>
  </si>
  <si>
    <t>P84025</t>
  </si>
  <si>
    <t>P84026</t>
  </si>
  <si>
    <t>P84027</t>
  </si>
  <si>
    <t>P84028</t>
  </si>
  <si>
    <t>P84029</t>
  </si>
  <si>
    <t>P84030</t>
  </si>
  <si>
    <t>P84032</t>
  </si>
  <si>
    <t>P84033</t>
  </si>
  <si>
    <t>P84034</t>
  </si>
  <si>
    <t>P84035</t>
  </si>
  <si>
    <t>P84037</t>
  </si>
  <si>
    <t>P84038</t>
  </si>
  <si>
    <t>P84039</t>
  </si>
  <si>
    <t>P84040</t>
  </si>
  <si>
    <t>P84041</t>
  </si>
  <si>
    <t>P84042</t>
  </si>
  <si>
    <t>P84043</t>
  </si>
  <si>
    <t>P84045</t>
  </si>
  <si>
    <t>P84046</t>
  </si>
  <si>
    <t>P84047</t>
  </si>
  <si>
    <t>P84048</t>
  </si>
  <si>
    <t>P84049</t>
  </si>
  <si>
    <t>P84050</t>
  </si>
  <si>
    <t>P84051</t>
  </si>
  <si>
    <t>P84052</t>
  </si>
  <si>
    <t>P84053</t>
  </si>
  <si>
    <t>P84054</t>
  </si>
  <si>
    <t>P84055</t>
  </si>
  <si>
    <t>P84056</t>
  </si>
  <si>
    <t>P84057</t>
  </si>
  <si>
    <t>P84059</t>
  </si>
  <si>
    <t>P84061</t>
  </si>
  <si>
    <t>P84062</t>
  </si>
  <si>
    <t>P84063</t>
  </si>
  <si>
    <t>P84064</t>
  </si>
  <si>
    <t>P84065</t>
  </si>
  <si>
    <t>P84066</t>
  </si>
  <si>
    <t>P84067</t>
  </si>
  <si>
    <t>P84068</t>
  </si>
  <si>
    <t>P84070</t>
  </si>
  <si>
    <t>P84071</t>
  </si>
  <si>
    <t>P84072</t>
  </si>
  <si>
    <t>P84074</t>
  </si>
  <si>
    <t>P84605</t>
  </si>
  <si>
    <t>P84611</t>
  </si>
  <si>
    <t>P84615</t>
  </si>
  <si>
    <t>P84616</t>
  </si>
  <si>
    <t>P84623</t>
  </si>
  <si>
    <t>P84626</t>
  </si>
  <si>
    <t>P84627</t>
  </si>
  <si>
    <t>P84630</t>
  </si>
  <si>
    <t>P84631</t>
  </si>
  <si>
    <t>P84637</t>
  </si>
  <si>
    <t>P84639</t>
  </si>
  <si>
    <t>P84640</t>
  </si>
  <si>
    <t>P84642</t>
  </si>
  <si>
    <t>P84644</t>
  </si>
  <si>
    <t>P84645</t>
  </si>
  <si>
    <t>P84646</t>
  </si>
  <si>
    <t>P84650</t>
  </si>
  <si>
    <t>P84651</t>
  </si>
  <si>
    <t>P84652</t>
  </si>
  <si>
    <t>P84659</t>
  </si>
  <si>
    <t>P84662</t>
  </si>
  <si>
    <t>P84663</t>
  </si>
  <si>
    <t>P84665</t>
  </si>
  <si>
    <t>P84668</t>
  </si>
  <si>
    <t>P84669</t>
  </si>
  <si>
    <t>P84672</t>
  </si>
  <si>
    <t>P84673</t>
  </si>
  <si>
    <t>P84676</t>
  </si>
  <si>
    <t>P84677</t>
  </si>
  <si>
    <t>P84678</t>
  </si>
  <si>
    <t>P84679</t>
  </si>
  <si>
    <t>P84682</t>
  </si>
  <si>
    <t>P84683</t>
  </si>
  <si>
    <t>P84684</t>
  </si>
  <si>
    <t>P84688</t>
  </si>
  <si>
    <t>P84689</t>
  </si>
  <si>
    <t>P84690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</si>
  <si>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</si>
  <si>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</si>
  <si>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</si>
  <si>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</si>
  <si>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</si>
  <si>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</si>
  <si>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</si>
  <si>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</si>
  <si>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</si>
  <si>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</si>
  <si>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</si>
  <si>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</si>
  <si>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</si>
  <si>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</si>
  <si>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</si>
  <si>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</si>
  <si>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</si>
  <si>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</si>
  <si>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</si>
  <si>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</si>
  <si>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</si>
  <si>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</si>
  <si>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</si>
  <si>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</si>
  <si>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</si>
  <si>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</si>
  <si>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</si>
  <si>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</si>
  <si>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</si>
  <si>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</si>
  <si>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</si>
  <si>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</si>
  <si>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</si>
  <si>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</si>
  <si>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</si>
  <si>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</si>
  <si>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</si>
  <si>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</si>
  <si>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</si>
  <si>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</si>
  <si>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</si>
  <si>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</si>
  <si>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</si>
  <si>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</si>
  <si>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</si>
  <si>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</si>
  <si>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</si>
  <si>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</si>
  <si>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</si>
  <si>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</si>
  <si>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</si>
  <si>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</si>
  <si>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</si>
  <si>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</si>
  <si>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</si>
  <si>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</si>
  <si>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</si>
  <si>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</si>
  <si>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</si>
  <si>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</si>
  <si>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</si>
  <si>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</si>
  <si>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</si>
  <si>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</si>
  <si>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</si>
  <si>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</si>
  <si>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</si>
  <si>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</si>
  <si>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</si>
  <si>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</si>
  <si>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</si>
  <si>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</si>
  <si>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</si>
  <si>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</si>
  <si>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</si>
  <si>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</si>
  <si>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</si>
  <si>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</si>
  <si>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</si>
  <si>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</si>
  <si>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</si>
  <si>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</si>
  <si>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</si>
  <si>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</si>
  <si>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</si>
  <si>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</si>
  <si>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</si>
  <si>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</si>
  <si>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</si>
  <si>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</si>
  <si>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</si>
  <si>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</si>
  <si>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</si>
  <si>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</si>
  <si>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</si>
  <si>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</si>
  <si>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</si>
  <si>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</si>
  <si>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</si>
  <si>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</si>
  <si>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</si>
  <si>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</si>
  <si>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</si>
  <si>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</si>
  <si>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</si>
  <si>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</si>
  <si>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</si>
  <si>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</si>
  <si>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</si>
  <si>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</si>
  <si>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</si>
  <si>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</si>
  <si>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</si>
  <si>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</si>
  <si>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</si>
  <si>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</si>
  <si>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</si>
  <si>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</si>
  <si>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</si>
  <si>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</si>
  <si>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</si>
  <si>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</si>
  <si>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</si>
  <si>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</si>
  <si>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</si>
  <si>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</si>
  <si>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</si>
  <si>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</si>
  <si>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</si>
  <si>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</si>
  <si>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</si>
  <si>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</si>
  <si>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</si>
  <si>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</si>
  <si>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</si>
  <si>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</si>
  <si>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</si>
  <si>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</si>
  <si>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</si>
  <si>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</si>
  <si>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</si>
  <si>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</si>
  <si>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</si>
  <si>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</si>
  <si>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</si>
  <si>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</si>
  <si>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</si>
  <si>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</si>
  <si>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</si>
  <si>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</si>
  <si>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</si>
  <si>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</si>
  <si>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</si>
  <si>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</si>
  <si>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</si>
  <si>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</si>
  <si>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</si>
  <si>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</si>
  <si>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</si>
  <si>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</si>
  <si>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</si>
  <si>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</si>
  <si>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</si>
  <si>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</si>
  <si>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</si>
  <si>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</si>
  <si>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</si>
  <si>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</si>
  <si>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</si>
  <si>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</si>
  <si>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</si>
  <si>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</si>
  <si>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</si>
  <si>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</si>
  <si>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</si>
  <si>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</si>
  <si>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</si>
  <si>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</si>
  <si>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</si>
  <si>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</si>
  <si>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</si>
  <si>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</si>
  <si>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P84635</t>
  </si>
  <si>
    <t>Y02325</t>
  </si>
  <si>
    <t>Y02520</t>
  </si>
  <si>
    <t>2010/11</t>
  </si>
  <si>
    <t>2008/09-2010/11</t>
  </si>
  <si>
    <t>2005/06-2010/11</t>
  </si>
  <si>
    <t>(P84004) FIVE OAKS FAMILIY PRACTICE</t>
  </si>
  <si>
    <t>(P84005) THE VALLANCE CENTRE</t>
  </si>
  <si>
    <t>(P84009) AILSA CRAIG MEDICAL CENTRE</t>
  </si>
  <si>
    <t>(P84010) THE BORCHARDT MEDICAL CENTRE</t>
  </si>
  <si>
    <t>(P84012) NORTHENDEN GROUP PRACTICE</t>
  </si>
  <si>
    <t>(P84014) RK MEDICAL PRACTICE</t>
  </si>
  <si>
    <t>(P84016) LEVENSHULME MEDICAL PRACTICE</t>
  </si>
  <si>
    <t>(P84017) LADYBARN GROUP PRACTICE</t>
  </si>
  <si>
    <t>(P84018) MAULDETH MEDICAL CENTRE</t>
  </si>
  <si>
    <t>(P84019) VALENTINE MEDICAL CENTRE</t>
  </si>
  <si>
    <t>(P84020) PEEL HALL MEDICAL CENTRE</t>
  </si>
  <si>
    <t>(P84021) THE MAPLES MEDICAL CENTRE</t>
  </si>
  <si>
    <t>(P84022) KINGSWAY GROUP PRACTICE</t>
  </si>
  <si>
    <t>(P84023) SURREY LODGE PRACTICE</t>
  </si>
  <si>
    <t>(P84024) BOWLAND MEDICAL PRACTICE</t>
  </si>
  <si>
    <t>(P84025) ST. GEORGE'S MEDICAL CENTRE</t>
  </si>
  <si>
    <t>(P84026) SHIV LODGE MEDICAL CENTRE</t>
  </si>
  <si>
    <t>(P84027) WEST POINT MEDICAL CENTRE</t>
  </si>
  <si>
    <t>(P84028) GORTON MEDICAL CENTRE</t>
  </si>
  <si>
    <t>(P84029) BENCHILL MEDICAL PRACTICE</t>
  </si>
  <si>
    <t>(P84030) NEW COLLEGIATE MEDICAL CENTRE</t>
  </si>
  <si>
    <t>(P84032) DR MOKASHI</t>
  </si>
  <si>
    <t>(P84033) HIGHER BLACKLEY MEDICAL CENTRE</t>
  </si>
  <si>
    <t>(P84034) BARLOW MEDICAL CENTRE</t>
  </si>
  <si>
    <t>(P84035) BODEY MEDICAL CENTRE</t>
  </si>
  <si>
    <t>(P84038) ASHVILLE SURGERY</t>
  </si>
  <si>
    <t>(P84039) THE RANGE MEDICAL CENTRE</t>
  </si>
  <si>
    <t>(P84040) CONRAN MEDICAL CENTRE</t>
  </si>
  <si>
    <t>(P84041) MILL ST MEDICAL CENTRE</t>
  </si>
  <si>
    <t>(P84042) FLORENCE HOUSE MEDICAL PRACTICE</t>
  </si>
  <si>
    <t>(P84043) CORNISHWAY GROUP PRACTICE</t>
  </si>
  <si>
    <t>(P84045) THE PARK MEDICAL CENTRE</t>
  </si>
  <si>
    <t>(P84046) CHEETHAM HILL PRIMARY CARE CENTRE</t>
  </si>
  <si>
    <t>(P84047) DROYLSDEN RD FAMILY PRACTICE</t>
  </si>
  <si>
    <t>(P84048) TREGENNA GROUP PRACTICE</t>
  </si>
  <si>
    <t>(P84049) THE AVENUE MEDICAL CENTRE</t>
  </si>
  <si>
    <t>(P84050) MOUNT ROAD SURGERY</t>
  </si>
  <si>
    <t>(P84051) DR GOODALL</t>
  </si>
  <si>
    <t>(P84052) WEST GORTON MEDICAL PRACTICE</t>
  </si>
  <si>
    <t>(P84053) ASHCROFT SURGERY</t>
  </si>
  <si>
    <t>(P84054) WHITLEY ROAD MEDICAL CENTRE</t>
  </si>
  <si>
    <t>(P84055) MERSEYBANK SURGERY</t>
  </si>
  <si>
    <t>(P84056) PRINCESS ROAD SURGERY</t>
  </si>
  <si>
    <t>(P84057) KAYA PRACTICE</t>
  </si>
  <si>
    <t>(P84059) THE FAMILY SURGERY</t>
  </si>
  <si>
    <t>(P84061) BROOKLANDS MEDICAL PRACTICE</t>
  </si>
  <si>
    <t>(P84062) BROOKDALE SURGERY</t>
  </si>
  <si>
    <t>(P84064) ANCOATS PRIMARY CARE CENTRE</t>
  </si>
  <si>
    <t>(P84065) HARPURHEY MEDICAL CENTRE</t>
  </si>
  <si>
    <t>(P84066) DAVID MEDICAL CENTRE - DR SHARMA</t>
  </si>
  <si>
    <t>(P84067) HAZELDENE MEDICAL CENTRE</t>
  </si>
  <si>
    <t>(P84068) DR RADCLIFFE AND CHEW-GRAHAM</t>
  </si>
  <si>
    <t>(P84070) NEWTON HEATH MEDICAL CENTRE</t>
  </si>
  <si>
    <t>(P84071) WILBRAHAM SURGERY</t>
  </si>
  <si>
    <t>(P84072) THE ROBERT DARBISHIRE PRACTICE</t>
  </si>
  <si>
    <t>(P84074) WELLFIELD MEDICAL CENTRE</t>
  </si>
  <si>
    <t>(P84605) TAVISTOCK SURGERY</t>
  </si>
  <si>
    <t>(P84611) DR CHIU</t>
  </si>
  <si>
    <t>(P84615) BOUNDARY MEDICAL PRACTICE</t>
  </si>
  <si>
    <t>(P84616) MOSS SIDE FAMILY MEDICAL PRACTICE</t>
  </si>
  <si>
    <t>(P84623) ALEESHAN MEDICAL CENTRE</t>
  </si>
  <si>
    <t>(P84626) WILMSLOW ROAD SURGERY</t>
  </si>
  <si>
    <t>(P84627) DR TIWARI'S PRACTICE</t>
  </si>
  <si>
    <t>(P84630) THE ARCH MEDICAL PRACTICE</t>
  </si>
  <si>
    <t>(P84631) ARTANE MEDICAL CENTRE</t>
  </si>
  <si>
    <t>(P84635) ALEXANDRA RANGE</t>
  </si>
  <si>
    <t>(P84639) FALLOWFIELD MEDICAL CENTRE</t>
  </si>
  <si>
    <t>(P84640) QUEENS MEDICAL CENTRE</t>
  </si>
  <si>
    <t>(P84642) DR DASS'S PRACTICE</t>
  </si>
  <si>
    <t>(P84644) PARKSIDE SURGERY</t>
  </si>
  <si>
    <t>(P84645) PARKVIEW MEDICAL CENTRE</t>
  </si>
  <si>
    <t>(P84646) HULME MEDICAL CENTRE</t>
  </si>
  <si>
    <t>(P84650) THE ALEXANDRA PRACTICE</t>
  </si>
  <si>
    <t>(P84651) NORTHERN MOOR MEDICAL PRACTICE</t>
  </si>
  <si>
    <t>(P84652) CORKLAND ROAD MEDICAL PRACTICE</t>
  </si>
  <si>
    <t>(P84659) DR HUSSAIN'S PRACTICE</t>
  </si>
  <si>
    <t>(P84662) VAISHALI MEDICAL CENTRE</t>
  </si>
  <si>
    <t>(P84663) THE VILLAGE SURGERY</t>
  </si>
  <si>
    <t>(P84665) AL-SHIFA MEDICAL CENTRE</t>
  </si>
  <si>
    <t>(P84668) DR CHAUDURY'S PRACTICE</t>
  </si>
  <si>
    <t>(P84669) CITY ROAD SURGERY</t>
  </si>
  <si>
    <t>(P84672) WOODLANDS MEDICAL PRACTICE</t>
  </si>
  <si>
    <t>(P84673) ANCOATS URBAN VILLAGE MEDICAL PRACTICE</t>
  </si>
  <si>
    <t>(P84676) OSWALD ROAD MEDICAL PRACTICE</t>
  </si>
  <si>
    <t>(P84677) DIDSBURY MEDICAL CENTRE- DR ASHWORTH</t>
  </si>
  <si>
    <t>(P84678) DIDSBURY MEDICAL CENTRE - DR WHITAKER</t>
  </si>
  <si>
    <t>(P84679) DR ML SAHA'S PRACTICE</t>
  </si>
  <si>
    <t>(P84682) BURNAGE HEALTHCARE PRACTICE</t>
  </si>
  <si>
    <t>(P84683) THE DOC'S SURGERY</t>
  </si>
  <si>
    <t>(P84684) JOLLY MEDICAL CENTRE</t>
  </si>
  <si>
    <t>(P84688) DR SREEDHARAN'S PRACTICE</t>
  </si>
  <si>
    <t>(P84689) LONGSIGHT MEDICAL PRACTICE</t>
  </si>
  <si>
    <t>(P84690) DAM HEAD MEDICAL CENTRE</t>
  </si>
  <si>
    <t>(Y02325) CHARLESTOWN MD</t>
  </si>
  <si>
    <t>(Y02520) SIMPSON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</si>
  <si>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</si>
  <si>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</si>
  <si>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</si>
  <si>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</si>
  <si>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</si>
  <si>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</si>
  <si>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</si>
  <si>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</si>
  <si>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</si>
  <si>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</si>
  <si>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(P84037) DR CUNNINGHAM + PARTNERS</t>
  </si>
  <si>
    <t>(P84063) DR CHEN + DAVIS</t>
  </si>
  <si>
    <t>(P84637) THE MAZHARI + KHAN PRACTICE</t>
  </si>
  <si>
    <t>Upper scale</t>
  </si>
  <si>
    <t>Lower scale</t>
  </si>
  <si>
    <t>Removed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</si>
</sst>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0.7749999571591623</c:v>
                </c:pt>
                <c:pt idx="4">
                  <c:v>1</c:v>
                </c:pt>
                <c:pt idx="5">
                  <c:v>1</c:v>
                </c:pt>
                <c:pt idx="6">
                  <c:v>0.9999999708961692</c:v>
                </c:pt>
                <c:pt idx="7">
                  <c:v>0.8030592698941121</c:v>
                </c:pt>
                <c:pt idx="8">
                  <c:v>0.6655116265917639</c:v>
                </c:pt>
                <c:pt idx="9">
                  <c:v>0.6607913053165411</c:v>
                </c:pt>
                <c:pt idx="10">
                  <c:v>1</c:v>
                </c:pt>
                <c:pt idx="11">
                  <c:v>0.8636733976079909</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0.601324242256188</c:v>
                </c:pt>
                <c:pt idx="3">
                  <c:v>0.5750000018626451</c:v>
                </c:pt>
                <c:pt idx="4">
                  <c:v>0.6307304671461899</c:v>
                </c:pt>
                <c:pt idx="5">
                  <c:v>0.6658914549395566</c:v>
                </c:pt>
                <c:pt idx="6">
                  <c:v>0.6875000327418096</c:v>
                </c:pt>
                <c:pt idx="7">
                  <c:v>0.575212495432686</c:v>
                </c:pt>
                <c:pt idx="8">
                  <c:v>0.559136991444613</c:v>
                </c:pt>
                <c:pt idx="9">
                  <c:v>0.5526982947057729</c:v>
                </c:pt>
                <c:pt idx="10">
                  <c:v>0.6525342028819463</c:v>
                </c:pt>
                <c:pt idx="11">
                  <c:v>0.6765331877948512</c:v>
                </c:pt>
                <c:pt idx="12">
                  <c:v>0.599710525870043</c:v>
                </c:pt>
                <c:pt idx="13">
                  <c:v>0</c:v>
                </c:pt>
                <c:pt idx="14">
                  <c:v>0.6810200686861336</c:v>
                </c:pt>
                <c:pt idx="15">
                  <c:v>0.601476009150375</c:v>
                </c:pt>
                <c:pt idx="16">
                  <c:v>0.5685624912760173</c:v>
                </c:pt>
                <c:pt idx="17">
                  <c:v>0.5459245304692827</c:v>
                </c:pt>
                <c:pt idx="18">
                  <c:v>0.5664269880985843</c:v>
                </c:pt>
                <c:pt idx="19">
                  <c:v>0.6310809419080092</c:v>
                </c:pt>
                <c:pt idx="20">
                  <c:v>0.6333238799633638</c:v>
                </c:pt>
                <c:pt idx="21">
                  <c:v>0.6500949596291443</c:v>
                </c:pt>
                <c:pt idx="22">
                  <c:v>0.5798475141828626</c:v>
                </c:pt>
                <c:pt idx="23">
                  <c:v>0.5590212081398132</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0.40000003628657466</c:v>
                </c:pt>
                <c:pt idx="3">
                  <c:v>0.34999999627470973</c:v>
                </c:pt>
                <c:pt idx="4">
                  <c:v>0.3875302392791974</c:v>
                </c:pt>
                <c:pt idx="5">
                  <c:v>0.39936756021651704</c:v>
                </c:pt>
                <c:pt idx="6">
                  <c:v>0.3125000254658519</c:v>
                </c:pt>
                <c:pt idx="7">
                  <c:v>0.3809100426774732</c:v>
                </c:pt>
                <c:pt idx="8">
                  <c:v>0.4118147914251333</c:v>
                </c:pt>
                <c:pt idx="9">
                  <c:v>0.4554533070919196</c:v>
                </c:pt>
                <c:pt idx="10">
                  <c:v>0.4042636876877411</c:v>
                </c:pt>
                <c:pt idx="11">
                  <c:v>0.38230973516163275</c:v>
                </c:pt>
                <c:pt idx="12">
                  <c:v>0.3980295235721562</c:v>
                </c:pt>
                <c:pt idx="13">
                  <c:v>0</c:v>
                </c:pt>
                <c:pt idx="14">
                  <c:v>0.41080653003243184</c:v>
                </c:pt>
                <c:pt idx="15">
                  <c:v>0.4280113222398275</c:v>
                </c:pt>
                <c:pt idx="16">
                  <c:v>0.39365690406993287</c:v>
                </c:pt>
                <c:pt idx="17">
                  <c:v>0.4517275841949016</c:v>
                </c:pt>
                <c:pt idx="18">
                  <c:v>0.3683640081006002</c:v>
                </c:pt>
                <c:pt idx="19">
                  <c:v>0.4154674114295615</c:v>
                </c:pt>
                <c:pt idx="20">
                  <c:v>0.39164520571106465</c:v>
                </c:pt>
                <c:pt idx="21">
                  <c:v>0.3642510787009694</c:v>
                </c:pt>
                <c:pt idx="22">
                  <c:v>0.40148541952045613</c:v>
                </c:pt>
                <c:pt idx="23">
                  <c:v>0.4352865062119257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0.16309445498199854</c:v>
                </c:pt>
                <c:pt idx="3">
                  <c:v>0</c:v>
                </c:pt>
                <c:pt idx="4">
                  <c:v>0.2513854415665408</c:v>
                </c:pt>
                <c:pt idx="5">
                  <c:v>0.29107351421890076</c:v>
                </c:pt>
                <c:pt idx="6">
                  <c:v>0</c:v>
                </c:pt>
                <c:pt idx="7">
                  <c:v>0</c:v>
                </c:pt>
                <c:pt idx="8">
                  <c:v>0</c:v>
                </c:pt>
                <c:pt idx="9">
                  <c:v>0</c:v>
                </c:pt>
                <c:pt idx="10">
                  <c:v>0.2261352064297358</c:v>
                </c:pt>
                <c:pt idx="11">
                  <c:v>0</c:v>
                </c:pt>
                <c:pt idx="12">
                  <c:v>0.28476809784822893</c:v>
                </c:pt>
                <c:pt idx="13">
                  <c:v>0</c:v>
                </c:pt>
                <c:pt idx="14">
                  <c:v>0.24239598448249156</c:v>
                </c:pt>
                <c:pt idx="15">
                  <c:v>0.27658947075023116</c:v>
                </c:pt>
                <c:pt idx="16">
                  <c:v>0.33048591483965684</c:v>
                </c:pt>
                <c:pt idx="17">
                  <c:v>0.41120687646732784</c:v>
                </c:pt>
                <c:pt idx="18">
                  <c:v>0.36861947899920966</c:v>
                </c:pt>
                <c:pt idx="19">
                  <c:v>0.3400131559214386</c:v>
                </c:pt>
                <c:pt idx="20">
                  <c:v>0.2457169486156436</c:v>
                </c:pt>
                <c:pt idx="21">
                  <c:v>0.07438333324439116</c:v>
                </c:pt>
                <c:pt idx="22">
                  <c:v>0.24552795123090584</c:v>
                </c:pt>
                <c:pt idx="23">
                  <c:v>0.32791812424800565</c:v>
                </c:pt>
                <c:pt idx="24">
                  <c:v>0</c:v>
                </c:pt>
                <c:pt idx="25">
                  <c:v>0</c:v>
                </c:pt>
                <c:pt idx="26">
                  <c:v>0</c:v>
                </c:pt>
              </c:numCache>
            </c:numRef>
          </c:val>
        </c:ser>
        <c:overlap val="100"/>
        <c:gapWidth val="100"/>
        <c:axId val="9770312"/>
        <c:axId val="2082394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0.7213219733454328</c:v>
                </c:pt>
                <c:pt idx="3">
                  <c:v>0.17527325917243208</c:v>
                </c:pt>
                <c:pt idx="4">
                  <c:v>0.592183030290692</c:v>
                </c:pt>
                <c:pt idx="5">
                  <c:v>0.5960616045064124</c:v>
                </c:pt>
                <c:pt idx="6">
                  <c:v>0.8087954034405184</c:v>
                </c:pt>
                <c:pt idx="7">
                  <c:v>0.7287403568424382</c:v>
                </c:pt>
                <c:pt idx="8">
                  <c:v>0.6150381567722295</c:v>
                </c:pt>
                <c:pt idx="9">
                  <c:v>0.575076047852166</c:v>
                </c:pt>
                <c:pt idx="10">
                  <c:v>0.9785917945959214</c:v>
                </c:pt>
                <c:pt idx="11">
                  <c:v>0.9139142664089664</c:v>
                </c:pt>
                <c:pt idx="12">
                  <c:v>0.68503316237549</c:v>
                </c:pt>
                <c:pt idx="13">
                  <c:v>0.5</c:v>
                </c:pt>
                <c:pt idx="14">
                  <c:v>0.546189569409333</c:v>
                </c:pt>
                <c:pt idx="15">
                  <c:v>0.5643776444418205</c:v>
                </c:pt>
                <c:pt idx="16">
                  <c:v>0.6492521923991407</c:v>
                </c:pt>
                <c:pt idx="17">
                  <c:v>0.5751014917342303</c:v>
                </c:pt>
                <c:pt idx="18">
                  <c:v>0.5884915197134938</c:v>
                </c:pt>
                <c:pt idx="19">
                  <c:v>0.7254453161261604</c:v>
                </c:pt>
                <c:pt idx="20">
                  <c:v>0.5909388024436725</c:v>
                </c:pt>
                <c:pt idx="21">
                  <c:v>0.4949090132235702</c:v>
                </c:pt>
                <c:pt idx="22">
                  <c:v>0.5568252612891994</c:v>
                </c:pt>
                <c:pt idx="23">
                  <c:v>0.5045317544168786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0.40659417516481655</c:v>
                </c:pt>
                <c:pt idx="5">
                  <c:v>0.4138768201110238</c:v>
                </c:pt>
                <c:pt idx="6">
                  <c:v>-999</c:v>
                </c:pt>
                <c:pt idx="7">
                  <c:v>-999</c:v>
                </c:pt>
                <c:pt idx="8">
                  <c:v>-999</c:v>
                </c:pt>
                <c:pt idx="9">
                  <c:v>-999</c:v>
                </c:pt>
                <c:pt idx="10">
                  <c:v>-999</c:v>
                </c:pt>
                <c:pt idx="11">
                  <c:v>-999</c:v>
                </c:pt>
                <c:pt idx="12">
                  <c:v>-999</c:v>
                </c:pt>
                <c:pt idx="13">
                  <c:v>-999</c:v>
                </c:pt>
                <c:pt idx="14">
                  <c:v>0.5424635724854148</c:v>
                </c:pt>
                <c:pt idx="15">
                  <c:v>0.5571955657226388</c:v>
                </c:pt>
                <c:pt idx="16">
                  <c:v>-999</c:v>
                </c:pt>
                <c:pt idx="17">
                  <c:v>0.5271590611318259</c:v>
                </c:pt>
                <c:pt idx="18">
                  <c:v>-999</c:v>
                </c:pt>
                <c:pt idx="19">
                  <c:v>-999</c:v>
                </c:pt>
                <c:pt idx="20">
                  <c:v>-999</c:v>
                </c:pt>
                <c:pt idx="21">
                  <c:v>0.4151184559210456</c:v>
                </c:pt>
                <c:pt idx="22">
                  <c:v>0.4559504643967684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0.4196790015863582</c:v>
                </c:pt>
                <c:pt idx="3">
                  <c:v>0.5499999962747097</c:v>
                </c:pt>
                <c:pt idx="4">
                  <c:v>-999</c:v>
                </c:pt>
                <c:pt idx="5">
                  <c:v>-999</c:v>
                </c:pt>
                <c:pt idx="6">
                  <c:v>0.25000000104773784</c:v>
                </c:pt>
                <c:pt idx="7">
                  <c:v>0.27925596960192706</c:v>
                </c:pt>
                <c:pt idx="8">
                  <c:v>0.36199014344018926</c:v>
                </c:pt>
                <c:pt idx="9">
                  <c:v>0.3042709920420498</c:v>
                </c:pt>
                <c:pt idx="10">
                  <c:v>0.331022372402547</c:v>
                </c:pt>
                <c:pt idx="11">
                  <c:v>0.22952251573701019</c:v>
                </c:pt>
                <c:pt idx="12">
                  <c:v>0.4452538543470443</c:v>
                </c:pt>
                <c:pt idx="13">
                  <c:v>0.33491133740448514</c:v>
                </c:pt>
                <c:pt idx="14">
                  <c:v>-999</c:v>
                </c:pt>
                <c:pt idx="15">
                  <c:v>-999</c:v>
                </c:pt>
                <c:pt idx="16">
                  <c:v>0.3536636165019202</c:v>
                </c:pt>
                <c:pt idx="17">
                  <c:v>-999</c:v>
                </c:pt>
                <c:pt idx="18">
                  <c:v>-999</c:v>
                </c:pt>
                <c:pt idx="19">
                  <c:v>0.39873681897549773</c:v>
                </c:pt>
                <c:pt idx="20">
                  <c:v>0.40654073745655517</c:v>
                </c:pt>
                <c:pt idx="21">
                  <c:v>-999</c:v>
                </c:pt>
                <c:pt idx="22">
                  <c:v>-999</c:v>
                </c:pt>
                <c:pt idx="23">
                  <c:v>0.3981671303305985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3197778"/>
        <c:axId val="9017955"/>
      </c:scatterChart>
      <c:catAx>
        <c:axId val="9770312"/>
        <c:scaling>
          <c:orientation val="maxMin"/>
        </c:scaling>
        <c:axPos val="l"/>
        <c:delete val="0"/>
        <c:numFmt formatCode="General" sourceLinked="1"/>
        <c:majorTickMark val="out"/>
        <c:minorTickMark val="none"/>
        <c:tickLblPos val="none"/>
        <c:spPr>
          <a:ln w="3175">
            <a:noFill/>
          </a:ln>
        </c:spPr>
        <c:crossAx val="20823945"/>
        <c:crosses val="autoZero"/>
        <c:auto val="1"/>
        <c:lblOffset val="100"/>
        <c:tickLblSkip val="1"/>
        <c:noMultiLvlLbl val="0"/>
      </c:catAx>
      <c:valAx>
        <c:axId val="20823945"/>
        <c:scaling>
          <c:orientation val="minMax"/>
          <c:max val="1"/>
          <c:min val="0"/>
        </c:scaling>
        <c:axPos val="t"/>
        <c:delete val="0"/>
        <c:numFmt formatCode="General" sourceLinked="1"/>
        <c:majorTickMark val="none"/>
        <c:minorTickMark val="none"/>
        <c:tickLblPos val="none"/>
        <c:spPr>
          <a:ln w="3175">
            <a:noFill/>
          </a:ln>
        </c:spPr>
        <c:crossAx val="9770312"/>
        <c:crossesAt val="1"/>
        <c:crossBetween val="between"/>
        <c:dispUnits/>
        <c:majorUnit val="1"/>
      </c:valAx>
      <c:valAx>
        <c:axId val="53197778"/>
        <c:scaling>
          <c:orientation val="minMax"/>
          <c:max val="1"/>
          <c:min val="0"/>
        </c:scaling>
        <c:axPos val="t"/>
        <c:delete val="0"/>
        <c:numFmt formatCode="General" sourceLinked="1"/>
        <c:majorTickMark val="none"/>
        <c:minorTickMark val="none"/>
        <c:tickLblPos val="none"/>
        <c:spPr>
          <a:ln w="3175">
            <a:noFill/>
          </a:ln>
        </c:spPr>
        <c:crossAx val="9017955"/>
        <c:crosses val="max"/>
        <c:crossBetween val="midCat"/>
        <c:dispUnits/>
        <c:majorUnit val="0.1"/>
        <c:minorUnit val="0.020000000000000004"/>
      </c:valAx>
      <c:valAx>
        <c:axId val="9017955"/>
        <c:scaling>
          <c:orientation val="maxMin"/>
          <c:max val="29"/>
          <c:min val="0"/>
        </c:scaling>
        <c:axPos val="l"/>
        <c:delete val="0"/>
        <c:numFmt formatCode="General" sourceLinked="1"/>
        <c:majorTickMark val="none"/>
        <c:minorTickMark val="none"/>
        <c:tickLblPos val="none"/>
        <c:spPr>
          <a:ln w="3175">
            <a:noFill/>
          </a:ln>
        </c:spPr>
        <c:crossAx val="5319777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(P84009) AILSA CRAIG MEDICAL CENTRE, MANCHESTER PCT (5NT)</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532</v>
      </c>
      <c r="Q3" s="65"/>
      <c r="R3" s="66"/>
      <c r="S3" s="66"/>
      <c r="T3" s="66"/>
      <c r="U3" s="66"/>
      <c r="V3" s="66"/>
      <c r="W3" s="66"/>
      <c r="X3" s="66"/>
      <c r="Y3" s="66"/>
      <c r="Z3" s="66"/>
      <c r="AA3" s="66"/>
      <c r="AB3" s="66"/>
      <c r="AC3" s="66"/>
    </row>
    <row r="4" spans="2:29" ht="18" customHeight="1">
      <c r="B4" s="319" t="s">
        <v>664</v>
      </c>
      <c r="C4" s="320"/>
      <c r="D4" s="320"/>
      <c r="E4" s="320"/>
      <c r="F4" s="320"/>
      <c r="G4" s="321"/>
      <c r="H4" s="112"/>
      <c r="I4" s="112"/>
      <c r="J4" s="112"/>
      <c r="K4" s="112"/>
      <c r="L4" s="113"/>
      <c r="M4" s="65"/>
      <c r="N4" s="65"/>
      <c r="O4" s="65"/>
      <c r="P4" s="134" t="s">
        <v>533</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534</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429</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663</v>
      </c>
      <c r="C8" s="115"/>
      <c r="D8" s="115"/>
      <c r="E8" s="128">
        <f>VLOOKUP('Hide - Control'!A$3,'All practice data'!A:CA,4,FALSE)</f>
        <v>8288</v>
      </c>
      <c r="F8" s="310" t="str">
        <f>VLOOKUP('Hide - Control'!B4,'Hide - Calculation'!AY:BA,3,FALSE)</f>
        <v>Please note: Bowel screening indicators are based on less than 30 but over 12 months of data.</v>
      </c>
      <c r="G8" s="310"/>
      <c r="H8" s="310"/>
      <c r="I8" s="115"/>
      <c r="J8" s="115"/>
      <c r="K8" s="115"/>
      <c r="L8" s="115"/>
      <c r="M8" s="109"/>
      <c r="N8" s="314" t="s">
        <v>542</v>
      </c>
      <c r="O8" s="314"/>
      <c r="P8" s="314"/>
      <c r="Q8" s="314" t="s">
        <v>32</v>
      </c>
      <c r="R8" s="314"/>
      <c r="S8" s="314"/>
      <c r="T8" s="314" t="s">
        <v>667</v>
      </c>
      <c r="U8" s="314"/>
      <c r="V8" s="314" t="s">
        <v>33</v>
      </c>
      <c r="W8" s="314"/>
      <c r="X8" s="314"/>
      <c r="Y8" s="135"/>
      <c r="Z8" s="314" t="s">
        <v>535</v>
      </c>
      <c r="AA8" s="314"/>
      <c r="AB8" s="161"/>
      <c r="AC8" s="109"/>
    </row>
    <row r="9" spans="2:29" s="61" customFormat="1" ht="19.5" customHeight="1" thickBot="1">
      <c r="B9" s="114" t="s">
        <v>527</v>
      </c>
      <c r="C9" s="114"/>
      <c r="D9" s="114"/>
      <c r="E9" s="129">
        <f>VLOOKUP('Hide - Control'!B4,'Hide - Calculation'!AY:BB,4,FALSE)</f>
        <v>545543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524</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505</v>
      </c>
      <c r="E11" s="317"/>
      <c r="F11" s="318"/>
      <c r="G11" s="263" t="s">
        <v>503</v>
      </c>
      <c r="H11" s="255" t="s">
        <v>504</v>
      </c>
      <c r="I11" s="255" t="s">
        <v>515</v>
      </c>
      <c r="J11" s="255" t="s">
        <v>516</v>
      </c>
      <c r="K11" s="255" t="s">
        <v>387</v>
      </c>
      <c r="L11" s="256" t="s">
        <v>429</v>
      </c>
      <c r="M11" s="257" t="s">
        <v>525</v>
      </c>
      <c r="N11" s="334" t="s">
        <v>523</v>
      </c>
      <c r="O11" s="334"/>
      <c r="P11" s="334"/>
      <c r="Q11" s="334"/>
      <c r="R11" s="334"/>
      <c r="S11" s="334"/>
      <c r="T11" s="334"/>
      <c r="U11" s="334"/>
      <c r="V11" s="334"/>
      <c r="W11" s="334"/>
      <c r="X11" s="334"/>
      <c r="Y11" s="334"/>
      <c r="Z11" s="334"/>
      <c r="AA11" s="258" t="s">
        <v>526</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385</v>
      </c>
      <c r="C13" s="163">
        <v>1</v>
      </c>
      <c r="D13" s="312" t="s">
        <v>381</v>
      </c>
      <c r="E13" s="313"/>
      <c r="F13" s="313"/>
      <c r="G13" s="166">
        <f>IF(VLOOKUP('Hide - Control'!A$3,'All practice data'!A:CA,C13+4,FALSE)=" "," ",VLOOKUP('Hide - Control'!A$3,'All practice data'!A:CA,C13+4,FALSE))</f>
        <v>710</v>
      </c>
      <c r="H13" s="190">
        <f>IF(VLOOKUP('Hide - Control'!A$3,'All practice data'!A:CA,C13+30,FALSE)=" "," ",VLOOKUP('Hide - Control'!A$3,'All practice data'!A:CA,C13+30,FALSE))</f>
        <v>0.08566602316602316</v>
      </c>
      <c r="I13" s="191">
        <f>IF(LEFT(G13,1)=" "," n/a",+((2*G13+1.96^2-1.96*SQRT(1.96^2+4*G13*(1-G13/E$8)))/(2*(E$8+1.96^2))))</f>
        <v>0.07983089339420245</v>
      </c>
      <c r="J13" s="191">
        <f>IF(LEFT(G13,1)=" "," n/a",+((2*G13+1.96^2+1.96*SQRT(1.96^2+4*G13*(1-G13/E$8)))/(2*(E$8+1.96^2))))</f>
        <v>0.09188507378008606</v>
      </c>
      <c r="K13" s="190">
        <f>IF('Hide - Calculation'!N7="","",'Hide - Calculation'!N7)</f>
        <v>0.10338690075759381</v>
      </c>
      <c r="L13" s="192">
        <f>'Hide - Calculation'!O7</f>
        <v>0.1599882305185145</v>
      </c>
      <c r="M13" s="208">
        <f>IF(ISBLANK('Hide - Calculation'!K7),"",'Hide - Calculation'!U7)</f>
        <v>0.02244582027196884</v>
      </c>
      <c r="N13" s="173"/>
      <c r="O13" s="173"/>
      <c r="P13" s="173"/>
      <c r="Q13" s="173"/>
      <c r="R13" s="173"/>
      <c r="S13" s="173"/>
      <c r="T13" s="173"/>
      <c r="U13" s="173"/>
      <c r="V13" s="173"/>
      <c r="W13" s="173"/>
      <c r="X13" s="173"/>
      <c r="Y13" s="173"/>
      <c r="Z13" s="173"/>
      <c r="AA13" s="226">
        <f>IF(ISBLANK('Hide - Calculation'!K7),"",'Hide - Calculation'!T7)</f>
        <v>0.22865207493305206</v>
      </c>
      <c r="AB13" s="233" t="s">
        <v>661</v>
      </c>
      <c r="AC13" s="209" t="s">
        <v>662</v>
      </c>
    </row>
    <row r="14" spans="2:29" ht="33.75" customHeight="1">
      <c r="B14" s="306"/>
      <c r="C14" s="137">
        <v>2</v>
      </c>
      <c r="D14" s="132" t="s">
        <v>536</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v>
      </c>
      <c r="I14" s="120">
        <f>IF(LEFT(G14,1)=" "," n/a",+((2*H14*E8+1.96^2-1.96*SQRT(1.96^2+4*H14*E8*(1-H14*E8/E$8)))/(2*(E$8+1.96^2))))</f>
        <v>0.2902285162445908</v>
      </c>
      <c r="J14" s="120">
        <f>IF(LEFT(G14,1)=" "," n/a",+((2*H14*E8+1.96^2+1.96*SQRT(1.96^2+4*H14*E8*(1-H14*E8/E$8)))/(2*(E$8+1.96^2))))</f>
        <v>0.3099568032627187</v>
      </c>
      <c r="K14" s="119">
        <f>IF('Hide - Calculation'!N8="","",'Hide - Calculation'!N8)</f>
        <v>0.25648198217189117</v>
      </c>
      <c r="L14" s="155">
        <f>'Hide - Calculation'!O8</f>
        <v>0.15010930292554353</v>
      </c>
      <c r="M14" s="150">
        <f>IF(ISBLANK('Hide - Calculation'!K8),"",'Hide - Calculation'!U8)</f>
        <v>0.07999999821186066</v>
      </c>
      <c r="N14" s="84"/>
      <c r="O14" s="84"/>
      <c r="P14" s="84"/>
      <c r="Q14" s="84"/>
      <c r="R14" s="84"/>
      <c r="S14" s="84"/>
      <c r="T14" s="84"/>
      <c r="U14" s="84"/>
      <c r="V14" s="84"/>
      <c r="W14" s="84"/>
      <c r="X14" s="84"/>
      <c r="Y14" s="84"/>
      <c r="Z14" s="84"/>
      <c r="AA14" s="227">
        <f>IF(ISBLANK('Hide - Calculation'!K8),"",'Hide - Calculation'!T8)</f>
        <v>0.38999998569488525</v>
      </c>
      <c r="AB14" s="234" t="s">
        <v>39</v>
      </c>
      <c r="AC14" s="130" t="s">
        <v>662</v>
      </c>
    </row>
    <row r="15" spans="2:39" s="63" customFormat="1" ht="33.75" customHeight="1">
      <c r="B15" s="306"/>
      <c r="C15" s="137">
        <v>3</v>
      </c>
      <c r="D15" s="132" t="s">
        <v>390</v>
      </c>
      <c r="E15" s="85"/>
      <c r="F15" s="85"/>
      <c r="G15" s="121">
        <f>IF(VLOOKUP('Hide - Control'!A$3,'All practice data'!A:CA,C15+4,FALSE)=" "," ",VLOOKUP('Hide - Control'!A$3,'All practice data'!A:CA,C15+4,FALSE))</f>
        <v>21</v>
      </c>
      <c r="H15" s="122">
        <f>IF(VLOOKUP('Hide - Control'!A$3,'All practice data'!A:CA,C15+30,FALSE)=" "," ",VLOOKUP('Hide - Control'!A$3,'All practice data'!A:CA,C15+30,FALSE))</f>
        <v>253.3783783783784</v>
      </c>
      <c r="I15" s="123">
        <f>IF(LEFT(G15,1)=" "," n/a",IF(G15&lt;5,100000*VLOOKUP(G15,'Hide - Calculation'!AQ:AR,2,FALSE)/$E$8,100000*(G15*(1-1/(9*G15)-1.96/(3*SQRT(G15)))^3)/$E$8))</f>
        <v>156.7842261372003</v>
      </c>
      <c r="J15" s="123">
        <f>IF(LEFT(G15,1)=" "," n/a",IF(G15&lt;5,100000*VLOOKUP(G15,'Hide - Calculation'!AQ:AS,3,FALSE)/$E$8,100000*((G15+1)*(1-1/(9*(G15+1))+1.96/(3*SQRT(G15+1)))^3)/$E$8))</f>
        <v>387.33660236601986</v>
      </c>
      <c r="K15" s="122">
        <f>IF('Hide - Calculation'!N9="","",'Hide - Calculation'!N9)</f>
        <v>348.09355082917386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868.0555419921875</v>
      </c>
      <c r="AB15" s="234" t="s">
        <v>506</v>
      </c>
      <c r="AC15" s="131">
        <v>2009</v>
      </c>
      <c r="AD15" s="64"/>
      <c r="AE15" s="64"/>
      <c r="AF15" s="64"/>
      <c r="AG15" s="64"/>
      <c r="AH15" s="64"/>
      <c r="AI15" s="64"/>
      <c r="AJ15" s="64"/>
      <c r="AK15" s="64"/>
      <c r="AL15" s="64"/>
      <c r="AM15" s="64"/>
    </row>
    <row r="16" spans="2:29" s="63" customFormat="1" ht="33.75" customHeight="1">
      <c r="B16" s="306"/>
      <c r="C16" s="137">
        <v>4</v>
      </c>
      <c r="D16" s="132" t="s">
        <v>528</v>
      </c>
      <c r="E16" s="85"/>
      <c r="F16" s="85"/>
      <c r="G16" s="121">
        <f>IF(VLOOKUP('Hide - Control'!A$3,'All practice data'!A:CA,C16+4,FALSE)=" "," ",VLOOKUP('Hide - Control'!A$3,'All practice data'!A:CA,C16+4,FALSE))</f>
        <v>10</v>
      </c>
      <c r="H16" s="122">
        <f>IF(VLOOKUP('Hide - Control'!A$3,'All practice data'!A:CA,C16+30,FALSE)=" "," ",VLOOKUP('Hide - Control'!A$3,'All practice data'!A:CA,C16+30,FALSE))</f>
        <v>120.65637065637065</v>
      </c>
      <c r="I16" s="123">
        <f>IF(LEFT(G16,1)=" "," n/a",IF(G16&lt;5,100000*VLOOKUP(G16,'Hide - Calculation'!AQ:AR,2,FALSE)/$E$8,100000*(G16*(1-1/(9*G16)-1.96/(3*SQRT(G16)))^3)/$E$8))</f>
        <v>57.762792175839785</v>
      </c>
      <c r="J16" s="123">
        <f>IF(LEFT(G16,1)=" "," n/a",IF(G16&lt;5,100000*VLOOKUP(G16,'Hide - Calculation'!AQ:AS,3,FALSE)/$E$8,100000*((G16+1)*(1-1/(9*(G16+1))+1.96/(3*SQRT(G16+1)))^3)/$E$8))</f>
        <v>221.9066949089107</v>
      </c>
      <c r="K16" s="122">
        <f>IF('Hide - Calculation'!N10="","",'Hide - Calculation'!N10)</f>
        <v>194.48512766179752</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485.6988525390625</v>
      </c>
      <c r="AB16" s="234" t="s">
        <v>384</v>
      </c>
      <c r="AC16" s="131" t="s">
        <v>563</v>
      </c>
    </row>
    <row r="17" spans="2:29" s="63" customFormat="1" ht="33.75" customHeight="1" thickBot="1">
      <c r="B17" s="309"/>
      <c r="C17" s="180">
        <v>5</v>
      </c>
      <c r="D17" s="195" t="s">
        <v>389</v>
      </c>
      <c r="E17" s="182"/>
      <c r="F17" s="182"/>
      <c r="G17" s="140">
        <f>IF(VLOOKUP('Hide - Control'!A$3,'All practice data'!A:CA,C17+4,FALSE)=" "," ",VLOOKUP('Hide - Control'!A$3,'All practice data'!A:CA,C17+4,FALSE))</f>
        <v>57</v>
      </c>
      <c r="H17" s="141">
        <f>IF(VLOOKUP('Hide - Control'!A$3,'All practice data'!A:CA,C17+30,FALSE)=" "," ",VLOOKUP('Hide - Control'!A$3,'All practice data'!A:CA,C17+30,FALSE))</f>
        <v>0.006999999999999999</v>
      </c>
      <c r="I17" s="142">
        <f>IF(LEFT(G17,1)=" "," n/a",+((2*G17+1.96^2-1.96*SQRT(1.96^2+4*G17*(1-G17/E$8)))/(2*(E$8+1.96^2))))</f>
        <v>0.0053123938666880385</v>
      </c>
      <c r="J17" s="142">
        <f>IF(LEFT(G17,1)=" "," n/a",+((2*G17+1.96^2+1.96*SQRT(1.96^2+4*G17*(1-G17/E$8)))/(2*(E$8+1.96^2))))</f>
        <v>0.00889935856235016</v>
      </c>
      <c r="K17" s="141">
        <f>IF('Hide - Calculation'!N11="","",'Hide - Calculation'!N11)</f>
        <v>0.010827744100831649</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0.01899999938905239</v>
      </c>
      <c r="AB17" s="235" t="s">
        <v>529</v>
      </c>
      <c r="AC17" s="189" t="s">
        <v>563</v>
      </c>
    </row>
    <row r="18" spans="2:29" s="63" customFormat="1" ht="33.75" customHeight="1">
      <c r="B18" s="308" t="s">
        <v>13</v>
      </c>
      <c r="C18" s="163">
        <v>6</v>
      </c>
      <c r="D18" s="164" t="s">
        <v>537</v>
      </c>
      <c r="E18" s="165"/>
      <c r="F18" s="165"/>
      <c r="G18" s="219">
        <f>IF(OR(VLOOKUP('Hide - Control'!A$3,'All practice data'!A:CA,C18+4,FALSE)=" ",VLOOKUP('Hide - Control'!A$3,'All practice data'!A:CA,C18+52,FALSE)=0)," n/a",VLOOKUP('Hide - Control'!A$3,'All practice data'!A:CA,C18+4,FALSE))</f>
        <v>286</v>
      </c>
      <c r="H18" s="220">
        <f>IF(OR(VLOOKUP('Hide - Control'!A$3,'All practice data'!A:CA,C18+30,FALSE)=" ",VLOOKUP('Hide - Control'!A$3,'All practice data'!A:CA,C18+52,FALSE)=0)," n/a",VLOOKUP('Hide - Control'!A$3,'All practice data'!A:CA,C18+30,FALSE))</f>
        <v>0.507092</v>
      </c>
      <c r="I18" s="191">
        <f>IF(OR(LEFT(H18,1)=" ",VLOOKUP('Hide - Control'!A$3,'All practice data'!A:CA,C18+52,FALSE)=0)," n/a",+((2*G18+1.96^2-1.96*SQRT(1.96^2+4*G18*(1-G18/(VLOOKUP('Hide - Control'!A$3,'All practice data'!A:CA,C18+52,FALSE)))))/(2*(((VLOOKUP('Hide - Control'!A$3,'All practice data'!A:CA,C18+52,FALSE)))+1.96^2))))</f>
        <v>0.4659227059855385</v>
      </c>
      <c r="J18" s="191">
        <f>IF(OR(LEFT(H18,1)=" ",VLOOKUP('Hide - Control'!A$3,'All practice data'!A:CA,C18+52,FALSE)=0)," n/a",+((2*G18+1.96^2+1.96*SQRT(1.96^2+4*G18*(1-G18/(VLOOKUP('Hide - Control'!A$3,'All practice data'!A:CA,C18+52,FALSE)))))/(2*((VLOOKUP('Hide - Control'!A$3,'All practice data'!A:CA,C18+52,FALSE))+1.96^2))))</f>
        <v>0.5481657299444814</v>
      </c>
      <c r="K18" s="220">
        <f>IF('Hide - Calculation'!N12="","",'Hide - Calculation'!N12)</f>
        <v>0.6120889993327351</v>
      </c>
      <c r="L18" s="192">
        <f>'Hide - Calculation'!O12</f>
        <v>0.7248631360507991</v>
      </c>
      <c r="M18" s="193">
        <f>IF(ISBLANK('Hide - Calculation'!K12),"",'Hide - Calculation'!U12)</f>
        <v>0.37179499864578247</v>
      </c>
      <c r="N18" s="194"/>
      <c r="O18" s="173"/>
      <c r="P18" s="173"/>
      <c r="Q18" s="173"/>
      <c r="R18" s="173"/>
      <c r="S18" s="173"/>
      <c r="T18" s="173"/>
      <c r="U18" s="173"/>
      <c r="V18" s="173"/>
      <c r="W18" s="173"/>
      <c r="X18" s="173"/>
      <c r="Y18" s="173"/>
      <c r="Z18" s="174"/>
      <c r="AA18" s="193">
        <f>IF(ISBLANK('Hide - Calculation'!K12),"",'Hide - Calculation'!T12)</f>
        <v>0.7608699798583984</v>
      </c>
      <c r="AB18" s="233" t="s">
        <v>48</v>
      </c>
      <c r="AC18" s="175" t="s">
        <v>564</v>
      </c>
    </row>
    <row r="19" spans="2:29" s="63" customFormat="1" ht="33.75" customHeight="1">
      <c r="B19" s="306"/>
      <c r="C19" s="137">
        <v>7</v>
      </c>
      <c r="D19" s="132" t="s">
        <v>538</v>
      </c>
      <c r="E19" s="85"/>
      <c r="F19" s="85"/>
      <c r="G19" s="221">
        <f>IF(OR(VLOOKUP('Hide - Control'!A$3,'All practice data'!A:CA,C19+4,FALSE)=" ",VLOOKUP('Hide - Control'!A$3,'All practice data'!A:CA,C19+52,FALSE)=0)," n/a",VLOOKUP('Hide - Control'!A$3,'All practice data'!A:CA,C19+4,FALSE))</f>
        <v>178</v>
      </c>
      <c r="H19" s="218">
        <f>IF(OR(VLOOKUP('Hide - Control'!A$3,'All practice data'!A:CA,C19+30,FALSE)=" ",VLOOKUP('Hide - Control'!A$3,'All practice data'!A:CA,C19+52,FALSE)=0)," n/a",VLOOKUP('Hide - Control'!A$3,'All practice data'!A:CA,C19+30,FALSE))</f>
        <v>0.439506</v>
      </c>
      <c r="I19" s="120">
        <f>IF(OR(LEFT(H19,1)=" ",VLOOKUP('Hide - Control'!A$3,'All practice data'!A:CA,C19+52,FALSE)=0)," n/a",+((2*G19+1.96^2-1.96*SQRT(1.96^2+4*G19*(1-G19/(VLOOKUP('Hide - Control'!A$3,'All practice data'!A:CA,C19+52,FALSE)))))/(2*(((VLOOKUP('Hide - Control'!A$3,'All practice data'!A:CA,C19+52,FALSE)))+1.96^2))))</f>
        <v>0.39196000593258473</v>
      </c>
      <c r="J19" s="120">
        <f>IF(OR(LEFT(H19,1)=" ",VLOOKUP('Hide - Control'!A$3,'All practice data'!A:CA,C19+52,FALSE)=0)," n/a",+((2*G19+1.96^2+1.96*SQRT(1.96^2+4*G19*(1-G19/(VLOOKUP('Hide - Control'!A$3,'All practice data'!A:CA,C19+52,FALSE)))))/(2*((VLOOKUP('Hide - Control'!A$3,'All practice data'!A:CA,C19+52,FALSE))+1.96^2))))</f>
        <v>0.4881891765380836</v>
      </c>
      <c r="K19" s="218">
        <f>IF('Hide - Calculation'!N13="","",'Hide - Calculation'!N13)</f>
        <v>0.623904430303758</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0.8080229759216309</v>
      </c>
      <c r="AB19" s="234" t="s">
        <v>48</v>
      </c>
      <c r="AC19" s="131" t="s">
        <v>563</v>
      </c>
    </row>
    <row r="20" spans="2:29" s="63" customFormat="1" ht="33.75" customHeight="1">
      <c r="B20" s="306"/>
      <c r="C20" s="137">
        <v>8</v>
      </c>
      <c r="D20" s="132" t="s">
        <v>539</v>
      </c>
      <c r="E20" s="85"/>
      <c r="F20" s="85"/>
      <c r="G20" s="221">
        <f>IF(OR(VLOOKUP('Hide - Control'!A$3,'All practice data'!A:CA,C20+4,FALSE)=" ",VLOOKUP('Hide - Control'!A$3,'All practice data'!A:CA,C20+52,FALSE)=0)," n/a",VLOOKUP('Hide - Control'!A$3,'All practice data'!A:CA,C20+4,FALSE))</f>
        <v>998</v>
      </c>
      <c r="H20" s="218">
        <f>IF(OR(VLOOKUP('Hide - Control'!A$3,'All practice data'!A:CA,C20+30,FALSE)=" ",VLOOKUP('Hide - Control'!A$3,'All practice data'!A:CA,C20+52,FALSE)=0)," n/a",VLOOKUP('Hide - Control'!A$3,'All practice data'!A:CA,C20+30,FALSE))</f>
        <v>0.563842</v>
      </c>
      <c r="I20" s="120">
        <f>IF(OR(LEFT(H20,1)=" ",VLOOKUP('Hide - Control'!A$3,'All practice data'!A:CA,C20+52,FALSE)=0)," n/a",+((2*G20+1.96^2-1.96*SQRT(1.96^2+4*G20*(1-G20/(VLOOKUP('Hide - Control'!A$3,'All practice data'!A:CA,C20+52,FALSE)))))/(2*(((VLOOKUP('Hide - Control'!A$3,'All practice data'!A:CA,C20+52,FALSE)))+1.96^2))))</f>
        <v>0.540625071336097</v>
      </c>
      <c r="J20" s="120">
        <f>IF(OR(LEFT(H20,1)=" ",VLOOKUP('Hide - Control'!A$3,'All practice data'!A:CA,C20+52,FALSE)=0)," n/a",+((2*G20+1.96^2+1.96*SQRT(1.96^2+4*G20*(1-G20/(VLOOKUP('Hide - Control'!A$3,'All practice data'!A:CA,C20+52,FALSE)))))/(2*((VLOOKUP('Hide - Control'!A$3,'All practice data'!A:CA,C20+52,FALSE))+1.96^2))))</f>
        <v>0.5867820207063943</v>
      </c>
      <c r="K20" s="218">
        <f>IF('Hide - Calculation'!N14="","",'Hide - Calculation'!N14)</f>
        <v>0.6967316495904831</v>
      </c>
      <c r="L20" s="155">
        <f>'Hide - Calculation'!O14</f>
        <v>0.7559681673907895</v>
      </c>
      <c r="M20" s="152">
        <f>IF(ISBLANK('Hide - Calculation'!K14),"",'Hide - Calculation'!U14)</f>
        <v>0.3479729890823364</v>
      </c>
      <c r="N20" s="160"/>
      <c r="O20" s="84"/>
      <c r="P20" s="84"/>
      <c r="Q20" s="84"/>
      <c r="R20" s="84"/>
      <c r="S20" s="84"/>
      <c r="T20" s="84"/>
      <c r="U20" s="84"/>
      <c r="V20" s="84"/>
      <c r="W20" s="84"/>
      <c r="X20" s="84"/>
      <c r="Y20" s="84"/>
      <c r="Z20" s="88"/>
      <c r="AA20" s="152">
        <f>IF(ISBLANK('Hide - Calculation'!K14),"",'Hide - Calculation'!T14)</f>
        <v>0.8167799711227417</v>
      </c>
      <c r="AB20" s="234" t="s">
        <v>48</v>
      </c>
      <c r="AC20" s="131" t="s">
        <v>565</v>
      </c>
    </row>
    <row r="21" spans="2:29" s="63" customFormat="1" ht="33.75" customHeight="1">
      <c r="B21" s="306"/>
      <c r="C21" s="137">
        <v>9</v>
      </c>
      <c r="D21" s="132" t="s">
        <v>540</v>
      </c>
      <c r="E21" s="85"/>
      <c r="F21" s="85"/>
      <c r="G21" s="221">
        <f>IF(OR(VLOOKUP('Hide - Control'!A$3,'All practice data'!A:CA,C21+4,FALSE)=" ",VLOOKUP('Hide - Control'!A$3,'All practice data'!A:CA,C21+52,FALSE)=0)," n/a",VLOOKUP('Hide - Control'!A$3,'All practice data'!A:CA,C21+4,FALSE))</f>
        <v>79</v>
      </c>
      <c r="H21" s="218">
        <f>IF(OR(VLOOKUP('Hide - Control'!A$3,'All practice data'!A:CA,C21+30,FALSE)=" ",VLOOKUP('Hide - Control'!A$3,'All practice data'!A:CA,C21+52,FALSE)=0)," n/a",VLOOKUP('Hide - Control'!A$3,'All practice data'!A:CA,C21+30,FALSE))</f>
        <v>0.167728</v>
      </c>
      <c r="I21" s="120">
        <f>IF(OR(LEFT(H21,1)=" ",VLOOKUP('Hide - Control'!A$3,'All practice data'!A:CA,C21+52,FALSE)=0)," n/a",+((2*G21+1.96^2-1.96*SQRT(1.96^2+4*G21*(1-G21/(VLOOKUP('Hide - Control'!A$3,'All practice data'!A:CA,C21+52,FALSE)))))/(2*(((VLOOKUP('Hide - Control'!A$3,'All practice data'!A:CA,C21+52,FALSE)))+1.96^2))))</f>
        <v>0.1367030236355509</v>
      </c>
      <c r="J21" s="120">
        <f>IF(OR(LEFT(H21,1)=" ",VLOOKUP('Hide - Control'!A$3,'All practice data'!A:CA,C21+52,FALSE)=0)," n/a",+((2*G21+1.96^2+1.96*SQRT(1.96^2+4*G21*(1-G21/(VLOOKUP('Hide - Control'!A$3,'All practice data'!A:CA,C21+52,FALSE)))))/(2*((VLOOKUP('Hide - Control'!A$3,'All practice data'!A:CA,C21+52,FALSE))+1.96^2))))</f>
        <v>0.2041297930342607</v>
      </c>
      <c r="K21" s="218">
        <f>IF('Hide - Calculation'!N15="","",'Hide - Calculation'!N15)</f>
        <v>0.2961684687356756</v>
      </c>
      <c r="L21" s="155">
        <f>'Hide - Calculation'!O15</f>
        <v>0.5147293797466616</v>
      </c>
      <c r="M21" s="152">
        <f>IF(ISBLANK('Hide - Calculation'!K15),"",'Hide - Calculation'!U15)</f>
        <v>0.11152400076389313</v>
      </c>
      <c r="N21" s="160"/>
      <c r="O21" s="84"/>
      <c r="P21" s="84"/>
      <c r="Q21" s="84"/>
      <c r="R21" s="84"/>
      <c r="S21" s="84"/>
      <c r="T21" s="84"/>
      <c r="U21" s="84"/>
      <c r="V21" s="84"/>
      <c r="W21" s="84"/>
      <c r="X21" s="84"/>
      <c r="Y21" s="84"/>
      <c r="Z21" s="88"/>
      <c r="AA21" s="152">
        <f>IF(ISBLANK('Hide - Calculation'!K15),"",'Hide - Calculation'!T15)</f>
        <v>0.5262010097503662</v>
      </c>
      <c r="AB21" s="234" t="s">
        <v>48</v>
      </c>
      <c r="AC21" s="131" t="s">
        <v>564</v>
      </c>
    </row>
    <row r="22" spans="2:29" s="63" customFormat="1" ht="33.75" customHeight="1" thickBot="1">
      <c r="B22" s="309"/>
      <c r="C22" s="180">
        <v>10</v>
      </c>
      <c r="D22" s="195" t="s">
        <v>541</v>
      </c>
      <c r="E22" s="182"/>
      <c r="F22" s="182"/>
      <c r="G22" s="222">
        <f>IF(OR(VLOOKUP('Hide - Control'!A$3,'All practice data'!A:CA,C22+4,FALSE)=" ",VLOOKUP('Hide - Control'!A$3,'All practice data'!A:CA,C22+52,FALSE)=0)," n/a",VLOOKUP('Hide - Control'!A$3,'All practice data'!A:CA,C22+4,FALSE))</f>
        <v>66</v>
      </c>
      <c r="H22" s="223">
        <f>IF(OR(VLOOKUP('Hide - Control'!A$3,'All practice data'!A:CA,C22+30,FALSE)=" ",VLOOKUP('Hide - Control'!A$3,'All practice data'!A:CA,C22+52,FALSE)=0)," n/a",VLOOKUP('Hide - Control'!A$3,'All practice data'!A:CA,C22+30,FALSE))</f>
        <v>0.256809</v>
      </c>
      <c r="I22" s="196">
        <f>IF(OR(LEFT(H22,1)=" ",VLOOKUP('Hide - Control'!A$3,'All practice data'!A:CA,C22+52,FALSE)=0)," n/a",+((2*G22+1.96^2-1.96*SQRT(1.96^2+4*G22*(1-G22/(VLOOKUP('Hide - Control'!A$3,'All practice data'!A:CA,C22+52,FALSE)))))/(2*(((VLOOKUP('Hide - Control'!A$3,'All practice data'!A:CA,C22+52,FALSE)))+1.96^2))))</f>
        <v>0.20725215960589427</v>
      </c>
      <c r="J22" s="196">
        <f>IF(OR(LEFT(H22,1)=" ",VLOOKUP('Hide - Control'!A$3,'All practice data'!A:CA,C22+52,FALSE)=0)," n/a",+((2*G22+1.96^2+1.96*SQRT(1.96^2+4*G22*(1-G22/(VLOOKUP('Hide - Control'!A$3,'All practice data'!A:CA,C22+52,FALSE)))))/(2*((VLOOKUP('Hide - Control'!A$3,'All practice data'!A:CA,C22+52,FALSE))+1.96^2))))</f>
        <v>0.31352980155367544</v>
      </c>
      <c r="K22" s="223">
        <f>IF('Hide - Calculation'!N16="","",'Hide - Calculation'!N16)</f>
        <v>0.40684915684915685</v>
      </c>
      <c r="L22" s="197">
        <f>'Hide - Calculation'!O16</f>
        <v>0.5752927626212945</v>
      </c>
      <c r="M22" s="198">
        <f>IF(ISBLANK('Hide - Calculation'!K16),"",'Hide - Calculation'!U16)</f>
        <v>0.15000000596046448</v>
      </c>
      <c r="N22" s="199"/>
      <c r="O22" s="91"/>
      <c r="P22" s="91"/>
      <c r="Q22" s="91"/>
      <c r="R22" s="91"/>
      <c r="S22" s="91"/>
      <c r="T22" s="91"/>
      <c r="U22" s="91"/>
      <c r="V22" s="91"/>
      <c r="W22" s="91"/>
      <c r="X22" s="91"/>
      <c r="Y22" s="91"/>
      <c r="Z22" s="188"/>
      <c r="AA22" s="198">
        <f>IF(ISBLANK('Hide - Calculation'!K16),"",'Hide - Calculation'!T16)</f>
        <v>0.5519130229949951</v>
      </c>
      <c r="AB22" s="235" t="s">
        <v>48</v>
      </c>
      <c r="AC22" s="189" t="s">
        <v>563</v>
      </c>
    </row>
    <row r="23" spans="2:29" s="63" customFormat="1" ht="33.75" customHeight="1">
      <c r="B23" s="308" t="s">
        <v>379</v>
      </c>
      <c r="C23" s="163">
        <v>11</v>
      </c>
      <c r="D23" s="179" t="s">
        <v>391</v>
      </c>
      <c r="E23" s="165"/>
      <c r="F23" s="165"/>
      <c r="G23" s="118">
        <f>IF(VLOOKUP('Hide - Control'!A$3,'All practice data'!A:CA,C23+4,FALSE)=" "," ",VLOOKUP('Hide - Control'!A$3,'All practice data'!A:CA,C23+4,FALSE))</f>
        <v>74</v>
      </c>
      <c r="H23" s="216">
        <f>IF(VLOOKUP('Hide - Control'!A$3,'All practice data'!A:CA,C23+30,FALSE)=" "," ",VLOOKUP('Hide - Control'!A$3,'All practice data'!A:CA,C23+30,FALSE))</f>
        <v>892.8571428571429</v>
      </c>
      <c r="I23" s="215">
        <f>IF(LEFT(G23,1)=" "," n/a",IF(G23&lt;5,100000*VLOOKUP(G23,'Hide - Calculation'!AQ:AR,2,FALSE)/$E$8,100000*(G23*(1-1/(9*G23)-1.96/(3*SQRT(G23)))^3)/$E$8))</f>
        <v>701.0544898581039</v>
      </c>
      <c r="J23" s="215">
        <f>IF(LEFT(G23,1)=" "," n/a",IF(G23&lt;5,100000*VLOOKUP(G23,'Hide - Calculation'!AQ:AS,3,FALSE)/$E$8,100000*((G23+1)*(1-1/(9*(G23+1))+1.96/(3*SQRT(G23+1)))^3)/$E$8))</f>
        <v>1120.9198766020447</v>
      </c>
      <c r="K23" s="216">
        <f>IF('Hide - Calculation'!N17="","",'Hide - Calculation'!N17)</f>
        <v>1253.9799795799781</v>
      </c>
      <c r="L23" s="217">
        <f>'Hide - Calculation'!O17</f>
        <v>1812.1669120472948</v>
      </c>
      <c r="M23" s="170">
        <f>IF(ISBLANK('Hide - Calculation'!K17),"",'Hide - Calculation'!U17)</f>
        <v>277.5574951171875</v>
      </c>
      <c r="N23" s="171"/>
      <c r="O23" s="172"/>
      <c r="P23" s="172"/>
      <c r="Q23" s="172"/>
      <c r="R23" s="173"/>
      <c r="S23" s="173"/>
      <c r="T23" s="173"/>
      <c r="U23" s="173"/>
      <c r="V23" s="173"/>
      <c r="W23" s="173"/>
      <c r="X23" s="173"/>
      <c r="Y23" s="173"/>
      <c r="Z23" s="174"/>
      <c r="AA23" s="170">
        <f>IF(ISBLANK('Hide - Calculation'!K17),"",'Hide - Calculation'!T17)</f>
        <v>3019.744384765625</v>
      </c>
      <c r="AB23" s="233" t="s">
        <v>26</v>
      </c>
      <c r="AC23" s="175" t="s">
        <v>563</v>
      </c>
    </row>
    <row r="24" spans="2:29" s="63" customFormat="1" ht="33.75" customHeight="1">
      <c r="B24" s="306"/>
      <c r="C24" s="137">
        <v>12</v>
      </c>
      <c r="D24" s="147" t="s">
        <v>547</v>
      </c>
      <c r="E24" s="85"/>
      <c r="F24" s="85"/>
      <c r="G24" s="118">
        <f>IF(VLOOKUP('Hide - Control'!A$3,'All practice data'!A:CA,C24+4,FALSE)=" "," ",VLOOKUP('Hide - Control'!A$3,'All practice data'!A:CA,C24+4,FALSE))</f>
        <v>74</v>
      </c>
      <c r="H24" s="119">
        <f>IF(VLOOKUP('Hide - Control'!A$3,'All practice data'!A:CA,C24+30,FALSE)=" "," ",VLOOKUP('Hide - Control'!A$3,'All practice data'!A:CA,C24+30,FALSE))</f>
        <v>0.6896356964</v>
      </c>
      <c r="I24" s="212">
        <f>IF(LEFT(VLOOKUP('Hide - Control'!A$3,'All practice data'!A:CA,C24+44,FALSE),1)=" "," n/a",VLOOKUP('Hide - Control'!A$3,'All practice data'!A:CA,C24+44,FALSE))</f>
        <v>0.5415123367</v>
      </c>
      <c r="J24" s="212">
        <f>IF(LEFT(VLOOKUP('Hide - Control'!A$3,'All practice data'!A:CA,C24+45,FALSE),1)=" "," n/a",VLOOKUP('Hide - Control'!A$3,'All practice data'!A:CA,C24+45,FALSE))</f>
        <v>0.8657744597999999</v>
      </c>
      <c r="K24" s="152" t="s">
        <v>666</v>
      </c>
      <c r="L24" s="213">
        <v>1</v>
      </c>
      <c r="M24" s="152">
        <f>IF(ISBLANK('Hide - Calculation'!K18),"",'Hide - Calculation'!U18)</f>
        <v>0.21094204485416412</v>
      </c>
      <c r="N24" s="86"/>
      <c r="O24" s="87"/>
      <c r="P24" s="87"/>
      <c r="Q24" s="87"/>
      <c r="R24" s="84"/>
      <c r="S24" s="84"/>
      <c r="T24" s="84"/>
      <c r="U24" s="84"/>
      <c r="V24" s="84"/>
      <c r="W24" s="84"/>
      <c r="X24" s="84"/>
      <c r="Y24" s="84"/>
      <c r="Z24" s="88"/>
      <c r="AA24" s="152">
        <f>IF(ISBLANK('Hide - Calculation'!K18),"",'Hide - Calculation'!T18)</f>
        <v>1.9399927854537964</v>
      </c>
      <c r="AB24" s="234" t="s">
        <v>26</v>
      </c>
      <c r="AC24" s="131" t="s">
        <v>563</v>
      </c>
    </row>
    <row r="25" spans="2:29" s="63" customFormat="1" ht="33.75" customHeight="1">
      <c r="B25" s="306"/>
      <c r="C25" s="137">
        <v>13</v>
      </c>
      <c r="D25" s="147" t="s">
        <v>386</v>
      </c>
      <c r="E25" s="85"/>
      <c r="F25" s="85"/>
      <c r="G25" s="118">
        <f>IF(VLOOKUP('Hide - Control'!A$3,'All practice data'!A:CA,C25+4,FALSE)=" "," ",VLOOKUP('Hide - Control'!A$3,'All practice data'!A:CA,C25+4,FALSE))</f>
        <v>8</v>
      </c>
      <c r="H25" s="119">
        <f>IF(VLOOKUP('Hide - Control'!A$3,'All practice data'!A:CA,C25+30,FALSE)=" "," ",VLOOKUP('Hide - Control'!A$3,'All practice data'!A:CA,C25+30,FALSE))</f>
        <v>0.10810810810810811</v>
      </c>
      <c r="I25" s="120">
        <f>IF(LEFT(G25,1)=" "," n/a",IF(G25=0," n/a",+((2*G25+1.96^2-1.96*SQRT(1.96^2+4*G25*(1-G25/G23)))/(2*(G23+1.96^2)))))</f>
        <v>0.05580666169650121</v>
      </c>
      <c r="J25" s="120">
        <f>IF(LEFT(G25,1)=" "," n/a",IF(G25=0," n/a",+((2*G25+1.96^2+1.96*SQRT(1.96^2+4*G25*(1-G25/G23)))/(2*(G23+1.96^2)))))</f>
        <v>0.1990904627202631</v>
      </c>
      <c r="K25" s="125">
        <f>IF('Hide - Calculation'!N19="","",'Hide - Calculation'!N19)</f>
        <v>0.09472299371436925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0.24137930572032928</v>
      </c>
      <c r="AB25" s="234" t="s">
        <v>26</v>
      </c>
      <c r="AC25" s="131" t="s">
        <v>563</v>
      </c>
    </row>
    <row r="26" spans="2:29" s="63" customFormat="1" ht="33.75" customHeight="1">
      <c r="B26" s="306"/>
      <c r="C26" s="137">
        <v>14</v>
      </c>
      <c r="D26" s="147" t="s">
        <v>530</v>
      </c>
      <c r="E26" s="85"/>
      <c r="F26" s="85"/>
      <c r="G26" s="121">
        <f>IF(VLOOKUP('Hide - Control'!A$3,'All practice data'!A:CA,C26+4,FALSE)=" "," ",VLOOKUP('Hide - Control'!A$3,'All practice data'!A:CA,C26+4,FALSE))</f>
        <v>18</v>
      </c>
      <c r="H26" s="119">
        <f>IF(VLOOKUP('Hide - Control'!A$3,'All practice data'!A:CA,C26+30,FALSE)=" "," ",VLOOKUP('Hide - Control'!A$3,'All practice data'!A:CA,C26+30,FALSE))</f>
        <v>0.4444444444444444</v>
      </c>
      <c r="I26" s="120">
        <f>IF(OR(LEFT(G26,1)=" ",LEFT(G25,1)=" ")," n/a",IF(G26=0," n/a",+((2*G25+1.96^2-1.96*SQRT(1.96^2+4*G25*(1-G25/G26)))/(2*(G26+1.96^2)))))</f>
        <v>0.24559231101389126</v>
      </c>
      <c r="J26" s="120">
        <f>IF(OR(LEFT(G26,1)=" ",LEFT(G25,1)=" ")," n/a",IF(G26=0," n/a",+((2*G25+1.96^2+1.96*SQRT(1.96^2+4*G25*(1-G25/G26)))/(2*(G26+1.96^2)))))</f>
        <v>0.6628393057174837</v>
      </c>
      <c r="K26" s="125">
        <f>IF('Hide - Calculation'!N20="","",'Hide - Calculation'!N20)</f>
        <v>0.4002470660901791</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563</v>
      </c>
    </row>
    <row r="27" spans="2:29" s="63" customFormat="1" ht="33.75" customHeight="1">
      <c r="B27" s="306"/>
      <c r="C27" s="137">
        <v>15</v>
      </c>
      <c r="D27" s="147" t="s">
        <v>517</v>
      </c>
      <c r="E27" s="85"/>
      <c r="F27" s="85"/>
      <c r="G27" s="121">
        <f>IF(VLOOKUP('Hide - Control'!A$3,'All practice data'!A:CA,C27+4,FALSE)=" "," ",VLOOKUP('Hide - Control'!A$3,'All practice data'!A:CA,C27+4,FALSE))</f>
        <v>7</v>
      </c>
      <c r="H27" s="122">
        <f>IF(VLOOKUP('Hide - Control'!A$3,'All practice data'!A:CA,C27+30,FALSE)=" "," ",VLOOKUP('Hide - Control'!A$3,'All practice data'!A:CA,C27+30,FALSE))</f>
        <v>84.45945945945945</v>
      </c>
      <c r="I27" s="123">
        <f>IF(LEFT(G27,1)=" "," n/a",IF(G27&lt;5,100000*VLOOKUP(G27,'Hide - Calculation'!AQ:AR,2,FALSE)/$E$8,100000*(G27*(1-1/(9*G27)-1.96/(3*SQRT(G27)))^3)/$E$8))</f>
        <v>33.83661800890949</v>
      </c>
      <c r="J27" s="123">
        <f>IF(LEFT(G27,1)=" "," n/a",IF(G27&lt;5,100000*VLOOKUP(G27,'Hide - Calculation'!AQ:AS,3,FALSE)/$E$8,100000*((G27+1)*(1-1/(9*(G27+1))+1.96/(3*SQRT(G27+1)))^3)/$E$8))</f>
        <v>174.0276720353301</v>
      </c>
      <c r="K27" s="122">
        <f>IF('Hide - Calculation'!N21="","",'Hide - Calculation'!N21)</f>
        <v>253.32558570085217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725.7257080078125</v>
      </c>
      <c r="AB27" s="234" t="s">
        <v>26</v>
      </c>
      <c r="AC27" s="131" t="s">
        <v>563</v>
      </c>
    </row>
    <row r="28" spans="2:29" s="63" customFormat="1" ht="33.75" customHeight="1">
      <c r="B28" s="306"/>
      <c r="C28" s="137">
        <v>16</v>
      </c>
      <c r="D28" s="147" t="s">
        <v>518</v>
      </c>
      <c r="E28" s="85"/>
      <c r="F28" s="85"/>
      <c r="G28" s="121">
        <f>IF(VLOOKUP('Hide - Control'!A$3,'All practice data'!A:CA,C28+4,FALSE)=" "," ",VLOOKUP('Hide - Control'!A$3,'All practice data'!A:CA,C28+4,FALSE))</f>
        <v>17</v>
      </c>
      <c r="H28" s="122">
        <f>IF(VLOOKUP('Hide - Control'!A$3,'All practice data'!A:CA,C28+30,FALSE)=" "," ",VLOOKUP('Hide - Control'!A$3,'All practice data'!A:CA,C28+30,FALSE))</f>
        <v>205.1158301158301</v>
      </c>
      <c r="I28" s="123">
        <f>IF(LEFT(G28,1)=" "," n/a",IF(G28&lt;5,100000*VLOOKUP(G28,'Hide - Calculation'!AQ:AR,2,FALSE)/$E$8,100000*(G28*(1-1/(9*G28)-1.96/(3*SQRT(G28)))^3)/$E$8))</f>
        <v>119.41811742491197</v>
      </c>
      <c r="J28" s="123">
        <f>IF(LEFT(G28,1)=" "," n/a",IF(G28&lt;5,100000*VLOOKUP(G28,'Hide - Calculation'!AQ:AS,3,FALSE)/$E$8,100000*((G28+1)*(1-1/(9*(G28+1))+1.96/(3*SQRT(G28+1)))^3)/$E$8))</f>
        <v>328.43038993261223</v>
      </c>
      <c r="K28" s="122">
        <f>IF('Hide - Calculation'!N22="","",'Hide - Calculation'!N22)</f>
        <v>189.53593025664338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967.8668212890625</v>
      </c>
      <c r="AB28" s="234" t="s">
        <v>26</v>
      </c>
      <c r="AC28" s="131" t="s">
        <v>563</v>
      </c>
    </row>
    <row r="29" spans="2:29" s="63" customFormat="1" ht="33.75" customHeight="1">
      <c r="B29" s="306"/>
      <c r="C29" s="137">
        <v>17</v>
      </c>
      <c r="D29" s="147" t="s">
        <v>519</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49.30867044394301</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196.27085876464844</v>
      </c>
      <c r="AB29" s="234" t="s">
        <v>26</v>
      </c>
      <c r="AC29" s="131" t="s">
        <v>563</v>
      </c>
    </row>
    <row r="30" spans="2:29" s="63" customFormat="1" ht="33.75" customHeight="1" thickBot="1">
      <c r="B30" s="309"/>
      <c r="C30" s="180">
        <v>18</v>
      </c>
      <c r="D30" s="181" t="s">
        <v>520</v>
      </c>
      <c r="E30" s="182"/>
      <c r="F30" s="182"/>
      <c r="G30" s="183">
        <f>IF(VLOOKUP('Hide - Control'!A$3,'All practice data'!A:CA,C30+4,FALSE)=" "," ",VLOOKUP('Hide - Control'!A$3,'All practice data'!A:CA,C30+4,FALSE))</f>
        <v>6</v>
      </c>
      <c r="H30" s="184">
        <f>IF(VLOOKUP('Hide - Control'!A$3,'All practice data'!A:CA,C30+30,FALSE)=" "," ",VLOOKUP('Hide - Control'!A$3,'All practice data'!A:CA,C30+30,FALSE))</f>
        <v>72.39382239382239</v>
      </c>
      <c r="I30" s="185">
        <f>IF(LEFT(G30,1)=" "," n/a",IF(G30&lt;5,100000*VLOOKUP(G30,'Hide - Calculation'!AQ:AR,2,FALSE)/$E$8,100000*(G30*(1-1/(9*G30)-1.96/(3*SQRT(G30)))^3)/$E$8))</f>
        <v>26.43509580940733</v>
      </c>
      <c r="J30" s="185">
        <f>IF(LEFT(G30,1)=" "," n/a",IF(G30&lt;5,100000*VLOOKUP(G30,'Hide - Calculation'!AQ:AS,3,FALSE)/$E$8,100000*((G30+1)*(1-1/(9*(G30+1))+1.96/(3*SQRT(G30+1)))^3)/$E$8))</f>
        <v>157.57595642709651</v>
      </c>
      <c r="K30" s="184">
        <f>IF('Hide - Calculation'!N24="","",'Hide - Calculation'!N24)</f>
        <v>208.2328982316701</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534.0250244140625</v>
      </c>
      <c r="AB30" s="235" t="s">
        <v>26</v>
      </c>
      <c r="AC30" s="189" t="s">
        <v>563</v>
      </c>
    </row>
    <row r="31" spans="2:29" s="63" customFormat="1" ht="33.75" customHeight="1">
      <c r="B31" s="304" t="s">
        <v>388</v>
      </c>
      <c r="C31" s="163">
        <v>19</v>
      </c>
      <c r="D31" s="164" t="s">
        <v>392</v>
      </c>
      <c r="E31" s="165"/>
      <c r="F31" s="165"/>
      <c r="G31" s="166">
        <f>IF(VLOOKUP('Hide - Control'!A$3,'All practice data'!A:CA,C31+4,FALSE)=" "," ",VLOOKUP('Hide - Control'!A$3,'All practice data'!A:CA,C31+4,FALSE))</f>
        <v>27</v>
      </c>
      <c r="H31" s="167">
        <f>IF(VLOOKUP('Hide - Control'!A$3,'All practice data'!A:CA,C31+30,FALSE)=" "," ",VLOOKUP('Hide - Control'!A$3,'All practice data'!A:CA,C31+30,FALSE))</f>
        <v>325.7722007722008</v>
      </c>
      <c r="I31" s="168">
        <f>IF(LEFT(G31,1)=" "," n/a",IF(G31&lt;5,100000*VLOOKUP(G31,'Hide - Calculation'!AQ:AR,2,FALSE)/$E$8,100000*(G31*(1-1/(9*G31)-1.96/(3*SQRT(G31)))^3)/$E$8))</f>
        <v>214.63347941694826</v>
      </c>
      <c r="J31" s="168">
        <f>IF(LEFT(G31,1)=" "," n/a",IF(G31&lt;5,100000*VLOOKUP(G31,'Hide - Calculation'!AQ:AS,3,FALSE)/$E$8,100000*((G31+1)*(1-1/(9*(G31+1))+1.96/(3*SQRT(G31+1)))^3)/$E$8))</f>
        <v>474.0026244302418</v>
      </c>
      <c r="K31" s="167">
        <f>IF('Hide - Calculation'!N25="","",'Hide - Calculation'!N25)</f>
        <v>475.48955810999314</v>
      </c>
      <c r="L31" s="169">
        <f>'Hide - Calculation'!O25</f>
        <v>562.6134400960308</v>
      </c>
      <c r="M31" s="170">
        <f>IF(ISBLANK('Hide - Calculation'!K25),"",'Hide - Calculation'!U25)</f>
        <v>119.20980834960938</v>
      </c>
      <c r="N31" s="171"/>
      <c r="O31" s="172"/>
      <c r="P31" s="172"/>
      <c r="Q31" s="172"/>
      <c r="R31" s="173"/>
      <c r="S31" s="173"/>
      <c r="T31" s="173"/>
      <c r="U31" s="173"/>
      <c r="V31" s="173"/>
      <c r="W31" s="173"/>
      <c r="X31" s="173"/>
      <c r="Y31" s="173"/>
      <c r="Z31" s="174"/>
      <c r="AA31" s="170">
        <f>IF(ISBLANK('Hide - Calculation'!K25),"",'Hide - Calculation'!T25)</f>
        <v>1088.012451171875</v>
      </c>
      <c r="AB31" s="233" t="s">
        <v>47</v>
      </c>
      <c r="AC31" s="175" t="s">
        <v>563</v>
      </c>
    </row>
    <row r="32" spans="2:29" s="63" customFormat="1" ht="33.75" customHeight="1">
      <c r="B32" s="305"/>
      <c r="C32" s="137">
        <v>20</v>
      </c>
      <c r="D32" s="132" t="s">
        <v>393</v>
      </c>
      <c r="E32" s="85"/>
      <c r="F32" s="85"/>
      <c r="G32" s="121">
        <f>IF(VLOOKUP('Hide - Control'!A$3,'All practice data'!A:CA,C32+4,FALSE)=" "," ",VLOOKUP('Hide - Control'!A$3,'All practice data'!A:CA,C32+4,FALSE))</f>
        <v>29</v>
      </c>
      <c r="H32" s="122">
        <f>IF(VLOOKUP('Hide - Control'!A$3,'All practice data'!A:CA,C32+30,FALSE)=" "," ",VLOOKUP('Hide - Control'!A$3,'All practice data'!A:CA,C32+30,FALSE))</f>
        <v>349.9034749034749</v>
      </c>
      <c r="I32" s="123">
        <f>IF(LEFT(G32,1)=" "," n/a",IF(G32&lt;5,100000*VLOOKUP(G32,'Hide - Calculation'!AQ:AR,2,FALSE)/$E$8,100000*(G32*(1-1/(9*G32)-1.96/(3*SQRT(G32)))^3)/$E$8))</f>
        <v>234.28555435891528</v>
      </c>
      <c r="J32" s="123">
        <f>IF(LEFT(G32,1)=" "," n/a",IF(G32&lt;5,100000*VLOOKUP(G32,'Hide - Calculation'!AQ:AS,3,FALSE)/$E$8,100000*((G32+1)*(1-1/(9*(G32+1))+1.96/(3*SQRT(G32+1)))^3)/$E$8))</f>
        <v>502.54094220068873</v>
      </c>
      <c r="K32" s="122">
        <f>IF('Hide - Calculation'!N26="","",'Hide - Calculation'!N26)</f>
        <v>418.6654397545198</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757.9585571289062</v>
      </c>
      <c r="AB32" s="234" t="s">
        <v>47</v>
      </c>
      <c r="AC32" s="131" t="s">
        <v>563</v>
      </c>
    </row>
    <row r="33" spans="2:29" s="63" customFormat="1" ht="33.75" customHeight="1">
      <c r="B33" s="305"/>
      <c r="C33" s="137">
        <v>21</v>
      </c>
      <c r="D33" s="132" t="s">
        <v>395</v>
      </c>
      <c r="E33" s="85"/>
      <c r="F33" s="85"/>
      <c r="G33" s="121">
        <f>IF(VLOOKUP('Hide - Control'!A$3,'All practice data'!A:CA,C33+4,FALSE)=" "," ",VLOOKUP('Hide - Control'!A$3,'All practice data'!A:CA,C33+4,FALSE))</f>
        <v>66</v>
      </c>
      <c r="H33" s="122">
        <f>IF(VLOOKUP('Hide - Control'!A$3,'All practice data'!A:CA,C33+30,FALSE)=" "," ",VLOOKUP('Hide - Control'!A$3,'All practice data'!A:CA,C33+30,FALSE))</f>
        <v>796.3320463320464</v>
      </c>
      <c r="I33" s="123">
        <f>IF(LEFT(G33,1)=" "," n/a",IF(G33&lt;5,100000*VLOOKUP(G33,'Hide - Calculation'!AQ:AR,2,FALSE)/$E$8,100000*(G33*(1-1/(9*G33)-1.96/(3*SQRT(G33)))^3)/$E$8))</f>
        <v>615.8510028861652</v>
      </c>
      <c r="J33" s="123">
        <f>IF(LEFT(G33,1)=" "," n/a",IF(G33&lt;5,100000*VLOOKUP(G33,'Hide - Calculation'!AQ:AS,3,FALSE)/$E$8,100000*((G33+1)*(1-1/(9*(G33+1))+1.96/(3*SQRT(G33+1)))^3)/$E$8))</f>
        <v>1013.149402243474</v>
      </c>
      <c r="K33" s="122">
        <f>IF('Hide - Calculation'!N27="","",'Hide - Calculation'!N27)</f>
        <v>946.2132224224305</v>
      </c>
      <c r="L33" s="156">
        <f>'Hide - Calculation'!O27</f>
        <v>1059.3522061277838</v>
      </c>
      <c r="M33" s="148">
        <f>IF(ISBLANK('Hide - Calculation'!K27),"",'Hide - Calculation'!U27)</f>
        <v>247.6780242919922</v>
      </c>
      <c r="N33" s="86"/>
      <c r="O33" s="87"/>
      <c r="P33" s="87"/>
      <c r="Q33" s="87"/>
      <c r="R33" s="84"/>
      <c r="S33" s="84"/>
      <c r="T33" s="84"/>
      <c r="U33" s="84"/>
      <c r="V33" s="84"/>
      <c r="W33" s="84"/>
      <c r="X33" s="84"/>
      <c r="Y33" s="84"/>
      <c r="Z33" s="88"/>
      <c r="AA33" s="148">
        <f>IF(ISBLANK('Hide - Calculation'!K27),"",'Hide - Calculation'!T27)</f>
        <v>2214.882568359375</v>
      </c>
      <c r="AB33" s="234" t="s">
        <v>47</v>
      </c>
      <c r="AC33" s="131" t="s">
        <v>563</v>
      </c>
    </row>
    <row r="34" spans="2:29" s="63" customFormat="1" ht="33.75" customHeight="1">
      <c r="B34" s="305"/>
      <c r="C34" s="137">
        <v>22</v>
      </c>
      <c r="D34" s="132" t="s">
        <v>394</v>
      </c>
      <c r="E34" s="85"/>
      <c r="F34" s="85"/>
      <c r="G34" s="118">
        <f>IF(VLOOKUP('Hide - Control'!A$3,'All practice data'!A:CA,C34+4,FALSE)=" "," ",VLOOKUP('Hide - Control'!A$3,'All practice data'!A:CA,C34+4,FALSE))</f>
        <v>27</v>
      </c>
      <c r="H34" s="122">
        <f>IF(VLOOKUP('Hide - Control'!A$3,'All practice data'!A:CA,C34+30,FALSE)=" "," ",VLOOKUP('Hide - Control'!A$3,'All practice data'!A:CA,C34+30,FALSE))</f>
        <v>325.7722007722008</v>
      </c>
      <c r="I34" s="123">
        <f>IF(LEFT(G34,1)=" "," n/a",IF(G34&lt;5,100000*VLOOKUP(G34,'Hide - Calculation'!AQ:AR,2,FALSE)/$E$8,100000*(G34*(1-1/(9*G34)-1.96/(3*SQRT(G34)))^3)/$E$8))</f>
        <v>214.63347941694826</v>
      </c>
      <c r="J34" s="123">
        <f>IF(LEFT(G34,1)=" "," n/a",IF(G34&lt;5,100000*VLOOKUP(G34,'Hide - Calculation'!AQ:AS,3,FALSE)/$E$8,100000*((G34+1)*(1-1/(9*(G34+1))+1.96/(3*SQRT(G34+1)))^3)/$E$8))</f>
        <v>474.0026244302418</v>
      </c>
      <c r="K34" s="122">
        <f>IF('Hide - Calculation'!N28="","",'Hide - Calculation'!N28)</f>
        <v>589.3210984285382</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1780.875</v>
      </c>
      <c r="AB34" s="234" t="s">
        <v>47</v>
      </c>
      <c r="AC34" s="131" t="s">
        <v>563</v>
      </c>
    </row>
    <row r="35" spans="2:29" s="63" customFormat="1" ht="33.75" customHeight="1">
      <c r="B35" s="305"/>
      <c r="C35" s="137">
        <v>23</v>
      </c>
      <c r="D35" s="138" t="s">
        <v>521</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380</v>
      </c>
      <c r="AC35" s="131">
        <v>2008</v>
      </c>
    </row>
    <row r="36" spans="2:29" ht="33.75" customHeight="1">
      <c r="B36" s="306"/>
      <c r="C36" s="137">
        <v>24</v>
      </c>
      <c r="D36" s="224" t="s">
        <v>522</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380</v>
      </c>
      <c r="AC36" s="131">
        <v>2008</v>
      </c>
    </row>
    <row r="37" spans="2:29" ht="33.75" customHeight="1" thickBot="1">
      <c r="B37" s="307"/>
      <c r="C37" s="176">
        <v>25</v>
      </c>
      <c r="D37" s="177" t="s">
        <v>396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380</v>
      </c>
      <c r="AC37" s="149">
        <v>2008</v>
      </c>
    </row>
    <row r="38" spans="2:29" ht="16.5" customHeight="1">
      <c r="B38" s="69"/>
      <c r="C38" s="69"/>
      <c r="D38" s="65" t="s">
        <v>378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665</v>
      </c>
      <c r="C39" s="244"/>
      <c r="D39" s="244"/>
      <c r="E39" s="303" t="s">
        <v>669</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546</v>
      </c>
      <c r="BE2" s="341"/>
      <c r="BF2" s="341"/>
      <c r="BG2" s="341"/>
      <c r="BH2" s="341"/>
      <c r="BI2" s="341"/>
      <c r="BJ2" s="342"/>
    </row>
    <row r="3" spans="1:82" s="72" customFormat="1" ht="76.5" customHeight="1">
      <c r="A3" s="266" t="s">
        <v>276</v>
      </c>
      <c r="B3" s="275" t="s">
        <v>277</v>
      </c>
      <c r="C3" s="276" t="s">
        <v>49</v>
      </c>
      <c r="D3" s="274" t="s">
        <v>531</v>
      </c>
      <c r="E3" s="267" t="s">
        <v>403</v>
      </c>
      <c r="F3" s="267" t="s">
        <v>514</v>
      </c>
      <c r="G3" s="267" t="s">
        <v>405</v>
      </c>
      <c r="H3" s="267" t="s">
        <v>406</v>
      </c>
      <c r="I3" s="267" t="s">
        <v>407</v>
      </c>
      <c r="J3" s="267" t="s">
        <v>555</v>
      </c>
      <c r="K3" s="267" t="s">
        <v>556</v>
      </c>
      <c r="L3" s="267" t="s">
        <v>557</v>
      </c>
      <c r="M3" s="267" t="s">
        <v>408</v>
      </c>
      <c r="N3" s="267" t="s">
        <v>409</v>
      </c>
      <c r="O3" s="267" t="s">
        <v>410</v>
      </c>
      <c r="P3" s="267" t="s">
        <v>545</v>
      </c>
      <c r="Q3" s="267" t="s">
        <v>411</v>
      </c>
      <c r="R3" s="267" t="s">
        <v>412</v>
      </c>
      <c r="S3" s="267" t="s">
        <v>413</v>
      </c>
      <c r="T3" s="267" t="s">
        <v>414</v>
      </c>
      <c r="U3" s="267" t="s">
        <v>415</v>
      </c>
      <c r="V3" s="267" t="s">
        <v>416</v>
      </c>
      <c r="W3" s="267" t="s">
        <v>417</v>
      </c>
      <c r="X3" s="267" t="s">
        <v>418</v>
      </c>
      <c r="Y3" s="267" t="s">
        <v>419</v>
      </c>
      <c r="Z3" s="267" t="s">
        <v>420</v>
      </c>
      <c r="AA3" s="267" t="s">
        <v>421</v>
      </c>
      <c r="AB3" s="267" t="s">
        <v>422</v>
      </c>
      <c r="AC3" s="267" t="s">
        <v>423</v>
      </c>
      <c r="AD3" s="268" t="s">
        <v>424</v>
      </c>
      <c r="AE3" s="268" t="s">
        <v>403</v>
      </c>
      <c r="AF3" s="269" t="s">
        <v>404</v>
      </c>
      <c r="AG3" s="268" t="s">
        <v>405</v>
      </c>
      <c r="AH3" s="268" t="s">
        <v>406</v>
      </c>
      <c r="AI3" s="268" t="s">
        <v>407</v>
      </c>
      <c r="AJ3" s="268" t="s">
        <v>555</v>
      </c>
      <c r="AK3" s="268" t="s">
        <v>556</v>
      </c>
      <c r="AL3" s="268" t="s">
        <v>557</v>
      </c>
      <c r="AM3" s="268" t="s">
        <v>408</v>
      </c>
      <c r="AN3" s="268" t="s">
        <v>409</v>
      </c>
      <c r="AO3" s="268" t="s">
        <v>410</v>
      </c>
      <c r="AP3" s="268" t="s">
        <v>545</v>
      </c>
      <c r="AQ3" s="268" t="s">
        <v>411</v>
      </c>
      <c r="AR3" s="268" t="s">
        <v>412</v>
      </c>
      <c r="AS3" s="268" t="s">
        <v>413</v>
      </c>
      <c r="AT3" s="268" t="s">
        <v>414</v>
      </c>
      <c r="AU3" s="268" t="s">
        <v>415</v>
      </c>
      <c r="AV3" s="268" t="s">
        <v>416</v>
      </c>
      <c r="AW3" s="268" t="s">
        <v>417</v>
      </c>
      <c r="AX3" s="268" t="s">
        <v>418</v>
      </c>
      <c r="AY3" s="270" t="s">
        <v>419</v>
      </c>
      <c r="AZ3" s="271" t="s">
        <v>420</v>
      </c>
      <c r="BA3" s="271" t="s">
        <v>421</v>
      </c>
      <c r="BB3" s="271" t="s">
        <v>422</v>
      </c>
      <c r="BC3" s="272" t="s">
        <v>423</v>
      </c>
      <c r="BD3" s="273" t="s">
        <v>543</v>
      </c>
      <c r="BE3" s="273" t="s">
        <v>544</v>
      </c>
      <c r="BF3" s="273" t="s">
        <v>551</v>
      </c>
      <c r="BG3" s="273" t="s">
        <v>552</v>
      </c>
      <c r="BH3" s="273" t="s">
        <v>550</v>
      </c>
      <c r="BI3" s="273" t="s">
        <v>553</v>
      </c>
      <c r="BJ3" s="273" t="s">
        <v>554</v>
      </c>
      <c r="BK3" s="73"/>
      <c r="BL3" s="73"/>
      <c r="BM3" s="73"/>
      <c r="BN3" s="73"/>
      <c r="BO3" s="73"/>
      <c r="BP3" s="73"/>
      <c r="BQ3" s="73"/>
      <c r="BR3" s="73"/>
      <c r="BS3" s="73"/>
      <c r="BT3" s="73"/>
      <c r="BU3" s="73"/>
      <c r="BV3" s="73"/>
      <c r="BW3" s="73"/>
      <c r="BX3" s="73"/>
      <c r="BY3" s="73"/>
      <c r="BZ3" s="73"/>
      <c r="CA3" s="73"/>
      <c r="CB3" s="73"/>
      <c r="CC3" s="73"/>
      <c r="CD3" s="73"/>
    </row>
    <row r="4" spans="1:66" ht="12.75">
      <c r="A4" s="79" t="s">
        <v>568</v>
      </c>
      <c r="B4" s="79" t="s">
        <v>285</v>
      </c>
      <c r="C4" s="79" t="s">
        <v>203</v>
      </c>
      <c r="D4" s="99">
        <v>8288</v>
      </c>
      <c r="E4" s="99">
        <v>710</v>
      </c>
      <c r="F4" s="99" t="s">
        <v>399</v>
      </c>
      <c r="G4" s="99">
        <v>21</v>
      </c>
      <c r="H4" s="99">
        <v>10</v>
      </c>
      <c r="I4" s="99">
        <v>57</v>
      </c>
      <c r="J4" s="99">
        <v>286</v>
      </c>
      <c r="K4" s="99">
        <v>178</v>
      </c>
      <c r="L4" s="99">
        <v>998</v>
      </c>
      <c r="M4" s="99">
        <v>79</v>
      </c>
      <c r="N4" s="99">
        <v>66</v>
      </c>
      <c r="O4" s="99">
        <v>74</v>
      </c>
      <c r="P4" s="159">
        <v>74</v>
      </c>
      <c r="Q4" s="99">
        <v>8</v>
      </c>
      <c r="R4" s="99">
        <v>18</v>
      </c>
      <c r="S4" s="99">
        <v>7</v>
      </c>
      <c r="T4" s="99">
        <v>17</v>
      </c>
      <c r="U4" s="99" t="s">
        <v>668</v>
      </c>
      <c r="V4" s="99">
        <v>6</v>
      </c>
      <c r="W4" s="99">
        <v>27</v>
      </c>
      <c r="X4" s="99">
        <v>29</v>
      </c>
      <c r="Y4" s="99">
        <v>66</v>
      </c>
      <c r="Z4" s="99">
        <v>27</v>
      </c>
      <c r="AA4" s="99" t="s">
        <v>668</v>
      </c>
      <c r="AB4" s="99" t="s">
        <v>668</v>
      </c>
      <c r="AC4" s="99" t="s">
        <v>668</v>
      </c>
      <c r="AD4" s="98" t="s">
        <v>378</v>
      </c>
      <c r="AE4" s="100">
        <v>0.08566602316602316</v>
      </c>
      <c r="AF4" s="100">
        <v>0.3</v>
      </c>
      <c r="AG4" s="98">
        <v>253.3783783783784</v>
      </c>
      <c r="AH4" s="98">
        <v>120.65637065637065</v>
      </c>
      <c r="AI4" s="100">
        <v>0.006999999999999999</v>
      </c>
      <c r="AJ4" s="100">
        <v>0.507092</v>
      </c>
      <c r="AK4" s="100">
        <v>0.439506</v>
      </c>
      <c r="AL4" s="100">
        <v>0.563842</v>
      </c>
      <c r="AM4" s="100">
        <v>0.167728</v>
      </c>
      <c r="AN4" s="100">
        <v>0.256809</v>
      </c>
      <c r="AO4" s="98">
        <v>892.8571428571429</v>
      </c>
      <c r="AP4" s="158">
        <v>0.6896356964</v>
      </c>
      <c r="AQ4" s="100">
        <v>0.10810810810810811</v>
      </c>
      <c r="AR4" s="100">
        <v>0.4444444444444444</v>
      </c>
      <c r="AS4" s="98">
        <v>84.45945945945945</v>
      </c>
      <c r="AT4" s="98">
        <v>205.1158301158301</v>
      </c>
      <c r="AU4" s="98" t="s">
        <v>668</v>
      </c>
      <c r="AV4" s="98">
        <v>72.39382239382239</v>
      </c>
      <c r="AW4" s="98">
        <v>325.7722007722008</v>
      </c>
      <c r="AX4" s="98">
        <v>349.9034749034749</v>
      </c>
      <c r="AY4" s="98">
        <v>796.3320463320464</v>
      </c>
      <c r="AZ4" s="98">
        <v>325.7722007722008</v>
      </c>
      <c r="BA4" s="100" t="s">
        <v>668</v>
      </c>
      <c r="BB4" s="100" t="s">
        <v>668</v>
      </c>
      <c r="BC4" s="100" t="s">
        <v>668</v>
      </c>
      <c r="BD4" s="158">
        <v>0.5415123367</v>
      </c>
      <c r="BE4" s="158">
        <v>0.8657744597999999</v>
      </c>
      <c r="BF4" s="162">
        <v>564</v>
      </c>
      <c r="BG4" s="162">
        <v>405</v>
      </c>
      <c r="BH4" s="162">
        <v>1770</v>
      </c>
      <c r="BI4" s="162">
        <v>471</v>
      </c>
      <c r="BJ4" s="162">
        <v>257</v>
      </c>
      <c r="BK4" s="97"/>
      <c r="BL4" s="97"/>
      <c r="BM4" s="97"/>
      <c r="BN4" s="97"/>
    </row>
    <row r="5" spans="1:66" ht="12.75">
      <c r="A5" s="79" t="s">
        <v>626</v>
      </c>
      <c r="B5" s="79" t="s">
        <v>345</v>
      </c>
      <c r="C5" s="79" t="s">
        <v>203</v>
      </c>
      <c r="D5" s="99">
        <v>1370</v>
      </c>
      <c r="E5" s="99">
        <v>82</v>
      </c>
      <c r="F5" s="99" t="s">
        <v>399</v>
      </c>
      <c r="G5" s="99" t="s">
        <v>668</v>
      </c>
      <c r="H5" s="99" t="s">
        <v>668</v>
      </c>
      <c r="I5" s="99">
        <v>4</v>
      </c>
      <c r="J5" s="99">
        <v>29</v>
      </c>
      <c r="K5" s="99" t="s">
        <v>668</v>
      </c>
      <c r="L5" s="99">
        <v>87</v>
      </c>
      <c r="M5" s="99" t="s">
        <v>668</v>
      </c>
      <c r="N5" s="99">
        <v>8</v>
      </c>
      <c r="O5" s="99" t="s">
        <v>668</v>
      </c>
      <c r="P5" s="159" t="s">
        <v>668</v>
      </c>
      <c r="Q5" s="99" t="s">
        <v>668</v>
      </c>
      <c r="R5" s="99" t="s">
        <v>668</v>
      </c>
      <c r="S5" s="99" t="s">
        <v>668</v>
      </c>
      <c r="T5" s="99" t="s">
        <v>668</v>
      </c>
      <c r="U5" s="99" t="s">
        <v>668</v>
      </c>
      <c r="V5" s="99" t="s">
        <v>668</v>
      </c>
      <c r="W5" s="99" t="s">
        <v>668</v>
      </c>
      <c r="X5" s="99" t="s">
        <v>668</v>
      </c>
      <c r="Y5" s="99" t="s">
        <v>668</v>
      </c>
      <c r="Z5" s="99" t="s">
        <v>668</v>
      </c>
      <c r="AA5" s="99" t="s">
        <v>668</v>
      </c>
      <c r="AB5" s="99" t="s">
        <v>668</v>
      </c>
      <c r="AC5" s="99" t="s">
        <v>668</v>
      </c>
      <c r="AD5" s="98" t="s">
        <v>378</v>
      </c>
      <c r="AE5" s="100">
        <v>0.059854014598540145</v>
      </c>
      <c r="AF5" s="100">
        <v>0.34</v>
      </c>
      <c r="AG5" s="98" t="s">
        <v>668</v>
      </c>
      <c r="AH5" s="98" t="s">
        <v>668</v>
      </c>
      <c r="AI5" s="100">
        <v>0.003</v>
      </c>
      <c r="AJ5" s="100">
        <v>0.371795</v>
      </c>
      <c r="AK5" s="100" t="s">
        <v>668</v>
      </c>
      <c r="AL5" s="100">
        <v>0.371795</v>
      </c>
      <c r="AM5" s="100" t="s">
        <v>668</v>
      </c>
      <c r="AN5" s="100">
        <v>0.347826</v>
      </c>
      <c r="AO5" s="98" t="s">
        <v>668</v>
      </c>
      <c r="AP5" s="162" t="s">
        <v>676</v>
      </c>
      <c r="AQ5" s="100" t="s">
        <v>668</v>
      </c>
      <c r="AR5" s="100" t="s">
        <v>668</v>
      </c>
      <c r="AS5" s="98" t="s">
        <v>668</v>
      </c>
      <c r="AT5" s="98" t="s">
        <v>668</v>
      </c>
      <c r="AU5" s="98" t="s">
        <v>668</v>
      </c>
      <c r="AV5" s="98" t="s">
        <v>668</v>
      </c>
      <c r="AW5" s="98" t="s">
        <v>668</v>
      </c>
      <c r="AX5" s="98" t="s">
        <v>668</v>
      </c>
      <c r="AY5" s="98" t="s">
        <v>668</v>
      </c>
      <c r="AZ5" s="98" t="s">
        <v>668</v>
      </c>
      <c r="BA5" s="100" t="s">
        <v>668</v>
      </c>
      <c r="BB5" s="100" t="s">
        <v>668</v>
      </c>
      <c r="BC5" s="100" t="s">
        <v>668</v>
      </c>
      <c r="BD5" s="158" t="s">
        <v>668</v>
      </c>
      <c r="BE5" s="158" t="s">
        <v>668</v>
      </c>
      <c r="BF5" s="162">
        <v>78</v>
      </c>
      <c r="BG5" s="162" t="s">
        <v>668</v>
      </c>
      <c r="BH5" s="162">
        <v>234</v>
      </c>
      <c r="BI5" s="162" t="s">
        <v>668</v>
      </c>
      <c r="BJ5" s="162">
        <v>23</v>
      </c>
      <c r="BK5" s="97"/>
      <c r="BL5" s="97"/>
      <c r="BM5" s="97"/>
      <c r="BN5" s="97"/>
    </row>
    <row r="6" spans="1:66" ht="12.75">
      <c r="A6" s="79" t="s">
        <v>631</v>
      </c>
      <c r="B6" s="79" t="s">
        <v>560</v>
      </c>
      <c r="C6" s="79" t="s">
        <v>203</v>
      </c>
      <c r="D6" s="99">
        <v>1614</v>
      </c>
      <c r="E6" s="99">
        <v>117</v>
      </c>
      <c r="F6" s="99" t="s">
        <v>399</v>
      </c>
      <c r="G6" s="99" t="s">
        <v>668</v>
      </c>
      <c r="H6" s="99" t="s">
        <v>668</v>
      </c>
      <c r="I6" s="99">
        <v>13</v>
      </c>
      <c r="J6" s="99">
        <v>41</v>
      </c>
      <c r="K6" s="99">
        <v>39</v>
      </c>
      <c r="L6" s="99">
        <v>256</v>
      </c>
      <c r="M6" s="99" t="s">
        <v>668</v>
      </c>
      <c r="N6" s="99">
        <v>6</v>
      </c>
      <c r="O6" s="99">
        <v>13</v>
      </c>
      <c r="P6" s="159">
        <v>13</v>
      </c>
      <c r="Q6" s="99" t="s">
        <v>668</v>
      </c>
      <c r="R6" s="99" t="s">
        <v>668</v>
      </c>
      <c r="S6" s="99" t="s">
        <v>668</v>
      </c>
      <c r="T6" s="99" t="s">
        <v>668</v>
      </c>
      <c r="U6" s="99" t="s">
        <v>668</v>
      </c>
      <c r="V6" s="99" t="s">
        <v>668</v>
      </c>
      <c r="W6" s="99" t="s">
        <v>668</v>
      </c>
      <c r="X6" s="99" t="s">
        <v>668</v>
      </c>
      <c r="Y6" s="99" t="s">
        <v>668</v>
      </c>
      <c r="Z6" s="99" t="s">
        <v>668</v>
      </c>
      <c r="AA6" s="99" t="s">
        <v>668</v>
      </c>
      <c r="AB6" s="99" t="s">
        <v>668</v>
      </c>
      <c r="AC6" s="99" t="s">
        <v>668</v>
      </c>
      <c r="AD6" s="98" t="s">
        <v>378</v>
      </c>
      <c r="AE6" s="100">
        <v>0.0724907063197026</v>
      </c>
      <c r="AF6" s="100">
        <v>0.36</v>
      </c>
      <c r="AG6" s="98" t="s">
        <v>668</v>
      </c>
      <c r="AH6" s="98" t="s">
        <v>668</v>
      </c>
      <c r="AI6" s="100">
        <v>0.008</v>
      </c>
      <c r="AJ6" s="100">
        <v>0.42268</v>
      </c>
      <c r="AK6" s="100">
        <v>0.481481</v>
      </c>
      <c r="AL6" s="100">
        <v>0.684492</v>
      </c>
      <c r="AM6" s="100" t="s">
        <v>668</v>
      </c>
      <c r="AN6" s="100">
        <v>0.15</v>
      </c>
      <c r="AO6" s="98">
        <v>805.45229244114</v>
      </c>
      <c r="AP6" s="158">
        <v>0.6691818237</v>
      </c>
      <c r="AQ6" s="100" t="s">
        <v>668</v>
      </c>
      <c r="AR6" s="100" t="s">
        <v>668</v>
      </c>
      <c r="AS6" s="98" t="s">
        <v>668</v>
      </c>
      <c r="AT6" s="98" t="s">
        <v>668</v>
      </c>
      <c r="AU6" s="98" t="s">
        <v>668</v>
      </c>
      <c r="AV6" s="98" t="s">
        <v>668</v>
      </c>
      <c r="AW6" s="98" t="s">
        <v>668</v>
      </c>
      <c r="AX6" s="98" t="s">
        <v>668</v>
      </c>
      <c r="AY6" s="98" t="s">
        <v>668</v>
      </c>
      <c r="AZ6" s="98" t="s">
        <v>668</v>
      </c>
      <c r="BA6" s="100" t="s">
        <v>668</v>
      </c>
      <c r="BB6" s="100" t="s">
        <v>668</v>
      </c>
      <c r="BC6" s="100" t="s">
        <v>668</v>
      </c>
      <c r="BD6" s="158">
        <v>0.3563111496</v>
      </c>
      <c r="BE6" s="158">
        <v>1.144321365</v>
      </c>
      <c r="BF6" s="162">
        <v>97</v>
      </c>
      <c r="BG6" s="162">
        <v>81</v>
      </c>
      <c r="BH6" s="162">
        <v>374</v>
      </c>
      <c r="BI6" s="162" t="s">
        <v>668</v>
      </c>
      <c r="BJ6" s="162">
        <v>40</v>
      </c>
      <c r="BK6" s="97"/>
      <c r="BL6" s="97"/>
      <c r="BM6" s="97"/>
      <c r="BN6" s="97"/>
    </row>
    <row r="7" spans="1:66" ht="12.75">
      <c r="A7" s="79" t="s">
        <v>644</v>
      </c>
      <c r="B7" s="79" t="s">
        <v>363</v>
      </c>
      <c r="C7" s="79" t="s">
        <v>203</v>
      </c>
      <c r="D7" s="99">
        <v>2542</v>
      </c>
      <c r="E7" s="99">
        <v>243</v>
      </c>
      <c r="F7" s="99" t="s">
        <v>398</v>
      </c>
      <c r="G7" s="99" t="s">
        <v>668</v>
      </c>
      <c r="H7" s="99" t="s">
        <v>668</v>
      </c>
      <c r="I7" s="99">
        <v>18</v>
      </c>
      <c r="J7" s="99">
        <v>64</v>
      </c>
      <c r="K7" s="99">
        <v>11</v>
      </c>
      <c r="L7" s="99">
        <v>292</v>
      </c>
      <c r="M7" s="99">
        <v>28</v>
      </c>
      <c r="N7" s="99">
        <v>19</v>
      </c>
      <c r="O7" s="99" t="s">
        <v>668</v>
      </c>
      <c r="P7" s="159" t="s">
        <v>668</v>
      </c>
      <c r="Q7" s="99" t="s">
        <v>668</v>
      </c>
      <c r="R7" s="99" t="s">
        <v>668</v>
      </c>
      <c r="S7" s="99" t="s">
        <v>668</v>
      </c>
      <c r="T7" s="99" t="s">
        <v>668</v>
      </c>
      <c r="U7" s="99" t="s">
        <v>668</v>
      </c>
      <c r="V7" s="99" t="s">
        <v>668</v>
      </c>
      <c r="W7" s="99">
        <v>7</v>
      </c>
      <c r="X7" s="99">
        <v>7</v>
      </c>
      <c r="Y7" s="99">
        <v>18</v>
      </c>
      <c r="Z7" s="99">
        <v>7</v>
      </c>
      <c r="AA7" s="99" t="s">
        <v>668</v>
      </c>
      <c r="AB7" s="99" t="s">
        <v>668</v>
      </c>
      <c r="AC7" s="99" t="s">
        <v>668</v>
      </c>
      <c r="AD7" s="98" t="s">
        <v>378</v>
      </c>
      <c r="AE7" s="100">
        <v>0.0955940204563336</v>
      </c>
      <c r="AF7" s="100">
        <v>0.21</v>
      </c>
      <c r="AG7" s="98" t="s">
        <v>668</v>
      </c>
      <c r="AH7" s="98" t="s">
        <v>668</v>
      </c>
      <c r="AI7" s="100">
        <v>0.006999999999999999</v>
      </c>
      <c r="AJ7" s="100">
        <v>0.402516</v>
      </c>
      <c r="AK7" s="100">
        <v>0.37931</v>
      </c>
      <c r="AL7" s="100">
        <v>0.595918</v>
      </c>
      <c r="AM7" s="100">
        <v>0.207407</v>
      </c>
      <c r="AN7" s="100">
        <v>0.267606</v>
      </c>
      <c r="AO7" s="98" t="s">
        <v>668</v>
      </c>
      <c r="AP7" s="158" t="s">
        <v>668</v>
      </c>
      <c r="AQ7" s="100" t="s">
        <v>668</v>
      </c>
      <c r="AR7" s="100" t="s">
        <v>668</v>
      </c>
      <c r="AS7" s="98" t="s">
        <v>668</v>
      </c>
      <c r="AT7" s="98" t="s">
        <v>668</v>
      </c>
      <c r="AU7" s="98" t="s">
        <v>668</v>
      </c>
      <c r="AV7" s="98" t="s">
        <v>668</v>
      </c>
      <c r="AW7" s="98">
        <v>275.3737214791503</v>
      </c>
      <c r="AX7" s="98">
        <v>275.3737214791503</v>
      </c>
      <c r="AY7" s="98">
        <v>708.1038552321007</v>
      </c>
      <c r="AZ7" s="98">
        <v>275.3737214791503</v>
      </c>
      <c r="BA7" s="100" t="s">
        <v>668</v>
      </c>
      <c r="BB7" s="100" t="s">
        <v>668</v>
      </c>
      <c r="BC7" s="100" t="s">
        <v>668</v>
      </c>
      <c r="BD7" s="158" t="s">
        <v>668</v>
      </c>
      <c r="BE7" s="158" t="s">
        <v>668</v>
      </c>
      <c r="BF7" s="162">
        <v>159</v>
      </c>
      <c r="BG7" s="162">
        <v>29</v>
      </c>
      <c r="BH7" s="162">
        <v>490</v>
      </c>
      <c r="BI7" s="162">
        <v>135</v>
      </c>
      <c r="BJ7" s="162">
        <v>71</v>
      </c>
      <c r="BK7" s="97"/>
      <c r="BL7" s="97"/>
      <c r="BM7" s="97"/>
      <c r="BN7" s="97"/>
    </row>
    <row r="8" spans="1:66" ht="12.75">
      <c r="A8" s="79" t="s">
        <v>613</v>
      </c>
      <c r="B8" s="79" t="s">
        <v>332</v>
      </c>
      <c r="C8" s="79" t="s">
        <v>203</v>
      </c>
      <c r="D8" s="99">
        <v>3769</v>
      </c>
      <c r="E8" s="99">
        <v>369</v>
      </c>
      <c r="F8" s="99" t="s">
        <v>399</v>
      </c>
      <c r="G8" s="99">
        <v>13</v>
      </c>
      <c r="H8" s="99">
        <v>14</v>
      </c>
      <c r="I8" s="99">
        <v>23</v>
      </c>
      <c r="J8" s="99">
        <v>160</v>
      </c>
      <c r="K8" s="99">
        <v>157</v>
      </c>
      <c r="L8" s="99">
        <v>525</v>
      </c>
      <c r="M8" s="99">
        <v>71</v>
      </c>
      <c r="N8" s="99">
        <v>29</v>
      </c>
      <c r="O8" s="99">
        <v>48</v>
      </c>
      <c r="P8" s="159">
        <v>48</v>
      </c>
      <c r="Q8" s="99" t="s">
        <v>668</v>
      </c>
      <c r="R8" s="99">
        <v>14</v>
      </c>
      <c r="S8" s="99">
        <v>12</v>
      </c>
      <c r="T8" s="99">
        <v>9</v>
      </c>
      <c r="U8" s="99" t="s">
        <v>668</v>
      </c>
      <c r="V8" s="99">
        <v>10</v>
      </c>
      <c r="W8" s="99">
        <v>25</v>
      </c>
      <c r="X8" s="99">
        <v>24</v>
      </c>
      <c r="Y8" s="99">
        <v>41</v>
      </c>
      <c r="Z8" s="99">
        <v>32</v>
      </c>
      <c r="AA8" s="99" t="s">
        <v>668</v>
      </c>
      <c r="AB8" s="99" t="s">
        <v>668</v>
      </c>
      <c r="AC8" s="99" t="s">
        <v>668</v>
      </c>
      <c r="AD8" s="98" t="s">
        <v>378</v>
      </c>
      <c r="AE8" s="100">
        <v>0.09790395330326347</v>
      </c>
      <c r="AF8" s="100">
        <v>0.34</v>
      </c>
      <c r="AG8" s="98">
        <v>344.91907667816395</v>
      </c>
      <c r="AH8" s="98">
        <v>371.45131334571505</v>
      </c>
      <c r="AI8" s="100">
        <v>0.006</v>
      </c>
      <c r="AJ8" s="100">
        <v>0.517799</v>
      </c>
      <c r="AK8" s="100">
        <v>0.518152</v>
      </c>
      <c r="AL8" s="100">
        <v>0.619835</v>
      </c>
      <c r="AM8" s="100">
        <v>0.262963</v>
      </c>
      <c r="AN8" s="100">
        <v>0.287129</v>
      </c>
      <c r="AO8" s="98">
        <v>1273.5473600424516</v>
      </c>
      <c r="AP8" s="158">
        <v>0.8850997162</v>
      </c>
      <c r="AQ8" s="100" t="s">
        <v>668</v>
      </c>
      <c r="AR8" s="100" t="s">
        <v>668</v>
      </c>
      <c r="AS8" s="98">
        <v>318.3868400106129</v>
      </c>
      <c r="AT8" s="98">
        <v>238.79013000795968</v>
      </c>
      <c r="AU8" s="98" t="s">
        <v>668</v>
      </c>
      <c r="AV8" s="98">
        <v>265.32236667551075</v>
      </c>
      <c r="AW8" s="98">
        <v>663.3059166887768</v>
      </c>
      <c r="AX8" s="98">
        <v>636.7736800212258</v>
      </c>
      <c r="AY8" s="98">
        <v>1087.8217033695942</v>
      </c>
      <c r="AZ8" s="98">
        <v>849.0315733616344</v>
      </c>
      <c r="BA8" s="100" t="s">
        <v>668</v>
      </c>
      <c r="BB8" s="100" t="s">
        <v>668</v>
      </c>
      <c r="BC8" s="100" t="s">
        <v>668</v>
      </c>
      <c r="BD8" s="158">
        <v>0.6526026917</v>
      </c>
      <c r="BE8" s="158">
        <v>1.173513794</v>
      </c>
      <c r="BF8" s="162">
        <v>309</v>
      </c>
      <c r="BG8" s="162">
        <v>303</v>
      </c>
      <c r="BH8" s="162">
        <v>847</v>
      </c>
      <c r="BI8" s="162">
        <v>270</v>
      </c>
      <c r="BJ8" s="162">
        <v>101</v>
      </c>
      <c r="BK8" s="97"/>
      <c r="BL8" s="97"/>
      <c r="BM8" s="97"/>
      <c r="BN8" s="97"/>
    </row>
    <row r="9" spans="1:66" ht="12.75">
      <c r="A9" s="79" t="s">
        <v>648</v>
      </c>
      <c r="B9" s="79" t="s">
        <v>367</v>
      </c>
      <c r="C9" s="79" t="s">
        <v>203</v>
      </c>
      <c r="D9" s="99">
        <v>7060</v>
      </c>
      <c r="E9" s="99">
        <v>521</v>
      </c>
      <c r="F9" s="99" t="s">
        <v>399</v>
      </c>
      <c r="G9" s="99">
        <v>20</v>
      </c>
      <c r="H9" s="99">
        <v>8</v>
      </c>
      <c r="I9" s="99">
        <v>66</v>
      </c>
      <c r="J9" s="99">
        <v>233</v>
      </c>
      <c r="K9" s="99">
        <v>218</v>
      </c>
      <c r="L9" s="99">
        <v>1419</v>
      </c>
      <c r="M9" s="99">
        <v>135</v>
      </c>
      <c r="N9" s="99">
        <v>58</v>
      </c>
      <c r="O9" s="99">
        <v>96</v>
      </c>
      <c r="P9" s="159">
        <v>96</v>
      </c>
      <c r="Q9" s="99">
        <v>8</v>
      </c>
      <c r="R9" s="99">
        <v>23</v>
      </c>
      <c r="S9" s="99">
        <v>18</v>
      </c>
      <c r="T9" s="99">
        <v>6</v>
      </c>
      <c r="U9" s="99">
        <v>8</v>
      </c>
      <c r="V9" s="99">
        <v>12</v>
      </c>
      <c r="W9" s="99">
        <v>42</v>
      </c>
      <c r="X9" s="99">
        <v>40</v>
      </c>
      <c r="Y9" s="99">
        <v>68</v>
      </c>
      <c r="Z9" s="99">
        <v>40</v>
      </c>
      <c r="AA9" s="99" t="s">
        <v>668</v>
      </c>
      <c r="AB9" s="99" t="s">
        <v>668</v>
      </c>
      <c r="AC9" s="99" t="s">
        <v>668</v>
      </c>
      <c r="AD9" s="98" t="s">
        <v>378</v>
      </c>
      <c r="AE9" s="100">
        <v>0.07379603399433428</v>
      </c>
      <c r="AF9" s="100">
        <v>0.28</v>
      </c>
      <c r="AG9" s="98">
        <v>283.28611898017</v>
      </c>
      <c r="AH9" s="98">
        <v>113.31444759206799</v>
      </c>
      <c r="AI9" s="100">
        <v>0.009000000000000001</v>
      </c>
      <c r="AJ9" s="100">
        <v>0.616402</v>
      </c>
      <c r="AK9" s="100">
        <v>0.610644</v>
      </c>
      <c r="AL9" s="100">
        <v>0.711992</v>
      </c>
      <c r="AM9" s="100">
        <v>0.355263</v>
      </c>
      <c r="AN9" s="100">
        <v>0.408451</v>
      </c>
      <c r="AO9" s="98">
        <v>1359.7733711048159</v>
      </c>
      <c r="AP9" s="158">
        <v>1.078654251</v>
      </c>
      <c r="AQ9" s="100">
        <v>0.08333333333333333</v>
      </c>
      <c r="AR9" s="100">
        <v>0.34782608695652173</v>
      </c>
      <c r="AS9" s="98">
        <v>254.95750708215297</v>
      </c>
      <c r="AT9" s="98">
        <v>84.98583569405099</v>
      </c>
      <c r="AU9" s="98">
        <v>113.31444759206799</v>
      </c>
      <c r="AV9" s="98">
        <v>169.97167138810198</v>
      </c>
      <c r="AW9" s="98">
        <v>594.900849858357</v>
      </c>
      <c r="AX9" s="98">
        <v>566.57223796034</v>
      </c>
      <c r="AY9" s="98">
        <v>963.1728045325779</v>
      </c>
      <c r="AZ9" s="98">
        <v>566.57223796034</v>
      </c>
      <c r="BA9" s="100" t="s">
        <v>668</v>
      </c>
      <c r="BB9" s="100" t="s">
        <v>668</v>
      </c>
      <c r="BC9" s="100" t="s">
        <v>668</v>
      </c>
      <c r="BD9" s="158">
        <v>0.8737133789000001</v>
      </c>
      <c r="BE9" s="158">
        <v>1.317221375</v>
      </c>
      <c r="BF9" s="162">
        <v>378</v>
      </c>
      <c r="BG9" s="162">
        <v>357</v>
      </c>
      <c r="BH9" s="162">
        <v>1993</v>
      </c>
      <c r="BI9" s="162">
        <v>380</v>
      </c>
      <c r="BJ9" s="162">
        <v>142</v>
      </c>
      <c r="BK9" s="97"/>
      <c r="BL9" s="97"/>
      <c r="BM9" s="97"/>
      <c r="BN9" s="97"/>
    </row>
    <row r="10" spans="1:66" ht="12.75">
      <c r="A10" s="79" t="s">
        <v>630</v>
      </c>
      <c r="B10" s="79" t="s">
        <v>349</v>
      </c>
      <c r="C10" s="79" t="s">
        <v>203</v>
      </c>
      <c r="D10" s="99">
        <v>2286</v>
      </c>
      <c r="E10" s="99">
        <v>332</v>
      </c>
      <c r="F10" s="99" t="s">
        <v>398</v>
      </c>
      <c r="G10" s="99" t="s">
        <v>668</v>
      </c>
      <c r="H10" s="99" t="s">
        <v>668</v>
      </c>
      <c r="I10" s="99">
        <v>18</v>
      </c>
      <c r="J10" s="99">
        <v>167</v>
      </c>
      <c r="K10" s="99">
        <v>62</v>
      </c>
      <c r="L10" s="99">
        <v>381</v>
      </c>
      <c r="M10" s="99">
        <v>90</v>
      </c>
      <c r="N10" s="99">
        <v>39</v>
      </c>
      <c r="O10" s="99">
        <v>26</v>
      </c>
      <c r="P10" s="159">
        <v>26</v>
      </c>
      <c r="Q10" s="99" t="s">
        <v>668</v>
      </c>
      <c r="R10" s="99">
        <v>7</v>
      </c>
      <c r="S10" s="99" t="s">
        <v>668</v>
      </c>
      <c r="T10" s="99" t="s">
        <v>668</v>
      </c>
      <c r="U10" s="99" t="s">
        <v>668</v>
      </c>
      <c r="V10" s="99" t="s">
        <v>668</v>
      </c>
      <c r="W10" s="99">
        <v>20</v>
      </c>
      <c r="X10" s="99">
        <v>15</v>
      </c>
      <c r="Y10" s="99">
        <v>22</v>
      </c>
      <c r="Z10" s="99">
        <v>16</v>
      </c>
      <c r="AA10" s="99" t="s">
        <v>668</v>
      </c>
      <c r="AB10" s="99" t="s">
        <v>668</v>
      </c>
      <c r="AC10" s="99" t="s">
        <v>668</v>
      </c>
      <c r="AD10" s="98" t="s">
        <v>378</v>
      </c>
      <c r="AE10" s="100">
        <v>0.1452318460192476</v>
      </c>
      <c r="AF10" s="100">
        <v>0.21</v>
      </c>
      <c r="AG10" s="98" t="s">
        <v>668</v>
      </c>
      <c r="AH10" s="98" t="s">
        <v>668</v>
      </c>
      <c r="AI10" s="100">
        <v>0.008</v>
      </c>
      <c r="AJ10" s="100">
        <v>0.620818</v>
      </c>
      <c r="AK10" s="100">
        <v>0.696629</v>
      </c>
      <c r="AL10" s="100">
        <v>0.745597</v>
      </c>
      <c r="AM10" s="100">
        <v>0.371901</v>
      </c>
      <c r="AN10" s="100">
        <v>0.423913</v>
      </c>
      <c r="AO10" s="98">
        <v>1137.357830271216</v>
      </c>
      <c r="AP10" s="158">
        <v>0.6476803589</v>
      </c>
      <c r="AQ10" s="100" t="s">
        <v>668</v>
      </c>
      <c r="AR10" s="100" t="s">
        <v>668</v>
      </c>
      <c r="AS10" s="98" t="s">
        <v>668</v>
      </c>
      <c r="AT10" s="98" t="s">
        <v>668</v>
      </c>
      <c r="AU10" s="98" t="s">
        <v>668</v>
      </c>
      <c r="AV10" s="98" t="s">
        <v>668</v>
      </c>
      <c r="AW10" s="98">
        <v>874.8906386701663</v>
      </c>
      <c r="AX10" s="98">
        <v>656.1679790026246</v>
      </c>
      <c r="AY10" s="98">
        <v>962.3797025371829</v>
      </c>
      <c r="AZ10" s="98">
        <v>699.912510936133</v>
      </c>
      <c r="BA10" s="100" t="s">
        <v>668</v>
      </c>
      <c r="BB10" s="100" t="s">
        <v>668</v>
      </c>
      <c r="BC10" s="100" t="s">
        <v>668</v>
      </c>
      <c r="BD10" s="158">
        <v>0.4230862808</v>
      </c>
      <c r="BE10" s="158">
        <v>0.94900177</v>
      </c>
      <c r="BF10" s="162">
        <v>269</v>
      </c>
      <c r="BG10" s="162">
        <v>89</v>
      </c>
      <c r="BH10" s="162">
        <v>511</v>
      </c>
      <c r="BI10" s="162">
        <v>242</v>
      </c>
      <c r="BJ10" s="162">
        <v>92</v>
      </c>
      <c r="BK10" s="97"/>
      <c r="BL10" s="97"/>
      <c r="BM10" s="97"/>
      <c r="BN10" s="97"/>
    </row>
    <row r="11" spans="1:66" ht="12.75">
      <c r="A11" s="79" t="s">
        <v>605</v>
      </c>
      <c r="B11" s="79" t="s">
        <v>323</v>
      </c>
      <c r="C11" s="79" t="s">
        <v>203</v>
      </c>
      <c r="D11" s="99">
        <v>8788</v>
      </c>
      <c r="E11" s="99">
        <v>710</v>
      </c>
      <c r="F11" s="99" t="s">
        <v>399</v>
      </c>
      <c r="G11" s="99">
        <v>11</v>
      </c>
      <c r="H11" s="99">
        <v>19</v>
      </c>
      <c r="I11" s="99">
        <v>85</v>
      </c>
      <c r="J11" s="99">
        <v>382</v>
      </c>
      <c r="K11" s="99">
        <v>251</v>
      </c>
      <c r="L11" s="99">
        <v>1434</v>
      </c>
      <c r="M11" s="99">
        <v>108</v>
      </c>
      <c r="N11" s="99">
        <v>94</v>
      </c>
      <c r="O11" s="99">
        <v>139</v>
      </c>
      <c r="P11" s="159">
        <v>139</v>
      </c>
      <c r="Q11" s="99">
        <v>13</v>
      </c>
      <c r="R11" s="99">
        <v>34</v>
      </c>
      <c r="S11" s="99">
        <v>32</v>
      </c>
      <c r="T11" s="99">
        <v>18</v>
      </c>
      <c r="U11" s="99">
        <v>6</v>
      </c>
      <c r="V11" s="99">
        <v>40</v>
      </c>
      <c r="W11" s="99">
        <v>32</v>
      </c>
      <c r="X11" s="99">
        <v>44</v>
      </c>
      <c r="Y11" s="99">
        <v>79</v>
      </c>
      <c r="Z11" s="99">
        <v>40</v>
      </c>
      <c r="AA11" s="99" t="s">
        <v>668</v>
      </c>
      <c r="AB11" s="99" t="s">
        <v>668</v>
      </c>
      <c r="AC11" s="99" t="s">
        <v>668</v>
      </c>
      <c r="AD11" s="98" t="s">
        <v>378</v>
      </c>
      <c r="AE11" s="100">
        <v>0.08079198907601275</v>
      </c>
      <c r="AF11" s="100">
        <v>0.24</v>
      </c>
      <c r="AG11" s="98">
        <v>125.17068730086481</v>
      </c>
      <c r="AH11" s="98">
        <v>216.2039144287665</v>
      </c>
      <c r="AI11" s="100">
        <v>0.01</v>
      </c>
      <c r="AJ11" s="100">
        <v>0.62215</v>
      </c>
      <c r="AK11" s="100">
        <v>0.575688</v>
      </c>
      <c r="AL11" s="100">
        <v>0.699512</v>
      </c>
      <c r="AM11" s="100">
        <v>0.208092</v>
      </c>
      <c r="AN11" s="100">
        <v>0.356061</v>
      </c>
      <c r="AO11" s="98">
        <v>1581.7023213472917</v>
      </c>
      <c r="AP11" s="158">
        <v>1.2465341189999999</v>
      </c>
      <c r="AQ11" s="100">
        <v>0.09352517985611511</v>
      </c>
      <c r="AR11" s="100">
        <v>0.38235294117647056</v>
      </c>
      <c r="AS11" s="98">
        <v>364.13290851160673</v>
      </c>
      <c r="AT11" s="98">
        <v>204.82476103777879</v>
      </c>
      <c r="AU11" s="98">
        <v>68.27492034592626</v>
      </c>
      <c r="AV11" s="98">
        <v>455.1661356395084</v>
      </c>
      <c r="AW11" s="98">
        <v>364.13290851160673</v>
      </c>
      <c r="AX11" s="98">
        <v>500.68274920345925</v>
      </c>
      <c r="AY11" s="98">
        <v>898.9531178880292</v>
      </c>
      <c r="AZ11" s="98">
        <v>455.1661356395084</v>
      </c>
      <c r="BA11" s="100" t="s">
        <v>668</v>
      </c>
      <c r="BB11" s="100" t="s">
        <v>668</v>
      </c>
      <c r="BC11" s="100" t="s">
        <v>668</v>
      </c>
      <c r="BD11" s="158">
        <v>1.047928009</v>
      </c>
      <c r="BE11" s="158">
        <v>1.471831818</v>
      </c>
      <c r="BF11" s="162">
        <v>614</v>
      </c>
      <c r="BG11" s="162">
        <v>436</v>
      </c>
      <c r="BH11" s="162">
        <v>2050</v>
      </c>
      <c r="BI11" s="162">
        <v>519</v>
      </c>
      <c r="BJ11" s="162">
        <v>264</v>
      </c>
      <c r="BK11" s="97"/>
      <c r="BL11" s="97"/>
      <c r="BM11" s="97"/>
      <c r="BN11" s="97"/>
    </row>
    <row r="12" spans="1:66" ht="12.75">
      <c r="A12" s="79" t="s">
        <v>591</v>
      </c>
      <c r="B12" s="79" t="s">
        <v>309</v>
      </c>
      <c r="C12" s="79" t="s">
        <v>203</v>
      </c>
      <c r="D12" s="99">
        <v>6535</v>
      </c>
      <c r="E12" s="99">
        <v>690</v>
      </c>
      <c r="F12" s="99" t="s">
        <v>398</v>
      </c>
      <c r="G12" s="99">
        <v>15</v>
      </c>
      <c r="H12" s="99">
        <v>12</v>
      </c>
      <c r="I12" s="99">
        <v>75</v>
      </c>
      <c r="J12" s="99">
        <v>387</v>
      </c>
      <c r="K12" s="99">
        <v>344</v>
      </c>
      <c r="L12" s="99">
        <v>1395</v>
      </c>
      <c r="M12" s="99">
        <v>118</v>
      </c>
      <c r="N12" s="99">
        <v>97</v>
      </c>
      <c r="O12" s="99">
        <v>76</v>
      </c>
      <c r="P12" s="159">
        <v>76</v>
      </c>
      <c r="Q12" s="99">
        <v>6</v>
      </c>
      <c r="R12" s="99">
        <v>18</v>
      </c>
      <c r="S12" s="99">
        <v>19</v>
      </c>
      <c r="T12" s="99">
        <v>13</v>
      </c>
      <c r="U12" s="99" t="s">
        <v>668</v>
      </c>
      <c r="V12" s="99">
        <v>13</v>
      </c>
      <c r="W12" s="99">
        <v>35</v>
      </c>
      <c r="X12" s="99">
        <v>35</v>
      </c>
      <c r="Y12" s="99">
        <v>62</v>
      </c>
      <c r="Z12" s="99">
        <v>28</v>
      </c>
      <c r="AA12" s="99" t="s">
        <v>668</v>
      </c>
      <c r="AB12" s="99" t="s">
        <v>668</v>
      </c>
      <c r="AC12" s="99" t="s">
        <v>668</v>
      </c>
      <c r="AD12" s="98" t="s">
        <v>378</v>
      </c>
      <c r="AE12" s="100">
        <v>0.10558530986993114</v>
      </c>
      <c r="AF12" s="100">
        <v>0.23</v>
      </c>
      <c r="AG12" s="98">
        <v>229.53328232593725</v>
      </c>
      <c r="AH12" s="98">
        <v>183.6266258607498</v>
      </c>
      <c r="AI12" s="100">
        <v>0.011000000000000001</v>
      </c>
      <c r="AJ12" s="100">
        <v>0.734345</v>
      </c>
      <c r="AK12" s="100">
        <v>0.696356</v>
      </c>
      <c r="AL12" s="100">
        <v>0.732283</v>
      </c>
      <c r="AM12" s="100">
        <v>0.317204</v>
      </c>
      <c r="AN12" s="100">
        <v>0.518717</v>
      </c>
      <c r="AO12" s="98">
        <v>1162.9686304514155</v>
      </c>
      <c r="AP12" s="158">
        <v>0.7572895049999999</v>
      </c>
      <c r="AQ12" s="100">
        <v>0.07894736842105263</v>
      </c>
      <c r="AR12" s="100">
        <v>0.3333333333333333</v>
      </c>
      <c r="AS12" s="98">
        <v>290.7421576128539</v>
      </c>
      <c r="AT12" s="98">
        <v>198.92884468247897</v>
      </c>
      <c r="AU12" s="98" t="s">
        <v>668</v>
      </c>
      <c r="AV12" s="98">
        <v>198.92884468247897</v>
      </c>
      <c r="AW12" s="98">
        <v>535.5776587605203</v>
      </c>
      <c r="AX12" s="98">
        <v>535.5776587605203</v>
      </c>
      <c r="AY12" s="98">
        <v>948.7375669472074</v>
      </c>
      <c r="AZ12" s="98">
        <v>428.46212700841625</v>
      </c>
      <c r="BA12" s="100" t="s">
        <v>668</v>
      </c>
      <c r="BB12" s="100" t="s">
        <v>668</v>
      </c>
      <c r="BC12" s="100" t="s">
        <v>668</v>
      </c>
      <c r="BD12" s="158">
        <v>0.59665802</v>
      </c>
      <c r="BE12" s="158">
        <v>0.9478607941</v>
      </c>
      <c r="BF12" s="162">
        <v>527</v>
      </c>
      <c r="BG12" s="162">
        <v>494</v>
      </c>
      <c r="BH12" s="162">
        <v>1905</v>
      </c>
      <c r="BI12" s="162">
        <v>372</v>
      </c>
      <c r="BJ12" s="162">
        <v>187</v>
      </c>
      <c r="BK12" s="97"/>
      <c r="BL12" s="97"/>
      <c r="BM12" s="97"/>
      <c r="BN12" s="97"/>
    </row>
    <row r="13" spans="1:66" ht="12.75">
      <c r="A13" s="79" t="s">
        <v>589</v>
      </c>
      <c r="B13" s="79" t="s">
        <v>306</v>
      </c>
      <c r="C13" s="79" t="s">
        <v>203</v>
      </c>
      <c r="D13" s="99">
        <v>12639</v>
      </c>
      <c r="E13" s="99">
        <v>1488</v>
      </c>
      <c r="F13" s="99" t="s">
        <v>400</v>
      </c>
      <c r="G13" s="99">
        <v>49</v>
      </c>
      <c r="H13" s="99">
        <v>20</v>
      </c>
      <c r="I13" s="99">
        <v>137</v>
      </c>
      <c r="J13" s="99">
        <v>798</v>
      </c>
      <c r="K13" s="99">
        <v>115</v>
      </c>
      <c r="L13" s="99">
        <v>2786</v>
      </c>
      <c r="M13" s="99">
        <v>309</v>
      </c>
      <c r="N13" s="99">
        <v>273</v>
      </c>
      <c r="O13" s="99">
        <v>186</v>
      </c>
      <c r="P13" s="159">
        <v>186</v>
      </c>
      <c r="Q13" s="99">
        <v>20</v>
      </c>
      <c r="R13" s="99">
        <v>33</v>
      </c>
      <c r="S13" s="99">
        <v>47</v>
      </c>
      <c r="T13" s="99">
        <v>24</v>
      </c>
      <c r="U13" s="99" t="s">
        <v>668</v>
      </c>
      <c r="V13" s="99">
        <v>31</v>
      </c>
      <c r="W13" s="99">
        <v>39</v>
      </c>
      <c r="X13" s="99">
        <v>40</v>
      </c>
      <c r="Y13" s="99">
        <v>81</v>
      </c>
      <c r="Z13" s="99">
        <v>85</v>
      </c>
      <c r="AA13" s="99" t="s">
        <v>668</v>
      </c>
      <c r="AB13" s="99" t="s">
        <v>668</v>
      </c>
      <c r="AC13" s="99" t="s">
        <v>668</v>
      </c>
      <c r="AD13" s="98" t="s">
        <v>378</v>
      </c>
      <c r="AE13" s="100">
        <v>0.11773083313553287</v>
      </c>
      <c r="AF13" s="100">
        <v>0.09</v>
      </c>
      <c r="AG13" s="98">
        <v>387.6888994382467</v>
      </c>
      <c r="AH13" s="98">
        <v>158.24036711765172</v>
      </c>
      <c r="AI13" s="100">
        <v>0.011000000000000001</v>
      </c>
      <c r="AJ13" s="100">
        <v>0.699387</v>
      </c>
      <c r="AK13" s="100">
        <v>0.766667</v>
      </c>
      <c r="AL13" s="100">
        <v>0.749731</v>
      </c>
      <c r="AM13" s="100">
        <v>0.307463</v>
      </c>
      <c r="AN13" s="100">
        <v>0.516068</v>
      </c>
      <c r="AO13" s="98">
        <v>1471.6354141941608</v>
      </c>
      <c r="AP13" s="158">
        <v>0.9102612305</v>
      </c>
      <c r="AQ13" s="100">
        <v>0.10752688172043011</v>
      </c>
      <c r="AR13" s="100">
        <v>0.6060606060606061</v>
      </c>
      <c r="AS13" s="98">
        <v>371.86486272648153</v>
      </c>
      <c r="AT13" s="98">
        <v>189.88844054118206</v>
      </c>
      <c r="AU13" s="98" t="s">
        <v>668</v>
      </c>
      <c r="AV13" s="98">
        <v>245.27256903236017</v>
      </c>
      <c r="AW13" s="98">
        <v>308.56871587942084</v>
      </c>
      <c r="AX13" s="98">
        <v>316.48073423530343</v>
      </c>
      <c r="AY13" s="98">
        <v>640.8734868264894</v>
      </c>
      <c r="AZ13" s="98">
        <v>672.5215602500198</v>
      </c>
      <c r="BA13" s="100" t="s">
        <v>668</v>
      </c>
      <c r="BB13" s="100" t="s">
        <v>668</v>
      </c>
      <c r="BC13" s="100" t="s">
        <v>668</v>
      </c>
      <c r="BD13" s="158">
        <v>0.7841412354</v>
      </c>
      <c r="BE13" s="158">
        <v>1.0508932500000001</v>
      </c>
      <c r="BF13" s="162">
        <v>1141</v>
      </c>
      <c r="BG13" s="162">
        <v>150</v>
      </c>
      <c r="BH13" s="162">
        <v>3716</v>
      </c>
      <c r="BI13" s="162">
        <v>1005</v>
      </c>
      <c r="BJ13" s="162">
        <v>529</v>
      </c>
      <c r="BK13" s="97"/>
      <c r="BL13" s="97"/>
      <c r="BM13" s="97"/>
      <c r="BN13" s="97"/>
    </row>
    <row r="14" spans="1:66" ht="12.75">
      <c r="A14" s="79" t="s">
        <v>585</v>
      </c>
      <c r="B14" s="79" t="s">
        <v>302</v>
      </c>
      <c r="C14" s="79" t="s">
        <v>203</v>
      </c>
      <c r="D14" s="99">
        <v>9289</v>
      </c>
      <c r="E14" s="99">
        <v>974</v>
      </c>
      <c r="F14" s="99" t="s">
        <v>399</v>
      </c>
      <c r="G14" s="99">
        <v>32</v>
      </c>
      <c r="H14" s="99">
        <v>30</v>
      </c>
      <c r="I14" s="99">
        <v>123</v>
      </c>
      <c r="J14" s="99">
        <v>434</v>
      </c>
      <c r="K14" s="99">
        <v>146</v>
      </c>
      <c r="L14" s="99">
        <v>1517</v>
      </c>
      <c r="M14" s="99">
        <v>144</v>
      </c>
      <c r="N14" s="99">
        <v>130</v>
      </c>
      <c r="O14" s="99">
        <v>158</v>
      </c>
      <c r="P14" s="159">
        <v>158</v>
      </c>
      <c r="Q14" s="99">
        <v>11</v>
      </c>
      <c r="R14" s="99">
        <v>31</v>
      </c>
      <c r="S14" s="99">
        <v>31</v>
      </c>
      <c r="T14" s="99">
        <v>30</v>
      </c>
      <c r="U14" s="99" t="s">
        <v>668</v>
      </c>
      <c r="V14" s="99">
        <v>31</v>
      </c>
      <c r="W14" s="99">
        <v>61</v>
      </c>
      <c r="X14" s="99">
        <v>50</v>
      </c>
      <c r="Y14" s="99">
        <v>129</v>
      </c>
      <c r="Z14" s="99">
        <v>67</v>
      </c>
      <c r="AA14" s="99" t="s">
        <v>668</v>
      </c>
      <c r="AB14" s="99" t="s">
        <v>668</v>
      </c>
      <c r="AC14" s="99" t="s">
        <v>668</v>
      </c>
      <c r="AD14" s="98" t="s">
        <v>378</v>
      </c>
      <c r="AE14" s="100">
        <v>0.10485520508127893</v>
      </c>
      <c r="AF14" s="100">
        <v>0.37</v>
      </c>
      <c r="AG14" s="98">
        <v>344.4934869200129</v>
      </c>
      <c r="AH14" s="98">
        <v>322.96264398751214</v>
      </c>
      <c r="AI14" s="100">
        <v>0.013000000000000001</v>
      </c>
      <c r="AJ14" s="100">
        <v>0.495434</v>
      </c>
      <c r="AK14" s="100">
        <v>0.760417</v>
      </c>
      <c r="AL14" s="100">
        <v>0.730732</v>
      </c>
      <c r="AM14" s="100">
        <v>0.199723</v>
      </c>
      <c r="AN14" s="100">
        <v>0.327456</v>
      </c>
      <c r="AO14" s="98">
        <v>1700.9365916675638</v>
      </c>
      <c r="AP14" s="158">
        <v>1.160675964</v>
      </c>
      <c r="AQ14" s="100">
        <v>0.06962025316455696</v>
      </c>
      <c r="AR14" s="100">
        <v>0.3548387096774194</v>
      </c>
      <c r="AS14" s="98">
        <v>333.7280654537625</v>
      </c>
      <c r="AT14" s="98">
        <v>322.96264398751214</v>
      </c>
      <c r="AU14" s="98" t="s">
        <v>668</v>
      </c>
      <c r="AV14" s="98">
        <v>333.7280654537625</v>
      </c>
      <c r="AW14" s="98">
        <v>656.6907094412746</v>
      </c>
      <c r="AX14" s="98">
        <v>538.2710733125202</v>
      </c>
      <c r="AY14" s="98">
        <v>1388.7393691463021</v>
      </c>
      <c r="AZ14" s="98">
        <v>721.283238238777</v>
      </c>
      <c r="BA14" s="100" t="s">
        <v>668</v>
      </c>
      <c r="BB14" s="100" t="s">
        <v>668</v>
      </c>
      <c r="BC14" s="100" t="s">
        <v>668</v>
      </c>
      <c r="BD14" s="158">
        <v>0.9867510222999999</v>
      </c>
      <c r="BE14" s="158">
        <v>1.356428528</v>
      </c>
      <c r="BF14" s="162">
        <v>876</v>
      </c>
      <c r="BG14" s="162">
        <v>192</v>
      </c>
      <c r="BH14" s="162">
        <v>2076</v>
      </c>
      <c r="BI14" s="162">
        <v>721</v>
      </c>
      <c r="BJ14" s="162">
        <v>397</v>
      </c>
      <c r="BK14" s="97"/>
      <c r="BL14" s="97"/>
      <c r="BM14" s="97"/>
      <c r="BN14" s="97"/>
    </row>
    <row r="15" spans="1:66" ht="12.75">
      <c r="A15" s="79" t="s">
        <v>590</v>
      </c>
      <c r="B15" s="79" t="s">
        <v>307</v>
      </c>
      <c r="C15" s="79" t="s">
        <v>203</v>
      </c>
      <c r="D15" s="99">
        <v>15777</v>
      </c>
      <c r="E15" s="99">
        <v>1274</v>
      </c>
      <c r="F15" s="99" t="s">
        <v>401</v>
      </c>
      <c r="G15" s="99">
        <v>56</v>
      </c>
      <c r="H15" s="99">
        <v>20</v>
      </c>
      <c r="I15" s="99">
        <v>159</v>
      </c>
      <c r="J15" s="99">
        <v>552</v>
      </c>
      <c r="K15" s="99">
        <v>85</v>
      </c>
      <c r="L15" s="99">
        <v>1802</v>
      </c>
      <c r="M15" s="99">
        <v>200</v>
      </c>
      <c r="N15" s="99">
        <v>163</v>
      </c>
      <c r="O15" s="99">
        <v>235</v>
      </c>
      <c r="P15" s="159">
        <v>235</v>
      </c>
      <c r="Q15" s="99">
        <v>27</v>
      </c>
      <c r="R15" s="99">
        <v>44</v>
      </c>
      <c r="S15" s="99">
        <v>22</v>
      </c>
      <c r="T15" s="99">
        <v>26</v>
      </c>
      <c r="U15" s="99" t="s">
        <v>668</v>
      </c>
      <c r="V15" s="99">
        <v>55</v>
      </c>
      <c r="W15" s="99">
        <v>45</v>
      </c>
      <c r="X15" s="99">
        <v>53</v>
      </c>
      <c r="Y15" s="99">
        <v>133</v>
      </c>
      <c r="Z15" s="99">
        <v>47</v>
      </c>
      <c r="AA15" s="99" t="s">
        <v>668</v>
      </c>
      <c r="AB15" s="99" t="s">
        <v>668</v>
      </c>
      <c r="AC15" s="99" t="s">
        <v>668</v>
      </c>
      <c r="AD15" s="98" t="s">
        <v>378</v>
      </c>
      <c r="AE15" s="100">
        <v>0.08075045952969513</v>
      </c>
      <c r="AF15" s="100">
        <v>0.13</v>
      </c>
      <c r="AG15" s="98">
        <v>354.9470748558027</v>
      </c>
      <c r="AH15" s="98">
        <v>126.76681244850099</v>
      </c>
      <c r="AI15" s="100">
        <v>0.01</v>
      </c>
      <c r="AJ15" s="100">
        <v>0.665862</v>
      </c>
      <c r="AK15" s="100">
        <v>0.696721</v>
      </c>
      <c r="AL15" s="100">
        <v>0.69845</v>
      </c>
      <c r="AM15" s="100">
        <v>0.242424</v>
      </c>
      <c r="AN15" s="100">
        <v>0.391827</v>
      </c>
      <c r="AO15" s="98">
        <v>1489.5100462698865</v>
      </c>
      <c r="AP15" s="158">
        <v>1.2353795619999999</v>
      </c>
      <c r="AQ15" s="100">
        <v>0.1148936170212766</v>
      </c>
      <c r="AR15" s="100">
        <v>0.6136363636363636</v>
      </c>
      <c r="AS15" s="98">
        <v>139.4434936933511</v>
      </c>
      <c r="AT15" s="98">
        <v>164.7968561830513</v>
      </c>
      <c r="AU15" s="98" t="s">
        <v>668</v>
      </c>
      <c r="AV15" s="98">
        <v>348.6087342333777</v>
      </c>
      <c r="AW15" s="98">
        <v>285.2253280091272</v>
      </c>
      <c r="AX15" s="98">
        <v>335.93205298852763</v>
      </c>
      <c r="AY15" s="98">
        <v>842.9993027825316</v>
      </c>
      <c r="AZ15" s="98">
        <v>297.9020092539773</v>
      </c>
      <c r="BA15" s="101" t="s">
        <v>668</v>
      </c>
      <c r="BB15" s="101" t="s">
        <v>668</v>
      </c>
      <c r="BC15" s="101" t="s">
        <v>668</v>
      </c>
      <c r="BD15" s="158">
        <v>1.08246788</v>
      </c>
      <c r="BE15" s="158">
        <v>1.4038391110000001</v>
      </c>
      <c r="BF15" s="162">
        <v>829</v>
      </c>
      <c r="BG15" s="162">
        <v>122</v>
      </c>
      <c r="BH15" s="162">
        <v>2580</v>
      </c>
      <c r="BI15" s="162">
        <v>825</v>
      </c>
      <c r="BJ15" s="162">
        <v>416</v>
      </c>
      <c r="BK15" s="97"/>
      <c r="BL15" s="97"/>
      <c r="BM15" s="97"/>
      <c r="BN15" s="97"/>
    </row>
    <row r="16" spans="1:66" ht="12.75">
      <c r="A16" s="79" t="s">
        <v>624</v>
      </c>
      <c r="B16" s="79" t="s">
        <v>343</v>
      </c>
      <c r="C16" s="79" t="s">
        <v>203</v>
      </c>
      <c r="D16" s="99">
        <v>5347</v>
      </c>
      <c r="E16" s="99">
        <v>173</v>
      </c>
      <c r="F16" s="99" t="s">
        <v>398</v>
      </c>
      <c r="G16" s="99" t="s">
        <v>668</v>
      </c>
      <c r="H16" s="99" t="s">
        <v>668</v>
      </c>
      <c r="I16" s="99">
        <v>23</v>
      </c>
      <c r="J16" s="99">
        <v>74</v>
      </c>
      <c r="K16" s="99">
        <v>55</v>
      </c>
      <c r="L16" s="99">
        <v>634</v>
      </c>
      <c r="M16" s="99">
        <v>15</v>
      </c>
      <c r="N16" s="99">
        <v>17</v>
      </c>
      <c r="O16" s="99">
        <v>53</v>
      </c>
      <c r="P16" s="159">
        <v>53</v>
      </c>
      <c r="Q16" s="99">
        <v>7</v>
      </c>
      <c r="R16" s="99">
        <v>11</v>
      </c>
      <c r="S16" s="99">
        <v>11</v>
      </c>
      <c r="T16" s="99">
        <v>9</v>
      </c>
      <c r="U16" s="99" t="s">
        <v>668</v>
      </c>
      <c r="V16" s="99">
        <v>14</v>
      </c>
      <c r="W16" s="99">
        <v>15</v>
      </c>
      <c r="X16" s="99">
        <v>16</v>
      </c>
      <c r="Y16" s="99">
        <v>35</v>
      </c>
      <c r="Z16" s="99">
        <v>11</v>
      </c>
      <c r="AA16" s="99" t="s">
        <v>668</v>
      </c>
      <c r="AB16" s="99" t="s">
        <v>668</v>
      </c>
      <c r="AC16" s="99" t="s">
        <v>668</v>
      </c>
      <c r="AD16" s="98" t="s">
        <v>378</v>
      </c>
      <c r="AE16" s="100">
        <v>0.03235459135964092</v>
      </c>
      <c r="AF16" s="100">
        <v>0.22</v>
      </c>
      <c r="AG16" s="98" t="s">
        <v>668</v>
      </c>
      <c r="AH16" s="98" t="s">
        <v>668</v>
      </c>
      <c r="AI16" s="100">
        <v>0.004</v>
      </c>
      <c r="AJ16" s="100">
        <v>0.532374</v>
      </c>
      <c r="AK16" s="100">
        <v>0.45082</v>
      </c>
      <c r="AL16" s="100">
        <v>0.617934</v>
      </c>
      <c r="AM16" s="100">
        <v>0.148515</v>
      </c>
      <c r="AN16" s="100">
        <v>0.346939</v>
      </c>
      <c r="AO16" s="98">
        <v>991.2100243126987</v>
      </c>
      <c r="AP16" s="158">
        <v>1.104821167</v>
      </c>
      <c r="AQ16" s="100">
        <v>0.1320754716981132</v>
      </c>
      <c r="AR16" s="100">
        <v>0.6363636363636364</v>
      </c>
      <c r="AS16" s="98">
        <v>205.72283523471106</v>
      </c>
      <c r="AT16" s="98">
        <v>168.3186833738545</v>
      </c>
      <c r="AU16" s="98" t="s">
        <v>668</v>
      </c>
      <c r="AV16" s="98">
        <v>261.8290630259959</v>
      </c>
      <c r="AW16" s="98">
        <v>280.5311389564242</v>
      </c>
      <c r="AX16" s="98">
        <v>299.23321488685247</v>
      </c>
      <c r="AY16" s="98">
        <v>654.5726575649898</v>
      </c>
      <c r="AZ16" s="98">
        <v>205.72283523471106</v>
      </c>
      <c r="BA16" s="100" t="s">
        <v>668</v>
      </c>
      <c r="BB16" s="100" t="s">
        <v>668</v>
      </c>
      <c r="BC16" s="100" t="s">
        <v>668</v>
      </c>
      <c r="BD16" s="158">
        <v>0.8275868988</v>
      </c>
      <c r="BE16" s="158">
        <v>1.445133362</v>
      </c>
      <c r="BF16" s="162">
        <v>139</v>
      </c>
      <c r="BG16" s="162">
        <v>122</v>
      </c>
      <c r="BH16" s="162">
        <v>1026</v>
      </c>
      <c r="BI16" s="162">
        <v>101</v>
      </c>
      <c r="BJ16" s="162">
        <v>49</v>
      </c>
      <c r="BK16" s="97"/>
      <c r="BL16" s="97"/>
      <c r="BM16" s="97"/>
      <c r="BN16" s="97"/>
    </row>
    <row r="17" spans="1:66" ht="12.75">
      <c r="A17" s="79" t="s">
        <v>580</v>
      </c>
      <c r="B17" s="79" t="s">
        <v>297</v>
      </c>
      <c r="C17" s="79" t="s">
        <v>203</v>
      </c>
      <c r="D17" s="99">
        <v>7544</v>
      </c>
      <c r="E17" s="99">
        <v>974</v>
      </c>
      <c r="F17" s="99" t="s">
        <v>399</v>
      </c>
      <c r="G17" s="99">
        <v>35</v>
      </c>
      <c r="H17" s="99">
        <v>20</v>
      </c>
      <c r="I17" s="99">
        <v>111</v>
      </c>
      <c r="J17" s="99">
        <v>508</v>
      </c>
      <c r="K17" s="99">
        <v>282</v>
      </c>
      <c r="L17" s="99">
        <v>1278</v>
      </c>
      <c r="M17" s="99">
        <v>167</v>
      </c>
      <c r="N17" s="99">
        <v>152</v>
      </c>
      <c r="O17" s="99">
        <v>126</v>
      </c>
      <c r="P17" s="159">
        <v>126</v>
      </c>
      <c r="Q17" s="99">
        <v>9</v>
      </c>
      <c r="R17" s="99">
        <v>32</v>
      </c>
      <c r="S17" s="99">
        <v>30</v>
      </c>
      <c r="T17" s="99">
        <v>15</v>
      </c>
      <c r="U17" s="99">
        <v>6</v>
      </c>
      <c r="V17" s="99">
        <v>20</v>
      </c>
      <c r="W17" s="99">
        <v>43</v>
      </c>
      <c r="X17" s="99">
        <v>45</v>
      </c>
      <c r="Y17" s="99">
        <v>148</v>
      </c>
      <c r="Z17" s="99">
        <v>72</v>
      </c>
      <c r="AA17" s="99" t="s">
        <v>668</v>
      </c>
      <c r="AB17" s="99" t="s">
        <v>668</v>
      </c>
      <c r="AC17" s="99" t="s">
        <v>668</v>
      </c>
      <c r="AD17" s="98" t="s">
        <v>378</v>
      </c>
      <c r="AE17" s="100">
        <v>0.12910922587486745</v>
      </c>
      <c r="AF17" s="100">
        <v>0.26</v>
      </c>
      <c r="AG17" s="98">
        <v>463.9448568398727</v>
      </c>
      <c r="AH17" s="98">
        <v>265.11134676564154</v>
      </c>
      <c r="AI17" s="100">
        <v>0.015</v>
      </c>
      <c r="AJ17" s="100">
        <v>0.633416</v>
      </c>
      <c r="AK17" s="100">
        <v>0.808023</v>
      </c>
      <c r="AL17" s="100">
        <v>0.753982</v>
      </c>
      <c r="AM17" s="100">
        <v>0.232915</v>
      </c>
      <c r="AN17" s="100">
        <v>0.4</v>
      </c>
      <c r="AO17" s="98">
        <v>1670.201484623542</v>
      </c>
      <c r="AP17" s="158">
        <v>1.021758652</v>
      </c>
      <c r="AQ17" s="100">
        <v>0.07142857142857142</v>
      </c>
      <c r="AR17" s="100">
        <v>0.28125</v>
      </c>
      <c r="AS17" s="98">
        <v>397.66702014846237</v>
      </c>
      <c r="AT17" s="98">
        <v>198.83351007423119</v>
      </c>
      <c r="AU17" s="98">
        <v>79.53340402969248</v>
      </c>
      <c r="AV17" s="98">
        <v>265.11134676564154</v>
      </c>
      <c r="AW17" s="98">
        <v>569.9893955461293</v>
      </c>
      <c r="AX17" s="98">
        <v>596.5005302226936</v>
      </c>
      <c r="AY17" s="98">
        <v>1961.8239660657475</v>
      </c>
      <c r="AZ17" s="98">
        <v>954.4008483563097</v>
      </c>
      <c r="BA17" s="100" t="s">
        <v>668</v>
      </c>
      <c r="BB17" s="100" t="s">
        <v>668</v>
      </c>
      <c r="BC17" s="100" t="s">
        <v>668</v>
      </c>
      <c r="BD17" s="158">
        <v>0.8511522675000001</v>
      </c>
      <c r="BE17" s="158">
        <v>1.216533813</v>
      </c>
      <c r="BF17" s="162">
        <v>802</v>
      </c>
      <c r="BG17" s="162">
        <v>349</v>
      </c>
      <c r="BH17" s="162">
        <v>1695</v>
      </c>
      <c r="BI17" s="162">
        <v>717</v>
      </c>
      <c r="BJ17" s="162">
        <v>380</v>
      </c>
      <c r="BK17" s="97"/>
      <c r="BL17" s="97"/>
      <c r="BM17" s="97"/>
      <c r="BN17" s="97"/>
    </row>
    <row r="18" spans="1:66" ht="12.75">
      <c r="A18" s="79" t="s">
        <v>612</v>
      </c>
      <c r="B18" s="79" t="s">
        <v>330</v>
      </c>
      <c r="C18" s="79" t="s">
        <v>203</v>
      </c>
      <c r="D18" s="99">
        <v>2953</v>
      </c>
      <c r="E18" s="99">
        <v>380</v>
      </c>
      <c r="F18" s="99" t="s">
        <v>399</v>
      </c>
      <c r="G18" s="99">
        <v>15</v>
      </c>
      <c r="H18" s="99">
        <v>14</v>
      </c>
      <c r="I18" s="99">
        <v>41</v>
      </c>
      <c r="J18" s="99">
        <v>162</v>
      </c>
      <c r="K18" s="99">
        <v>160</v>
      </c>
      <c r="L18" s="99">
        <v>495</v>
      </c>
      <c r="M18" s="99">
        <v>91</v>
      </c>
      <c r="N18" s="99">
        <v>39</v>
      </c>
      <c r="O18" s="99">
        <v>21</v>
      </c>
      <c r="P18" s="159">
        <v>21</v>
      </c>
      <c r="Q18" s="99" t="s">
        <v>668</v>
      </c>
      <c r="R18" s="99">
        <v>15</v>
      </c>
      <c r="S18" s="99" t="s">
        <v>668</v>
      </c>
      <c r="T18" s="99" t="s">
        <v>668</v>
      </c>
      <c r="U18" s="99" t="s">
        <v>668</v>
      </c>
      <c r="V18" s="99">
        <v>6</v>
      </c>
      <c r="W18" s="99">
        <v>16</v>
      </c>
      <c r="X18" s="99">
        <v>11</v>
      </c>
      <c r="Y18" s="99">
        <v>29</v>
      </c>
      <c r="Z18" s="99">
        <v>20</v>
      </c>
      <c r="AA18" s="99" t="s">
        <v>668</v>
      </c>
      <c r="AB18" s="99" t="s">
        <v>668</v>
      </c>
      <c r="AC18" s="99" t="s">
        <v>668</v>
      </c>
      <c r="AD18" s="98" t="s">
        <v>378</v>
      </c>
      <c r="AE18" s="100">
        <v>0.12868269556383338</v>
      </c>
      <c r="AF18" s="100">
        <v>0.31</v>
      </c>
      <c r="AG18" s="98">
        <v>507.95800880460547</v>
      </c>
      <c r="AH18" s="98">
        <v>474.0941415509651</v>
      </c>
      <c r="AI18" s="100">
        <v>0.013999999999999999</v>
      </c>
      <c r="AJ18" s="100">
        <v>0.595588</v>
      </c>
      <c r="AK18" s="100">
        <v>0.597015</v>
      </c>
      <c r="AL18" s="100">
        <v>0.733333</v>
      </c>
      <c r="AM18" s="100">
        <v>0.334559</v>
      </c>
      <c r="AN18" s="100">
        <v>0.351351</v>
      </c>
      <c r="AO18" s="98">
        <v>711.1412123264477</v>
      </c>
      <c r="AP18" s="158">
        <v>0.45285964970000003</v>
      </c>
      <c r="AQ18" s="100" t="s">
        <v>668</v>
      </c>
      <c r="AR18" s="100" t="s">
        <v>668</v>
      </c>
      <c r="AS18" s="98" t="s">
        <v>668</v>
      </c>
      <c r="AT18" s="98" t="s">
        <v>668</v>
      </c>
      <c r="AU18" s="98" t="s">
        <v>668</v>
      </c>
      <c r="AV18" s="98">
        <v>203.1832035218422</v>
      </c>
      <c r="AW18" s="98">
        <v>541.8218760582458</v>
      </c>
      <c r="AX18" s="98">
        <v>372.502539790044</v>
      </c>
      <c r="AY18" s="98">
        <v>982.0521503555706</v>
      </c>
      <c r="AZ18" s="98">
        <v>677.2773450728073</v>
      </c>
      <c r="BA18" s="100" t="s">
        <v>668</v>
      </c>
      <c r="BB18" s="100" t="s">
        <v>668</v>
      </c>
      <c r="BC18" s="100" t="s">
        <v>668</v>
      </c>
      <c r="BD18" s="158">
        <v>0.2803272629</v>
      </c>
      <c r="BE18" s="158">
        <v>0.6922441101</v>
      </c>
      <c r="BF18" s="162">
        <v>272</v>
      </c>
      <c r="BG18" s="162">
        <v>268</v>
      </c>
      <c r="BH18" s="162">
        <v>675</v>
      </c>
      <c r="BI18" s="162">
        <v>272</v>
      </c>
      <c r="BJ18" s="162">
        <v>111</v>
      </c>
      <c r="BK18" s="97"/>
      <c r="BL18" s="97"/>
      <c r="BM18" s="97"/>
      <c r="BN18" s="97"/>
    </row>
    <row r="19" spans="1:66" ht="12.75">
      <c r="A19" s="79" t="s">
        <v>611</v>
      </c>
      <c r="B19" s="79" t="s">
        <v>329</v>
      </c>
      <c r="C19" s="79" t="s">
        <v>203</v>
      </c>
      <c r="D19" s="99">
        <v>5253</v>
      </c>
      <c r="E19" s="99">
        <v>706</v>
      </c>
      <c r="F19" s="99" t="s">
        <v>398</v>
      </c>
      <c r="G19" s="99">
        <v>26</v>
      </c>
      <c r="H19" s="99">
        <v>17</v>
      </c>
      <c r="I19" s="99">
        <v>82</v>
      </c>
      <c r="J19" s="99">
        <v>375</v>
      </c>
      <c r="K19" s="99">
        <v>8</v>
      </c>
      <c r="L19" s="99">
        <v>1099</v>
      </c>
      <c r="M19" s="99">
        <v>136</v>
      </c>
      <c r="N19" s="99">
        <v>110</v>
      </c>
      <c r="O19" s="99">
        <v>82</v>
      </c>
      <c r="P19" s="159">
        <v>82</v>
      </c>
      <c r="Q19" s="99" t="s">
        <v>668</v>
      </c>
      <c r="R19" s="99">
        <v>14</v>
      </c>
      <c r="S19" s="99">
        <v>17</v>
      </c>
      <c r="T19" s="99">
        <v>9</v>
      </c>
      <c r="U19" s="99" t="s">
        <v>668</v>
      </c>
      <c r="V19" s="99">
        <v>12</v>
      </c>
      <c r="W19" s="99">
        <v>30</v>
      </c>
      <c r="X19" s="99">
        <v>23</v>
      </c>
      <c r="Y19" s="99">
        <v>62</v>
      </c>
      <c r="Z19" s="99">
        <v>49</v>
      </c>
      <c r="AA19" s="99" t="s">
        <v>668</v>
      </c>
      <c r="AB19" s="99" t="s">
        <v>668</v>
      </c>
      <c r="AC19" s="99" t="s">
        <v>668</v>
      </c>
      <c r="AD19" s="98" t="s">
        <v>378</v>
      </c>
      <c r="AE19" s="100">
        <v>0.1343993908242909</v>
      </c>
      <c r="AF19" s="100">
        <v>0.2</v>
      </c>
      <c r="AG19" s="98">
        <v>494.9552636588616</v>
      </c>
      <c r="AH19" s="98">
        <v>323.62459546925567</v>
      </c>
      <c r="AI19" s="100">
        <v>0.016</v>
      </c>
      <c r="AJ19" s="100">
        <v>0.6</v>
      </c>
      <c r="AK19" s="100">
        <v>0.571429</v>
      </c>
      <c r="AL19" s="100">
        <v>0.78054</v>
      </c>
      <c r="AM19" s="100">
        <v>0.288747</v>
      </c>
      <c r="AN19" s="100">
        <v>0.497738</v>
      </c>
      <c r="AO19" s="98">
        <v>1561.0127546164097</v>
      </c>
      <c r="AP19" s="158">
        <v>0.8992216492</v>
      </c>
      <c r="AQ19" s="100" t="s">
        <v>668</v>
      </c>
      <c r="AR19" s="100" t="s">
        <v>668</v>
      </c>
      <c r="AS19" s="98">
        <v>323.62459546925567</v>
      </c>
      <c r="AT19" s="98">
        <v>171.33066818960594</v>
      </c>
      <c r="AU19" s="98" t="s">
        <v>668</v>
      </c>
      <c r="AV19" s="98">
        <v>228.44089091947458</v>
      </c>
      <c r="AW19" s="98">
        <v>571.1022272986864</v>
      </c>
      <c r="AX19" s="98">
        <v>437.84504092899294</v>
      </c>
      <c r="AY19" s="98">
        <v>1180.2779364172854</v>
      </c>
      <c r="AZ19" s="98">
        <v>932.8003045878546</v>
      </c>
      <c r="BA19" s="100" t="s">
        <v>668</v>
      </c>
      <c r="BB19" s="100" t="s">
        <v>668</v>
      </c>
      <c r="BC19" s="100" t="s">
        <v>668</v>
      </c>
      <c r="BD19" s="158">
        <v>0.7151776886000001</v>
      </c>
      <c r="BE19" s="158">
        <v>1.116171188</v>
      </c>
      <c r="BF19" s="162">
        <v>625</v>
      </c>
      <c r="BG19" s="162">
        <v>14</v>
      </c>
      <c r="BH19" s="162">
        <v>1408</v>
      </c>
      <c r="BI19" s="162">
        <v>471</v>
      </c>
      <c r="BJ19" s="162">
        <v>221</v>
      </c>
      <c r="BK19" s="97"/>
      <c r="BL19" s="97"/>
      <c r="BM19" s="97"/>
      <c r="BN19" s="97"/>
    </row>
    <row r="20" spans="1:66" ht="12.75">
      <c r="A20" s="79" t="s">
        <v>653</v>
      </c>
      <c r="B20" s="79" t="s">
        <v>372</v>
      </c>
      <c r="C20" s="79" t="s">
        <v>203</v>
      </c>
      <c r="D20" s="99">
        <v>2339</v>
      </c>
      <c r="E20" s="99">
        <v>341</v>
      </c>
      <c r="F20" s="99" t="s">
        <v>399</v>
      </c>
      <c r="G20" s="99">
        <v>12</v>
      </c>
      <c r="H20" s="99" t="s">
        <v>668</v>
      </c>
      <c r="I20" s="99">
        <v>21</v>
      </c>
      <c r="J20" s="99">
        <v>151</v>
      </c>
      <c r="K20" s="99">
        <v>112</v>
      </c>
      <c r="L20" s="99">
        <v>307</v>
      </c>
      <c r="M20" s="99">
        <v>55</v>
      </c>
      <c r="N20" s="99">
        <v>45</v>
      </c>
      <c r="O20" s="99">
        <v>14</v>
      </c>
      <c r="P20" s="159">
        <v>14</v>
      </c>
      <c r="Q20" s="99" t="s">
        <v>668</v>
      </c>
      <c r="R20" s="99">
        <v>6</v>
      </c>
      <c r="S20" s="99">
        <v>7</v>
      </c>
      <c r="T20" s="99" t="s">
        <v>668</v>
      </c>
      <c r="U20" s="99" t="s">
        <v>668</v>
      </c>
      <c r="V20" s="99" t="s">
        <v>668</v>
      </c>
      <c r="W20" s="99" t="s">
        <v>668</v>
      </c>
      <c r="X20" s="99">
        <v>6</v>
      </c>
      <c r="Y20" s="99">
        <v>10</v>
      </c>
      <c r="Z20" s="99" t="s">
        <v>668</v>
      </c>
      <c r="AA20" s="99" t="s">
        <v>668</v>
      </c>
      <c r="AB20" s="99" t="s">
        <v>668</v>
      </c>
      <c r="AC20" s="99" t="s">
        <v>668</v>
      </c>
      <c r="AD20" s="98" t="s">
        <v>378</v>
      </c>
      <c r="AE20" s="100">
        <v>0.14578879863189398</v>
      </c>
      <c r="AF20" s="100">
        <v>0.28</v>
      </c>
      <c r="AG20" s="98">
        <v>513.0397605814451</v>
      </c>
      <c r="AH20" s="98" t="s">
        <v>668</v>
      </c>
      <c r="AI20" s="100">
        <v>0.009000000000000001</v>
      </c>
      <c r="AJ20" s="100">
        <v>0.634454</v>
      </c>
      <c r="AK20" s="100">
        <v>0.625698</v>
      </c>
      <c r="AL20" s="100">
        <v>0.605523</v>
      </c>
      <c r="AM20" s="100">
        <v>0.253456</v>
      </c>
      <c r="AN20" s="100">
        <v>0.378151</v>
      </c>
      <c r="AO20" s="98">
        <v>598.5463873450192</v>
      </c>
      <c r="AP20" s="158">
        <v>0.3622336197</v>
      </c>
      <c r="AQ20" s="100" t="s">
        <v>668</v>
      </c>
      <c r="AR20" s="100" t="s">
        <v>668</v>
      </c>
      <c r="AS20" s="98">
        <v>299.2731936725096</v>
      </c>
      <c r="AT20" s="98" t="s">
        <v>668</v>
      </c>
      <c r="AU20" s="98" t="s">
        <v>668</v>
      </c>
      <c r="AV20" s="98" t="s">
        <v>668</v>
      </c>
      <c r="AW20" s="98" t="s">
        <v>668</v>
      </c>
      <c r="AX20" s="98">
        <v>256.51988029072254</v>
      </c>
      <c r="AY20" s="98">
        <v>427.53313381787086</v>
      </c>
      <c r="AZ20" s="98" t="s">
        <v>668</v>
      </c>
      <c r="BA20" s="100" t="s">
        <v>668</v>
      </c>
      <c r="BB20" s="100" t="s">
        <v>668</v>
      </c>
      <c r="BC20" s="100" t="s">
        <v>668</v>
      </c>
      <c r="BD20" s="158">
        <v>0.198036499</v>
      </c>
      <c r="BE20" s="158">
        <v>0.6077664566</v>
      </c>
      <c r="BF20" s="162">
        <v>238</v>
      </c>
      <c r="BG20" s="162">
        <v>179</v>
      </c>
      <c r="BH20" s="162">
        <v>507</v>
      </c>
      <c r="BI20" s="162">
        <v>217</v>
      </c>
      <c r="BJ20" s="162">
        <v>119</v>
      </c>
      <c r="BK20" s="97"/>
      <c r="BL20" s="97"/>
      <c r="BM20" s="97"/>
      <c r="BN20" s="97"/>
    </row>
    <row r="21" spans="1:66" ht="12.75">
      <c r="A21" s="79" t="s">
        <v>659</v>
      </c>
      <c r="B21" s="79" t="s">
        <v>561</v>
      </c>
      <c r="C21" s="79" t="s">
        <v>203</v>
      </c>
      <c r="D21" s="99">
        <v>2158</v>
      </c>
      <c r="E21" s="99">
        <v>185</v>
      </c>
      <c r="F21" s="99" t="s">
        <v>399</v>
      </c>
      <c r="G21" s="99">
        <v>8</v>
      </c>
      <c r="H21" s="99">
        <v>6</v>
      </c>
      <c r="I21" s="99">
        <v>16</v>
      </c>
      <c r="J21" s="99">
        <v>92</v>
      </c>
      <c r="K21" s="99">
        <v>13</v>
      </c>
      <c r="L21" s="99">
        <v>399</v>
      </c>
      <c r="M21" s="99">
        <v>32</v>
      </c>
      <c r="N21" s="99">
        <v>21</v>
      </c>
      <c r="O21" s="99">
        <v>34</v>
      </c>
      <c r="P21" s="159">
        <v>34</v>
      </c>
      <c r="Q21" s="99" t="s">
        <v>668</v>
      </c>
      <c r="R21" s="99">
        <v>8</v>
      </c>
      <c r="S21" s="99" t="s">
        <v>668</v>
      </c>
      <c r="T21" s="99" t="s">
        <v>668</v>
      </c>
      <c r="U21" s="99" t="s">
        <v>668</v>
      </c>
      <c r="V21" s="99">
        <v>10</v>
      </c>
      <c r="W21" s="99">
        <v>6</v>
      </c>
      <c r="X21" s="99" t="s">
        <v>668</v>
      </c>
      <c r="Y21" s="99">
        <v>17</v>
      </c>
      <c r="Z21" s="99">
        <v>14</v>
      </c>
      <c r="AA21" s="99" t="s">
        <v>668</v>
      </c>
      <c r="AB21" s="99" t="s">
        <v>668</v>
      </c>
      <c r="AC21" s="99" t="s">
        <v>668</v>
      </c>
      <c r="AD21" s="98" t="s">
        <v>378</v>
      </c>
      <c r="AE21" s="100">
        <v>0.08572752548656164</v>
      </c>
      <c r="AF21" s="100">
        <v>0.32</v>
      </c>
      <c r="AG21" s="98">
        <v>370.71362372567194</v>
      </c>
      <c r="AH21" s="98">
        <v>278.0352177942539</v>
      </c>
      <c r="AI21" s="100">
        <v>0.006999999999999999</v>
      </c>
      <c r="AJ21" s="100">
        <v>0.571429</v>
      </c>
      <c r="AK21" s="100">
        <v>0.722222</v>
      </c>
      <c r="AL21" s="100">
        <v>0.718919</v>
      </c>
      <c r="AM21" s="100">
        <v>0.275862</v>
      </c>
      <c r="AN21" s="100">
        <v>0.304348</v>
      </c>
      <c r="AO21" s="98">
        <v>1575.5329008341057</v>
      </c>
      <c r="AP21" s="158">
        <v>1.1926679230000001</v>
      </c>
      <c r="AQ21" s="100" t="s">
        <v>668</v>
      </c>
      <c r="AR21" s="100" t="s">
        <v>668</v>
      </c>
      <c r="AS21" s="98" t="s">
        <v>668</v>
      </c>
      <c r="AT21" s="98" t="s">
        <v>668</v>
      </c>
      <c r="AU21" s="98" t="s">
        <v>668</v>
      </c>
      <c r="AV21" s="98">
        <v>463.3920296570899</v>
      </c>
      <c r="AW21" s="98">
        <v>278.0352177942539</v>
      </c>
      <c r="AX21" s="98" t="s">
        <v>668</v>
      </c>
      <c r="AY21" s="98">
        <v>787.7664504170529</v>
      </c>
      <c r="AZ21" s="98">
        <v>648.7488415199258</v>
      </c>
      <c r="BA21" s="100" t="s">
        <v>668</v>
      </c>
      <c r="BB21" s="100" t="s">
        <v>668</v>
      </c>
      <c r="BC21" s="100" t="s">
        <v>668</v>
      </c>
      <c r="BD21" s="158">
        <v>0.8259571837999999</v>
      </c>
      <c r="BE21" s="158">
        <v>1.6666339110000001</v>
      </c>
      <c r="BF21" s="162">
        <v>161</v>
      </c>
      <c r="BG21" s="162">
        <v>18</v>
      </c>
      <c r="BH21" s="162">
        <v>555</v>
      </c>
      <c r="BI21" s="162">
        <v>116</v>
      </c>
      <c r="BJ21" s="162">
        <v>69</v>
      </c>
      <c r="BK21" s="97"/>
      <c r="BL21" s="97"/>
      <c r="BM21" s="97"/>
      <c r="BN21" s="97"/>
    </row>
    <row r="22" spans="1:66" ht="12.75">
      <c r="A22" s="79" t="s">
        <v>598</v>
      </c>
      <c r="B22" s="79" t="s">
        <v>316</v>
      </c>
      <c r="C22" s="79" t="s">
        <v>203</v>
      </c>
      <c r="D22" s="99">
        <v>7885</v>
      </c>
      <c r="E22" s="99">
        <v>573</v>
      </c>
      <c r="F22" s="99" t="s">
        <v>399</v>
      </c>
      <c r="G22" s="99">
        <v>27</v>
      </c>
      <c r="H22" s="99">
        <v>8</v>
      </c>
      <c r="I22" s="99">
        <v>56</v>
      </c>
      <c r="J22" s="99">
        <v>227</v>
      </c>
      <c r="K22" s="99">
        <v>73</v>
      </c>
      <c r="L22" s="99">
        <v>1219</v>
      </c>
      <c r="M22" s="99">
        <v>128</v>
      </c>
      <c r="N22" s="99">
        <v>55</v>
      </c>
      <c r="O22" s="99">
        <v>45</v>
      </c>
      <c r="P22" s="159">
        <v>45</v>
      </c>
      <c r="Q22" s="99" t="s">
        <v>668</v>
      </c>
      <c r="R22" s="99">
        <v>18</v>
      </c>
      <c r="S22" s="99">
        <v>9</v>
      </c>
      <c r="T22" s="99" t="s">
        <v>668</v>
      </c>
      <c r="U22" s="99" t="s">
        <v>668</v>
      </c>
      <c r="V22" s="99" t="s">
        <v>668</v>
      </c>
      <c r="W22" s="99">
        <v>31</v>
      </c>
      <c r="X22" s="99">
        <v>18</v>
      </c>
      <c r="Y22" s="99">
        <v>49</v>
      </c>
      <c r="Z22" s="99">
        <v>39</v>
      </c>
      <c r="AA22" s="99" t="s">
        <v>668</v>
      </c>
      <c r="AB22" s="99" t="s">
        <v>668</v>
      </c>
      <c r="AC22" s="99" t="s">
        <v>668</v>
      </c>
      <c r="AD22" s="98" t="s">
        <v>378</v>
      </c>
      <c r="AE22" s="100">
        <v>0.07266962587190869</v>
      </c>
      <c r="AF22" s="100">
        <v>0.35</v>
      </c>
      <c r="AG22" s="98">
        <v>342.42232086239693</v>
      </c>
      <c r="AH22" s="98">
        <v>101.45846544071021</v>
      </c>
      <c r="AI22" s="100">
        <v>0.006999999999999999</v>
      </c>
      <c r="AJ22" s="100">
        <v>0.440777</v>
      </c>
      <c r="AK22" s="100">
        <v>0.514085</v>
      </c>
      <c r="AL22" s="100">
        <v>0.643951</v>
      </c>
      <c r="AM22" s="100">
        <v>0.272921</v>
      </c>
      <c r="AN22" s="100">
        <v>0.317919</v>
      </c>
      <c r="AO22" s="98">
        <v>570.703868103995</v>
      </c>
      <c r="AP22" s="158">
        <v>0.455528183</v>
      </c>
      <c r="AQ22" s="100" t="s">
        <v>668</v>
      </c>
      <c r="AR22" s="100" t="s">
        <v>668</v>
      </c>
      <c r="AS22" s="98">
        <v>114.14077362079898</v>
      </c>
      <c r="AT22" s="98" t="s">
        <v>668</v>
      </c>
      <c r="AU22" s="98" t="s">
        <v>668</v>
      </c>
      <c r="AV22" s="98" t="s">
        <v>668</v>
      </c>
      <c r="AW22" s="98">
        <v>393.15155358275206</v>
      </c>
      <c r="AX22" s="98">
        <v>228.28154724159796</v>
      </c>
      <c r="AY22" s="98">
        <v>621.43310082435</v>
      </c>
      <c r="AZ22" s="98">
        <v>494.61001902346226</v>
      </c>
      <c r="BA22" s="101" t="s">
        <v>668</v>
      </c>
      <c r="BB22" s="101" t="s">
        <v>668</v>
      </c>
      <c r="BC22" s="101" t="s">
        <v>668</v>
      </c>
      <c r="BD22" s="158">
        <v>0.33226539610000005</v>
      </c>
      <c r="BE22" s="158">
        <v>0.609532547</v>
      </c>
      <c r="BF22" s="162">
        <v>515</v>
      </c>
      <c r="BG22" s="162">
        <v>142</v>
      </c>
      <c r="BH22" s="162">
        <v>1893</v>
      </c>
      <c r="BI22" s="162">
        <v>469</v>
      </c>
      <c r="BJ22" s="162">
        <v>173</v>
      </c>
      <c r="BK22" s="97"/>
      <c r="BL22" s="97"/>
      <c r="BM22" s="97"/>
      <c r="BN22" s="97"/>
    </row>
    <row r="23" spans="1:66" ht="12.75">
      <c r="A23" s="79" t="s">
        <v>646</v>
      </c>
      <c r="B23" s="79" t="s">
        <v>365</v>
      </c>
      <c r="C23" s="79" t="s">
        <v>203</v>
      </c>
      <c r="D23" s="99">
        <v>4800</v>
      </c>
      <c r="E23" s="99">
        <v>201</v>
      </c>
      <c r="F23" s="99" t="s">
        <v>399</v>
      </c>
      <c r="G23" s="99">
        <v>13</v>
      </c>
      <c r="H23" s="99">
        <v>7</v>
      </c>
      <c r="I23" s="99">
        <v>25</v>
      </c>
      <c r="J23" s="99">
        <v>119</v>
      </c>
      <c r="K23" s="99">
        <v>108</v>
      </c>
      <c r="L23" s="99">
        <v>1065</v>
      </c>
      <c r="M23" s="99">
        <v>23</v>
      </c>
      <c r="N23" s="99">
        <v>21</v>
      </c>
      <c r="O23" s="99">
        <v>39</v>
      </c>
      <c r="P23" s="159">
        <v>39</v>
      </c>
      <c r="Q23" s="99" t="s">
        <v>668</v>
      </c>
      <c r="R23" s="99">
        <v>10</v>
      </c>
      <c r="S23" s="99">
        <v>8</v>
      </c>
      <c r="T23" s="99" t="s">
        <v>668</v>
      </c>
      <c r="U23" s="99" t="s">
        <v>668</v>
      </c>
      <c r="V23" s="99">
        <v>7</v>
      </c>
      <c r="W23" s="99">
        <v>13</v>
      </c>
      <c r="X23" s="99">
        <v>26</v>
      </c>
      <c r="Y23" s="99">
        <v>25</v>
      </c>
      <c r="Z23" s="99">
        <v>28</v>
      </c>
      <c r="AA23" s="99" t="s">
        <v>668</v>
      </c>
      <c r="AB23" s="99" t="s">
        <v>668</v>
      </c>
      <c r="AC23" s="99" t="s">
        <v>668</v>
      </c>
      <c r="AD23" s="98" t="s">
        <v>378</v>
      </c>
      <c r="AE23" s="100">
        <v>0.041875</v>
      </c>
      <c r="AF23" s="100">
        <v>0.25</v>
      </c>
      <c r="AG23" s="98">
        <v>270.8333333333333</v>
      </c>
      <c r="AH23" s="98">
        <v>145.83333333333334</v>
      </c>
      <c r="AI23" s="100">
        <v>0.005</v>
      </c>
      <c r="AJ23" s="100">
        <v>0.613402</v>
      </c>
      <c r="AK23" s="100">
        <v>0.613636</v>
      </c>
      <c r="AL23" s="100">
        <v>0.770065</v>
      </c>
      <c r="AM23" s="100">
        <v>0.181102</v>
      </c>
      <c r="AN23" s="100">
        <v>0.3</v>
      </c>
      <c r="AO23" s="98">
        <v>812.5</v>
      </c>
      <c r="AP23" s="158">
        <v>0.7549006652999999</v>
      </c>
      <c r="AQ23" s="100" t="s">
        <v>668</v>
      </c>
      <c r="AR23" s="100" t="s">
        <v>668</v>
      </c>
      <c r="AS23" s="98">
        <v>166.66666666666666</v>
      </c>
      <c r="AT23" s="98" t="s">
        <v>668</v>
      </c>
      <c r="AU23" s="98" t="s">
        <v>668</v>
      </c>
      <c r="AV23" s="98">
        <v>145.83333333333334</v>
      </c>
      <c r="AW23" s="98">
        <v>270.8333333333333</v>
      </c>
      <c r="AX23" s="98">
        <v>541.6666666666666</v>
      </c>
      <c r="AY23" s="98">
        <v>520.8333333333334</v>
      </c>
      <c r="AZ23" s="98">
        <v>583.3333333333334</v>
      </c>
      <c r="BA23" s="101" t="s">
        <v>668</v>
      </c>
      <c r="BB23" s="101" t="s">
        <v>668</v>
      </c>
      <c r="BC23" s="101" t="s">
        <v>668</v>
      </c>
      <c r="BD23" s="158">
        <v>0.5368082047</v>
      </c>
      <c r="BE23" s="158">
        <v>1.031974106</v>
      </c>
      <c r="BF23" s="162">
        <v>194</v>
      </c>
      <c r="BG23" s="162">
        <v>176</v>
      </c>
      <c r="BH23" s="162">
        <v>1383</v>
      </c>
      <c r="BI23" s="162">
        <v>127</v>
      </c>
      <c r="BJ23" s="162">
        <v>70</v>
      </c>
      <c r="BK23" s="97"/>
      <c r="BL23" s="97"/>
      <c r="BM23" s="97"/>
      <c r="BN23" s="97"/>
    </row>
    <row r="24" spans="1:66" ht="12.75">
      <c r="A24" s="79" t="s">
        <v>593</v>
      </c>
      <c r="B24" s="79" t="s">
        <v>311</v>
      </c>
      <c r="C24" s="79" t="s">
        <v>203</v>
      </c>
      <c r="D24" s="99">
        <v>4608</v>
      </c>
      <c r="E24" s="99">
        <v>603</v>
      </c>
      <c r="F24" s="99" t="s">
        <v>399</v>
      </c>
      <c r="G24" s="99">
        <v>18</v>
      </c>
      <c r="H24" s="99">
        <v>18</v>
      </c>
      <c r="I24" s="99">
        <v>60</v>
      </c>
      <c r="J24" s="99">
        <v>302</v>
      </c>
      <c r="K24" s="99">
        <v>24</v>
      </c>
      <c r="L24" s="99">
        <v>803</v>
      </c>
      <c r="M24" s="99">
        <v>160</v>
      </c>
      <c r="N24" s="99">
        <v>78</v>
      </c>
      <c r="O24" s="99">
        <v>42</v>
      </c>
      <c r="P24" s="159">
        <v>42</v>
      </c>
      <c r="Q24" s="99" t="s">
        <v>668</v>
      </c>
      <c r="R24" s="99">
        <v>19</v>
      </c>
      <c r="S24" s="99">
        <v>11</v>
      </c>
      <c r="T24" s="99" t="s">
        <v>668</v>
      </c>
      <c r="U24" s="99" t="s">
        <v>668</v>
      </c>
      <c r="V24" s="99">
        <v>6</v>
      </c>
      <c r="W24" s="99">
        <v>24</v>
      </c>
      <c r="X24" s="99">
        <v>25</v>
      </c>
      <c r="Y24" s="99">
        <v>53</v>
      </c>
      <c r="Z24" s="99">
        <v>49</v>
      </c>
      <c r="AA24" s="99" t="s">
        <v>668</v>
      </c>
      <c r="AB24" s="99" t="s">
        <v>668</v>
      </c>
      <c r="AC24" s="99" t="s">
        <v>668</v>
      </c>
      <c r="AD24" s="98" t="s">
        <v>378</v>
      </c>
      <c r="AE24" s="100">
        <v>0.130859375</v>
      </c>
      <c r="AF24" s="100">
        <v>0.31</v>
      </c>
      <c r="AG24" s="98">
        <v>390.625</v>
      </c>
      <c r="AH24" s="98">
        <v>390.625</v>
      </c>
      <c r="AI24" s="100">
        <v>0.013000000000000001</v>
      </c>
      <c r="AJ24" s="100">
        <v>0.645299</v>
      </c>
      <c r="AK24" s="100">
        <v>0.545455</v>
      </c>
      <c r="AL24" s="100">
        <v>0.730664</v>
      </c>
      <c r="AM24" s="100">
        <v>0.382775</v>
      </c>
      <c r="AN24" s="100">
        <v>0.513158</v>
      </c>
      <c r="AO24" s="98">
        <v>911.4583333333334</v>
      </c>
      <c r="AP24" s="158">
        <v>0.553702507</v>
      </c>
      <c r="AQ24" s="100" t="s">
        <v>668</v>
      </c>
      <c r="AR24" s="100" t="s">
        <v>668</v>
      </c>
      <c r="AS24" s="98">
        <v>238.71527777777777</v>
      </c>
      <c r="AT24" s="98" t="s">
        <v>668</v>
      </c>
      <c r="AU24" s="98" t="s">
        <v>668</v>
      </c>
      <c r="AV24" s="98">
        <v>130.20833333333334</v>
      </c>
      <c r="AW24" s="98">
        <v>520.8333333333334</v>
      </c>
      <c r="AX24" s="98">
        <v>542.5347222222222</v>
      </c>
      <c r="AY24" s="98">
        <v>1150.173611111111</v>
      </c>
      <c r="AZ24" s="98">
        <v>1063.3680555555557</v>
      </c>
      <c r="BA24" s="100" t="s">
        <v>668</v>
      </c>
      <c r="BB24" s="100" t="s">
        <v>668</v>
      </c>
      <c r="BC24" s="100" t="s">
        <v>668</v>
      </c>
      <c r="BD24" s="158">
        <v>0.3990600586</v>
      </c>
      <c r="BE24" s="158">
        <v>0.7484449005</v>
      </c>
      <c r="BF24" s="162">
        <v>468</v>
      </c>
      <c r="BG24" s="162">
        <v>44</v>
      </c>
      <c r="BH24" s="162">
        <v>1099</v>
      </c>
      <c r="BI24" s="162">
        <v>418</v>
      </c>
      <c r="BJ24" s="162">
        <v>152</v>
      </c>
      <c r="BK24" s="97"/>
      <c r="BL24" s="97"/>
      <c r="BM24" s="97"/>
      <c r="BN24" s="97"/>
    </row>
    <row r="25" spans="1:66" ht="12.75">
      <c r="A25" s="79" t="s">
        <v>640</v>
      </c>
      <c r="B25" s="79" t="s">
        <v>359</v>
      </c>
      <c r="C25" s="79" t="s">
        <v>203</v>
      </c>
      <c r="D25" s="99">
        <v>4772</v>
      </c>
      <c r="E25" s="99">
        <v>425</v>
      </c>
      <c r="F25" s="99" t="s">
        <v>398</v>
      </c>
      <c r="G25" s="99">
        <v>6</v>
      </c>
      <c r="H25" s="99" t="s">
        <v>668</v>
      </c>
      <c r="I25" s="99">
        <v>46</v>
      </c>
      <c r="J25" s="99">
        <v>196</v>
      </c>
      <c r="K25" s="99">
        <v>30</v>
      </c>
      <c r="L25" s="99">
        <v>1041</v>
      </c>
      <c r="M25" s="99">
        <v>56</v>
      </c>
      <c r="N25" s="99">
        <v>52</v>
      </c>
      <c r="O25" s="99">
        <v>57</v>
      </c>
      <c r="P25" s="159">
        <v>57</v>
      </c>
      <c r="Q25" s="99" t="s">
        <v>668</v>
      </c>
      <c r="R25" s="99">
        <v>14</v>
      </c>
      <c r="S25" s="99">
        <v>10</v>
      </c>
      <c r="T25" s="99">
        <v>10</v>
      </c>
      <c r="U25" s="99" t="s">
        <v>668</v>
      </c>
      <c r="V25" s="99">
        <v>20</v>
      </c>
      <c r="W25" s="99">
        <v>11</v>
      </c>
      <c r="X25" s="99">
        <v>29</v>
      </c>
      <c r="Y25" s="99">
        <v>38</v>
      </c>
      <c r="Z25" s="99">
        <v>31</v>
      </c>
      <c r="AA25" s="99" t="s">
        <v>668</v>
      </c>
      <c r="AB25" s="99" t="s">
        <v>668</v>
      </c>
      <c r="AC25" s="99" t="s">
        <v>668</v>
      </c>
      <c r="AD25" s="98" t="s">
        <v>378</v>
      </c>
      <c r="AE25" s="100">
        <v>0.08906119027661358</v>
      </c>
      <c r="AF25" s="100">
        <v>0.18</v>
      </c>
      <c r="AG25" s="98">
        <v>125.73344509639564</v>
      </c>
      <c r="AH25" s="98" t="s">
        <v>668</v>
      </c>
      <c r="AI25" s="100">
        <v>0.01</v>
      </c>
      <c r="AJ25" s="100">
        <v>0.539945</v>
      </c>
      <c r="AK25" s="100">
        <v>0.517241</v>
      </c>
      <c r="AL25" s="100">
        <v>0.740398</v>
      </c>
      <c r="AM25" s="100">
        <v>0.190476</v>
      </c>
      <c r="AN25" s="100">
        <v>0.33121</v>
      </c>
      <c r="AO25" s="98">
        <v>1194.4677284157585</v>
      </c>
      <c r="AP25" s="158">
        <v>0.8556683350000001</v>
      </c>
      <c r="AQ25" s="100" t="s">
        <v>668</v>
      </c>
      <c r="AR25" s="100" t="s">
        <v>668</v>
      </c>
      <c r="AS25" s="98">
        <v>209.55574182732607</v>
      </c>
      <c r="AT25" s="98">
        <v>209.55574182732607</v>
      </c>
      <c r="AU25" s="98" t="s">
        <v>668</v>
      </c>
      <c r="AV25" s="98">
        <v>419.11148365465215</v>
      </c>
      <c r="AW25" s="98">
        <v>230.51131601005866</v>
      </c>
      <c r="AX25" s="98">
        <v>607.7116512992455</v>
      </c>
      <c r="AY25" s="98">
        <v>796.3118189438391</v>
      </c>
      <c r="AZ25" s="98">
        <v>649.6227996647108</v>
      </c>
      <c r="BA25" s="101" t="s">
        <v>668</v>
      </c>
      <c r="BB25" s="101" t="s">
        <v>668</v>
      </c>
      <c r="BC25" s="101" t="s">
        <v>668</v>
      </c>
      <c r="BD25" s="158">
        <v>0.6480747986000001</v>
      </c>
      <c r="BE25" s="158">
        <v>1.108617554</v>
      </c>
      <c r="BF25" s="162">
        <v>363</v>
      </c>
      <c r="BG25" s="162">
        <v>58</v>
      </c>
      <c r="BH25" s="162">
        <v>1406</v>
      </c>
      <c r="BI25" s="162">
        <v>294</v>
      </c>
      <c r="BJ25" s="162">
        <v>157</v>
      </c>
      <c r="BK25" s="97"/>
      <c r="BL25" s="97"/>
      <c r="BM25" s="97"/>
      <c r="BN25" s="97"/>
    </row>
    <row r="26" spans="1:66" ht="12.75">
      <c r="A26" s="79" t="s">
        <v>596</v>
      </c>
      <c r="B26" s="79" t="s">
        <v>314</v>
      </c>
      <c r="C26" s="79" t="s">
        <v>203</v>
      </c>
      <c r="D26" s="99">
        <v>7961</v>
      </c>
      <c r="E26" s="99">
        <v>768</v>
      </c>
      <c r="F26" s="99" t="s">
        <v>399</v>
      </c>
      <c r="G26" s="99">
        <v>22</v>
      </c>
      <c r="H26" s="99">
        <v>22</v>
      </c>
      <c r="I26" s="99">
        <v>97</v>
      </c>
      <c r="J26" s="99">
        <v>361</v>
      </c>
      <c r="K26" s="99">
        <v>205</v>
      </c>
      <c r="L26" s="99">
        <v>1405</v>
      </c>
      <c r="M26" s="99">
        <v>111</v>
      </c>
      <c r="N26" s="99">
        <v>96</v>
      </c>
      <c r="O26" s="99">
        <v>136</v>
      </c>
      <c r="P26" s="159">
        <v>136</v>
      </c>
      <c r="Q26" s="99">
        <v>13</v>
      </c>
      <c r="R26" s="99">
        <v>23</v>
      </c>
      <c r="S26" s="99">
        <v>19</v>
      </c>
      <c r="T26" s="99">
        <v>25</v>
      </c>
      <c r="U26" s="99" t="s">
        <v>668</v>
      </c>
      <c r="V26" s="99">
        <v>17</v>
      </c>
      <c r="W26" s="99">
        <v>29</v>
      </c>
      <c r="X26" s="99">
        <v>29</v>
      </c>
      <c r="Y26" s="99">
        <v>86</v>
      </c>
      <c r="Z26" s="99">
        <v>50</v>
      </c>
      <c r="AA26" s="99" t="s">
        <v>668</v>
      </c>
      <c r="AB26" s="99" t="s">
        <v>668</v>
      </c>
      <c r="AC26" s="99" t="s">
        <v>668</v>
      </c>
      <c r="AD26" s="98" t="s">
        <v>378</v>
      </c>
      <c r="AE26" s="100">
        <v>0.0964702926767994</v>
      </c>
      <c r="AF26" s="100">
        <v>0.3</v>
      </c>
      <c r="AG26" s="98">
        <v>276.34719256374825</v>
      </c>
      <c r="AH26" s="98">
        <v>276.34719256374825</v>
      </c>
      <c r="AI26" s="100">
        <v>0.012</v>
      </c>
      <c r="AJ26" s="100">
        <v>0.571203</v>
      </c>
      <c r="AK26" s="100">
        <v>0.740072</v>
      </c>
      <c r="AL26" s="100">
        <v>0.720883</v>
      </c>
      <c r="AM26" s="100">
        <v>0.210626</v>
      </c>
      <c r="AN26" s="100">
        <v>0.347826</v>
      </c>
      <c r="AO26" s="98">
        <v>1708.3280994849893</v>
      </c>
      <c r="AP26" s="158">
        <v>1.182864914</v>
      </c>
      <c r="AQ26" s="100">
        <v>0.09558823529411764</v>
      </c>
      <c r="AR26" s="100">
        <v>0.5652173913043478</v>
      </c>
      <c r="AS26" s="98">
        <v>238.6634844868735</v>
      </c>
      <c r="AT26" s="98">
        <v>314.03090064062303</v>
      </c>
      <c r="AU26" s="98" t="s">
        <v>668</v>
      </c>
      <c r="AV26" s="98">
        <v>213.54101243562366</v>
      </c>
      <c r="AW26" s="98">
        <v>364.2758447431227</v>
      </c>
      <c r="AX26" s="98">
        <v>364.2758447431227</v>
      </c>
      <c r="AY26" s="98">
        <v>1080.2662982037432</v>
      </c>
      <c r="AZ26" s="98">
        <v>628.0618012812461</v>
      </c>
      <c r="BA26" s="100" t="s">
        <v>668</v>
      </c>
      <c r="BB26" s="100" t="s">
        <v>668</v>
      </c>
      <c r="BC26" s="100" t="s">
        <v>668</v>
      </c>
      <c r="BD26" s="158">
        <v>0.9924276733</v>
      </c>
      <c r="BE26" s="158">
        <v>1.399196777</v>
      </c>
      <c r="BF26" s="162">
        <v>632</v>
      </c>
      <c r="BG26" s="162">
        <v>277</v>
      </c>
      <c r="BH26" s="162">
        <v>1949</v>
      </c>
      <c r="BI26" s="162">
        <v>527</v>
      </c>
      <c r="BJ26" s="162">
        <v>276</v>
      </c>
      <c r="BK26" s="97"/>
      <c r="BL26" s="97"/>
      <c r="BM26" s="97"/>
      <c r="BN26" s="97"/>
    </row>
    <row r="27" spans="1:66" ht="12.75">
      <c r="A27" s="79" t="s">
        <v>658</v>
      </c>
      <c r="B27" s="79" t="s">
        <v>377</v>
      </c>
      <c r="C27" s="79" t="s">
        <v>203</v>
      </c>
      <c r="D27" s="99">
        <v>2603</v>
      </c>
      <c r="E27" s="99">
        <v>284</v>
      </c>
      <c r="F27" s="99" t="s">
        <v>399</v>
      </c>
      <c r="G27" s="99">
        <v>12</v>
      </c>
      <c r="H27" s="99">
        <v>6</v>
      </c>
      <c r="I27" s="99">
        <v>27</v>
      </c>
      <c r="J27" s="99">
        <v>101</v>
      </c>
      <c r="K27" s="99">
        <v>11</v>
      </c>
      <c r="L27" s="99">
        <v>378</v>
      </c>
      <c r="M27" s="99">
        <v>79</v>
      </c>
      <c r="N27" s="99">
        <v>28</v>
      </c>
      <c r="O27" s="99">
        <v>14</v>
      </c>
      <c r="P27" s="159">
        <v>14</v>
      </c>
      <c r="Q27" s="99" t="s">
        <v>668</v>
      </c>
      <c r="R27" s="99">
        <v>8</v>
      </c>
      <c r="S27" s="99">
        <v>11</v>
      </c>
      <c r="T27" s="99" t="s">
        <v>668</v>
      </c>
      <c r="U27" s="99" t="s">
        <v>668</v>
      </c>
      <c r="V27" s="99" t="s">
        <v>668</v>
      </c>
      <c r="W27" s="99">
        <v>17</v>
      </c>
      <c r="X27" s="99" t="s">
        <v>668</v>
      </c>
      <c r="Y27" s="99">
        <v>16</v>
      </c>
      <c r="Z27" s="99">
        <v>14</v>
      </c>
      <c r="AA27" s="99" t="s">
        <v>668</v>
      </c>
      <c r="AB27" s="99" t="s">
        <v>668</v>
      </c>
      <c r="AC27" s="99" t="s">
        <v>668</v>
      </c>
      <c r="AD27" s="98" t="s">
        <v>378</v>
      </c>
      <c r="AE27" s="100">
        <v>0.10910487898578564</v>
      </c>
      <c r="AF27" s="100">
        <v>0.33</v>
      </c>
      <c r="AG27" s="98">
        <v>461.0065309258548</v>
      </c>
      <c r="AH27" s="98">
        <v>230.5032654629274</v>
      </c>
      <c r="AI27" s="100">
        <v>0.01</v>
      </c>
      <c r="AJ27" s="100">
        <v>0.441048</v>
      </c>
      <c r="AK27" s="100">
        <v>0.478261</v>
      </c>
      <c r="AL27" s="100">
        <v>0.672598</v>
      </c>
      <c r="AM27" s="100">
        <v>0.365741</v>
      </c>
      <c r="AN27" s="100">
        <v>0.368421</v>
      </c>
      <c r="AO27" s="98">
        <v>537.8409527468306</v>
      </c>
      <c r="AP27" s="158">
        <v>0.36782901760000003</v>
      </c>
      <c r="AQ27" s="100" t="s">
        <v>668</v>
      </c>
      <c r="AR27" s="100" t="s">
        <v>668</v>
      </c>
      <c r="AS27" s="98">
        <v>422.58932001536687</v>
      </c>
      <c r="AT27" s="98" t="s">
        <v>668</v>
      </c>
      <c r="AU27" s="98" t="s">
        <v>668</v>
      </c>
      <c r="AV27" s="98" t="s">
        <v>668</v>
      </c>
      <c r="AW27" s="98">
        <v>653.0925854782943</v>
      </c>
      <c r="AX27" s="98" t="s">
        <v>668</v>
      </c>
      <c r="AY27" s="98">
        <v>614.6753745678063</v>
      </c>
      <c r="AZ27" s="98">
        <v>537.8409527468306</v>
      </c>
      <c r="BA27" s="100" t="s">
        <v>668</v>
      </c>
      <c r="BB27" s="100" t="s">
        <v>668</v>
      </c>
      <c r="BC27" s="100" t="s">
        <v>668</v>
      </c>
      <c r="BD27" s="158">
        <v>0.20109554289999998</v>
      </c>
      <c r="BE27" s="158">
        <v>0.6171545791999999</v>
      </c>
      <c r="BF27" s="162">
        <v>229</v>
      </c>
      <c r="BG27" s="162">
        <v>23</v>
      </c>
      <c r="BH27" s="162">
        <v>562</v>
      </c>
      <c r="BI27" s="162">
        <v>216</v>
      </c>
      <c r="BJ27" s="162">
        <v>76</v>
      </c>
      <c r="BK27" s="97"/>
      <c r="BL27" s="97"/>
      <c r="BM27" s="97"/>
      <c r="BN27" s="97"/>
    </row>
    <row r="28" spans="1:66" ht="12.75">
      <c r="A28" s="79" t="s">
        <v>615</v>
      </c>
      <c r="B28" s="79" t="s">
        <v>334</v>
      </c>
      <c r="C28" s="79" t="s">
        <v>203</v>
      </c>
      <c r="D28" s="99">
        <v>4009</v>
      </c>
      <c r="E28" s="99">
        <v>550</v>
      </c>
      <c r="F28" s="99" t="s">
        <v>399</v>
      </c>
      <c r="G28" s="99" t="s">
        <v>668</v>
      </c>
      <c r="H28" s="99">
        <v>12</v>
      </c>
      <c r="I28" s="99">
        <v>42</v>
      </c>
      <c r="J28" s="99">
        <v>193</v>
      </c>
      <c r="K28" s="99">
        <v>35</v>
      </c>
      <c r="L28" s="99">
        <v>666</v>
      </c>
      <c r="M28" s="99">
        <v>77</v>
      </c>
      <c r="N28" s="99">
        <v>62</v>
      </c>
      <c r="O28" s="99">
        <v>19</v>
      </c>
      <c r="P28" s="159">
        <v>19</v>
      </c>
      <c r="Q28" s="99" t="s">
        <v>668</v>
      </c>
      <c r="R28" s="99">
        <v>12</v>
      </c>
      <c r="S28" s="99" t="s">
        <v>668</v>
      </c>
      <c r="T28" s="99" t="s">
        <v>668</v>
      </c>
      <c r="U28" s="99" t="s">
        <v>668</v>
      </c>
      <c r="V28" s="99" t="s">
        <v>668</v>
      </c>
      <c r="W28" s="99">
        <v>15</v>
      </c>
      <c r="X28" s="99">
        <v>15</v>
      </c>
      <c r="Y28" s="99">
        <v>33</v>
      </c>
      <c r="Z28" s="99">
        <v>36</v>
      </c>
      <c r="AA28" s="99" t="s">
        <v>668</v>
      </c>
      <c r="AB28" s="99" t="s">
        <v>668</v>
      </c>
      <c r="AC28" s="99" t="s">
        <v>668</v>
      </c>
      <c r="AD28" s="98" t="s">
        <v>378</v>
      </c>
      <c r="AE28" s="100">
        <v>0.13719131953105512</v>
      </c>
      <c r="AF28" s="100">
        <v>0.28</v>
      </c>
      <c r="AG28" s="98" t="s">
        <v>668</v>
      </c>
      <c r="AH28" s="98">
        <v>299.3265153404839</v>
      </c>
      <c r="AI28" s="100">
        <v>0.01</v>
      </c>
      <c r="AJ28" s="100">
        <v>0.554598</v>
      </c>
      <c r="AK28" s="100">
        <v>0.614035</v>
      </c>
      <c r="AL28" s="100">
        <v>0.674089</v>
      </c>
      <c r="AM28" s="100">
        <v>0.23913</v>
      </c>
      <c r="AN28" s="100">
        <v>0.362573</v>
      </c>
      <c r="AO28" s="98">
        <v>473.93364928909955</v>
      </c>
      <c r="AP28" s="158">
        <v>0.28912275309999996</v>
      </c>
      <c r="AQ28" s="100" t="s">
        <v>668</v>
      </c>
      <c r="AR28" s="100" t="s">
        <v>668</v>
      </c>
      <c r="AS28" s="98" t="s">
        <v>668</v>
      </c>
      <c r="AT28" s="98" t="s">
        <v>668</v>
      </c>
      <c r="AU28" s="98" t="s">
        <v>668</v>
      </c>
      <c r="AV28" s="98" t="s">
        <v>668</v>
      </c>
      <c r="AW28" s="98">
        <v>374.1581441756049</v>
      </c>
      <c r="AX28" s="98">
        <v>374.1581441756049</v>
      </c>
      <c r="AY28" s="98">
        <v>823.1479171863308</v>
      </c>
      <c r="AZ28" s="98">
        <v>897.9795460214517</v>
      </c>
      <c r="BA28" s="100" t="s">
        <v>668</v>
      </c>
      <c r="BB28" s="100" t="s">
        <v>668</v>
      </c>
      <c r="BC28" s="100" t="s">
        <v>668</v>
      </c>
      <c r="BD28" s="158">
        <v>0.1740707779</v>
      </c>
      <c r="BE28" s="158">
        <v>0.4515009689</v>
      </c>
      <c r="BF28" s="162">
        <v>348</v>
      </c>
      <c r="BG28" s="162">
        <v>57</v>
      </c>
      <c r="BH28" s="162">
        <v>988</v>
      </c>
      <c r="BI28" s="162">
        <v>322</v>
      </c>
      <c r="BJ28" s="162">
        <v>171</v>
      </c>
      <c r="BK28" s="97"/>
      <c r="BL28" s="97"/>
      <c r="BM28" s="97"/>
      <c r="BN28" s="97"/>
    </row>
    <row r="29" spans="1:66" ht="12.75">
      <c r="A29" s="79" t="s">
        <v>651</v>
      </c>
      <c r="B29" s="79" t="s">
        <v>370</v>
      </c>
      <c r="C29" s="79" t="s">
        <v>203</v>
      </c>
      <c r="D29" s="99">
        <v>7266</v>
      </c>
      <c r="E29" s="99">
        <v>619</v>
      </c>
      <c r="F29" s="99" t="s">
        <v>400</v>
      </c>
      <c r="G29" s="99">
        <v>20</v>
      </c>
      <c r="H29" s="99">
        <v>10</v>
      </c>
      <c r="I29" s="99">
        <v>74</v>
      </c>
      <c r="J29" s="99">
        <v>288</v>
      </c>
      <c r="K29" s="99">
        <v>66</v>
      </c>
      <c r="L29" s="99">
        <v>1697</v>
      </c>
      <c r="M29" s="99">
        <v>112</v>
      </c>
      <c r="N29" s="99">
        <v>97</v>
      </c>
      <c r="O29" s="99">
        <v>89</v>
      </c>
      <c r="P29" s="159">
        <v>89</v>
      </c>
      <c r="Q29" s="99">
        <v>6</v>
      </c>
      <c r="R29" s="99">
        <v>13</v>
      </c>
      <c r="S29" s="99">
        <v>20</v>
      </c>
      <c r="T29" s="99">
        <v>14</v>
      </c>
      <c r="U29" s="99" t="s">
        <v>668</v>
      </c>
      <c r="V29" s="99">
        <v>15</v>
      </c>
      <c r="W29" s="99">
        <v>31</v>
      </c>
      <c r="X29" s="99">
        <v>22</v>
      </c>
      <c r="Y29" s="99">
        <v>50</v>
      </c>
      <c r="Z29" s="99">
        <v>30</v>
      </c>
      <c r="AA29" s="99" t="s">
        <v>668</v>
      </c>
      <c r="AB29" s="99" t="s">
        <v>668</v>
      </c>
      <c r="AC29" s="99" t="s">
        <v>668</v>
      </c>
      <c r="AD29" s="98" t="s">
        <v>378</v>
      </c>
      <c r="AE29" s="100">
        <v>0.08519130195430774</v>
      </c>
      <c r="AF29" s="100">
        <v>0.1</v>
      </c>
      <c r="AG29" s="98">
        <v>275.2546105147261</v>
      </c>
      <c r="AH29" s="98">
        <v>137.62730525736305</v>
      </c>
      <c r="AI29" s="100">
        <v>0.01</v>
      </c>
      <c r="AJ29" s="100">
        <v>0.684086</v>
      </c>
      <c r="AK29" s="100">
        <v>0.673469</v>
      </c>
      <c r="AL29" s="100">
        <v>0.729265</v>
      </c>
      <c r="AM29" s="100">
        <v>0.301075</v>
      </c>
      <c r="AN29" s="100">
        <v>0.521505</v>
      </c>
      <c r="AO29" s="98">
        <v>1224.8830167905312</v>
      </c>
      <c r="AP29" s="158">
        <v>0.8834786987</v>
      </c>
      <c r="AQ29" s="100">
        <v>0.06741573033707865</v>
      </c>
      <c r="AR29" s="100">
        <v>0.46153846153846156</v>
      </c>
      <c r="AS29" s="98">
        <v>275.2546105147261</v>
      </c>
      <c r="AT29" s="98">
        <v>192.67822736030828</v>
      </c>
      <c r="AU29" s="98" t="s">
        <v>668</v>
      </c>
      <c r="AV29" s="98">
        <v>206.4409578860446</v>
      </c>
      <c r="AW29" s="98">
        <v>426.6446462978255</v>
      </c>
      <c r="AX29" s="98">
        <v>302.7800715661987</v>
      </c>
      <c r="AY29" s="98">
        <v>688.1365262868153</v>
      </c>
      <c r="AZ29" s="98">
        <v>412.8819157720892</v>
      </c>
      <c r="BA29" s="100" t="s">
        <v>668</v>
      </c>
      <c r="BB29" s="100" t="s">
        <v>668</v>
      </c>
      <c r="BC29" s="100" t="s">
        <v>668</v>
      </c>
      <c r="BD29" s="158">
        <v>0.7095059967</v>
      </c>
      <c r="BE29" s="158">
        <v>1.087196579</v>
      </c>
      <c r="BF29" s="162">
        <v>421</v>
      </c>
      <c r="BG29" s="162">
        <v>98</v>
      </c>
      <c r="BH29" s="162">
        <v>2327</v>
      </c>
      <c r="BI29" s="162">
        <v>372</v>
      </c>
      <c r="BJ29" s="162">
        <v>186</v>
      </c>
      <c r="BK29" s="97"/>
      <c r="BL29" s="97"/>
      <c r="BM29" s="97"/>
      <c r="BN29" s="97"/>
    </row>
    <row r="30" spans="1:66" ht="12.75">
      <c r="A30" s="79" t="s">
        <v>650</v>
      </c>
      <c r="B30" s="79" t="s">
        <v>369</v>
      </c>
      <c r="C30" s="79" t="s">
        <v>203</v>
      </c>
      <c r="D30" s="99">
        <v>5073</v>
      </c>
      <c r="E30" s="99">
        <v>550</v>
      </c>
      <c r="F30" s="99" t="s">
        <v>400</v>
      </c>
      <c r="G30" s="99">
        <v>9</v>
      </c>
      <c r="H30" s="99" t="s">
        <v>668</v>
      </c>
      <c r="I30" s="99">
        <v>79</v>
      </c>
      <c r="J30" s="99">
        <v>286</v>
      </c>
      <c r="K30" s="99">
        <v>44</v>
      </c>
      <c r="L30" s="99">
        <v>1165</v>
      </c>
      <c r="M30" s="99">
        <v>102</v>
      </c>
      <c r="N30" s="99">
        <v>88</v>
      </c>
      <c r="O30" s="99">
        <v>54</v>
      </c>
      <c r="P30" s="159">
        <v>54</v>
      </c>
      <c r="Q30" s="99" t="s">
        <v>668</v>
      </c>
      <c r="R30" s="99">
        <v>9</v>
      </c>
      <c r="S30" s="99">
        <v>13</v>
      </c>
      <c r="T30" s="99">
        <v>8</v>
      </c>
      <c r="U30" s="99" t="s">
        <v>668</v>
      </c>
      <c r="V30" s="99">
        <v>12</v>
      </c>
      <c r="W30" s="99">
        <v>23</v>
      </c>
      <c r="X30" s="99">
        <v>31</v>
      </c>
      <c r="Y30" s="99">
        <v>32</v>
      </c>
      <c r="Z30" s="99">
        <v>14</v>
      </c>
      <c r="AA30" s="99" t="s">
        <v>668</v>
      </c>
      <c r="AB30" s="99" t="s">
        <v>668</v>
      </c>
      <c r="AC30" s="99" t="s">
        <v>668</v>
      </c>
      <c r="AD30" s="98" t="s">
        <v>378</v>
      </c>
      <c r="AE30" s="100">
        <v>0.10841711019120835</v>
      </c>
      <c r="AF30" s="100">
        <v>0.09</v>
      </c>
      <c r="AG30" s="98">
        <v>177.40981667652278</v>
      </c>
      <c r="AH30" s="98" t="s">
        <v>668</v>
      </c>
      <c r="AI30" s="100">
        <v>0.016</v>
      </c>
      <c r="AJ30" s="100">
        <v>0.744792</v>
      </c>
      <c r="AK30" s="100">
        <v>0.721311</v>
      </c>
      <c r="AL30" s="100">
        <v>0.731325</v>
      </c>
      <c r="AM30" s="100">
        <v>0.314815</v>
      </c>
      <c r="AN30" s="100">
        <v>0.475676</v>
      </c>
      <c r="AO30" s="98">
        <v>1064.4589000591366</v>
      </c>
      <c r="AP30" s="158">
        <v>0.6772439575</v>
      </c>
      <c r="AQ30" s="100" t="s">
        <v>668</v>
      </c>
      <c r="AR30" s="100" t="s">
        <v>668</v>
      </c>
      <c r="AS30" s="98">
        <v>256.2586240883107</v>
      </c>
      <c r="AT30" s="98">
        <v>157.6976148235758</v>
      </c>
      <c r="AU30" s="98" t="s">
        <v>668</v>
      </c>
      <c r="AV30" s="98">
        <v>236.54642223536368</v>
      </c>
      <c r="AW30" s="98">
        <v>453.3806426177804</v>
      </c>
      <c r="AX30" s="98">
        <v>611.0782574413562</v>
      </c>
      <c r="AY30" s="98">
        <v>630.7904592943032</v>
      </c>
      <c r="AZ30" s="98">
        <v>275.97082594125766</v>
      </c>
      <c r="BA30" s="100" t="s">
        <v>668</v>
      </c>
      <c r="BB30" s="100" t="s">
        <v>668</v>
      </c>
      <c r="BC30" s="100" t="s">
        <v>668</v>
      </c>
      <c r="BD30" s="158">
        <v>0.5087664795</v>
      </c>
      <c r="BE30" s="158">
        <v>0.8836564635999999</v>
      </c>
      <c r="BF30" s="162">
        <v>384</v>
      </c>
      <c r="BG30" s="162">
        <v>61</v>
      </c>
      <c r="BH30" s="162">
        <v>1593</v>
      </c>
      <c r="BI30" s="162">
        <v>324</v>
      </c>
      <c r="BJ30" s="162">
        <v>185</v>
      </c>
      <c r="BK30" s="97"/>
      <c r="BL30" s="97"/>
      <c r="BM30" s="97"/>
      <c r="BN30" s="97"/>
    </row>
    <row r="31" spans="1:66" ht="12.75">
      <c r="A31" s="79" t="s">
        <v>645</v>
      </c>
      <c r="B31" s="79" t="s">
        <v>364</v>
      </c>
      <c r="C31" s="79" t="s">
        <v>203</v>
      </c>
      <c r="D31" s="99">
        <v>1892</v>
      </c>
      <c r="E31" s="99">
        <v>162</v>
      </c>
      <c r="F31" s="99" t="s">
        <v>399</v>
      </c>
      <c r="G31" s="99">
        <v>8</v>
      </c>
      <c r="H31" s="99">
        <v>6</v>
      </c>
      <c r="I31" s="99">
        <v>28</v>
      </c>
      <c r="J31" s="99">
        <v>89</v>
      </c>
      <c r="K31" s="99">
        <v>76</v>
      </c>
      <c r="L31" s="99">
        <v>372</v>
      </c>
      <c r="M31" s="99">
        <v>15</v>
      </c>
      <c r="N31" s="99">
        <v>11</v>
      </c>
      <c r="O31" s="99">
        <v>7</v>
      </c>
      <c r="P31" s="159">
        <v>7</v>
      </c>
      <c r="Q31" s="99" t="s">
        <v>668</v>
      </c>
      <c r="R31" s="99">
        <v>9</v>
      </c>
      <c r="S31" s="99" t="s">
        <v>668</v>
      </c>
      <c r="T31" s="99" t="s">
        <v>668</v>
      </c>
      <c r="U31" s="99" t="s">
        <v>668</v>
      </c>
      <c r="V31" s="99" t="s">
        <v>668</v>
      </c>
      <c r="W31" s="99">
        <v>10</v>
      </c>
      <c r="X31" s="99">
        <v>12</v>
      </c>
      <c r="Y31" s="99">
        <v>9</v>
      </c>
      <c r="Z31" s="99">
        <v>13</v>
      </c>
      <c r="AA31" s="99" t="s">
        <v>668</v>
      </c>
      <c r="AB31" s="99" t="s">
        <v>668</v>
      </c>
      <c r="AC31" s="99" t="s">
        <v>668</v>
      </c>
      <c r="AD31" s="98" t="s">
        <v>378</v>
      </c>
      <c r="AE31" s="100">
        <v>0.08562367864693446</v>
      </c>
      <c r="AF31" s="100">
        <v>0.37</v>
      </c>
      <c r="AG31" s="98">
        <v>422.8329809725159</v>
      </c>
      <c r="AH31" s="98">
        <v>317.1247357293869</v>
      </c>
      <c r="AI31" s="100">
        <v>0.015</v>
      </c>
      <c r="AJ31" s="100">
        <v>0.695313</v>
      </c>
      <c r="AK31" s="100">
        <v>0.66087</v>
      </c>
      <c r="AL31" s="100">
        <v>0.8</v>
      </c>
      <c r="AM31" s="100">
        <v>0.211268</v>
      </c>
      <c r="AN31" s="100">
        <v>0.297297</v>
      </c>
      <c r="AO31" s="98">
        <v>369.9788583509514</v>
      </c>
      <c r="AP31" s="158">
        <v>0.280056076</v>
      </c>
      <c r="AQ31" s="100" t="s">
        <v>668</v>
      </c>
      <c r="AR31" s="100" t="s">
        <v>668</v>
      </c>
      <c r="AS31" s="98" t="s">
        <v>668</v>
      </c>
      <c r="AT31" s="98" t="s">
        <v>668</v>
      </c>
      <c r="AU31" s="98" t="s">
        <v>668</v>
      </c>
      <c r="AV31" s="98" t="s">
        <v>668</v>
      </c>
      <c r="AW31" s="98">
        <v>528.5412262156448</v>
      </c>
      <c r="AX31" s="98">
        <v>634.2494714587738</v>
      </c>
      <c r="AY31" s="98">
        <v>475.6871035940803</v>
      </c>
      <c r="AZ31" s="98">
        <v>687.1035940803382</v>
      </c>
      <c r="BA31" s="100" t="s">
        <v>668</v>
      </c>
      <c r="BB31" s="100" t="s">
        <v>668</v>
      </c>
      <c r="BC31" s="100" t="s">
        <v>668</v>
      </c>
      <c r="BD31" s="158">
        <v>0.112597065</v>
      </c>
      <c r="BE31" s="158">
        <v>0.5770225525</v>
      </c>
      <c r="BF31" s="162">
        <v>128</v>
      </c>
      <c r="BG31" s="162">
        <v>115</v>
      </c>
      <c r="BH31" s="162">
        <v>465</v>
      </c>
      <c r="BI31" s="162">
        <v>71</v>
      </c>
      <c r="BJ31" s="162">
        <v>37</v>
      </c>
      <c r="BK31" s="97"/>
      <c r="BL31" s="97"/>
      <c r="BM31" s="97"/>
      <c r="BN31" s="97"/>
    </row>
    <row r="32" spans="1:66" ht="12.75">
      <c r="A32" s="79" t="s">
        <v>672</v>
      </c>
      <c r="B32" s="79" t="s">
        <v>331</v>
      </c>
      <c r="C32" s="79" t="s">
        <v>203</v>
      </c>
      <c r="D32" s="99">
        <v>3268</v>
      </c>
      <c r="E32" s="99">
        <v>282</v>
      </c>
      <c r="F32" s="99" t="s">
        <v>401</v>
      </c>
      <c r="G32" s="99">
        <v>10</v>
      </c>
      <c r="H32" s="99" t="s">
        <v>668</v>
      </c>
      <c r="I32" s="99">
        <v>37</v>
      </c>
      <c r="J32" s="99">
        <v>254</v>
      </c>
      <c r="K32" s="99">
        <v>36</v>
      </c>
      <c r="L32" s="99">
        <v>835</v>
      </c>
      <c r="M32" s="99">
        <v>76</v>
      </c>
      <c r="N32" s="99">
        <v>59</v>
      </c>
      <c r="O32" s="99">
        <v>46</v>
      </c>
      <c r="P32" s="159">
        <v>46</v>
      </c>
      <c r="Q32" s="99" t="s">
        <v>668</v>
      </c>
      <c r="R32" s="99" t="s">
        <v>668</v>
      </c>
      <c r="S32" s="99">
        <v>6</v>
      </c>
      <c r="T32" s="99">
        <v>8</v>
      </c>
      <c r="U32" s="99" t="s">
        <v>668</v>
      </c>
      <c r="V32" s="99">
        <v>17</v>
      </c>
      <c r="W32" s="99">
        <v>10</v>
      </c>
      <c r="X32" s="99">
        <v>20</v>
      </c>
      <c r="Y32" s="99">
        <v>18</v>
      </c>
      <c r="Z32" s="99">
        <v>12</v>
      </c>
      <c r="AA32" s="99" t="s">
        <v>668</v>
      </c>
      <c r="AB32" s="99" t="s">
        <v>668</v>
      </c>
      <c r="AC32" s="99" t="s">
        <v>668</v>
      </c>
      <c r="AD32" s="98" t="s">
        <v>378</v>
      </c>
      <c r="AE32" s="100">
        <v>0.08629130966952264</v>
      </c>
      <c r="AF32" s="100">
        <v>0.15</v>
      </c>
      <c r="AG32" s="98">
        <v>305.99755201958385</v>
      </c>
      <c r="AH32" s="98" t="s">
        <v>668</v>
      </c>
      <c r="AI32" s="100">
        <v>0.011000000000000001</v>
      </c>
      <c r="AJ32" s="100">
        <v>0.670185</v>
      </c>
      <c r="AK32" s="100">
        <v>0.75</v>
      </c>
      <c r="AL32" s="100">
        <v>0.786252</v>
      </c>
      <c r="AM32" s="100">
        <v>0.311475</v>
      </c>
      <c r="AN32" s="100">
        <v>0.468254</v>
      </c>
      <c r="AO32" s="98">
        <v>1407.5887392900856</v>
      </c>
      <c r="AP32" s="158">
        <v>0.8747792053000001</v>
      </c>
      <c r="AQ32" s="100" t="s">
        <v>668</v>
      </c>
      <c r="AR32" s="100" t="s">
        <v>668</v>
      </c>
      <c r="AS32" s="98">
        <v>183.5985312117503</v>
      </c>
      <c r="AT32" s="98">
        <v>244.79804161566707</v>
      </c>
      <c r="AU32" s="98" t="s">
        <v>668</v>
      </c>
      <c r="AV32" s="98">
        <v>520.1958384332926</v>
      </c>
      <c r="AW32" s="98">
        <v>305.99755201958385</v>
      </c>
      <c r="AX32" s="98">
        <v>611.9951040391677</v>
      </c>
      <c r="AY32" s="98">
        <v>550.795593635251</v>
      </c>
      <c r="AZ32" s="98">
        <v>367.1970624235006</v>
      </c>
      <c r="BA32" s="101" t="s">
        <v>668</v>
      </c>
      <c r="BB32" s="101" t="s">
        <v>668</v>
      </c>
      <c r="BC32" s="101" t="s">
        <v>668</v>
      </c>
      <c r="BD32" s="158">
        <v>0.6404483032</v>
      </c>
      <c r="BE32" s="158">
        <v>1.166832886</v>
      </c>
      <c r="BF32" s="162">
        <v>379</v>
      </c>
      <c r="BG32" s="162">
        <v>48</v>
      </c>
      <c r="BH32" s="162">
        <v>1062</v>
      </c>
      <c r="BI32" s="162">
        <v>244</v>
      </c>
      <c r="BJ32" s="162">
        <v>126</v>
      </c>
      <c r="BK32" s="97"/>
      <c r="BL32" s="97"/>
      <c r="BM32" s="97"/>
      <c r="BN32" s="97"/>
    </row>
    <row r="33" spans="1:66" ht="12.75">
      <c r="A33" s="79" t="s">
        <v>623</v>
      </c>
      <c r="B33" s="79" t="s">
        <v>342</v>
      </c>
      <c r="C33" s="79" t="s">
        <v>203</v>
      </c>
      <c r="D33" s="99">
        <v>3199</v>
      </c>
      <c r="E33" s="99">
        <v>351</v>
      </c>
      <c r="F33" s="99" t="s">
        <v>399</v>
      </c>
      <c r="G33" s="99">
        <v>12</v>
      </c>
      <c r="H33" s="99">
        <v>7</v>
      </c>
      <c r="I33" s="99">
        <v>34</v>
      </c>
      <c r="J33" s="99">
        <v>159</v>
      </c>
      <c r="K33" s="99">
        <v>104</v>
      </c>
      <c r="L33" s="99">
        <v>493</v>
      </c>
      <c r="M33" s="99">
        <v>26</v>
      </c>
      <c r="N33" s="99">
        <v>29</v>
      </c>
      <c r="O33" s="99">
        <v>40</v>
      </c>
      <c r="P33" s="159">
        <v>40</v>
      </c>
      <c r="Q33" s="99" t="s">
        <v>668</v>
      </c>
      <c r="R33" s="99">
        <v>6</v>
      </c>
      <c r="S33" s="99" t="s">
        <v>668</v>
      </c>
      <c r="T33" s="99">
        <v>11</v>
      </c>
      <c r="U33" s="99" t="s">
        <v>668</v>
      </c>
      <c r="V33" s="99" t="s">
        <v>668</v>
      </c>
      <c r="W33" s="99">
        <v>14</v>
      </c>
      <c r="X33" s="99">
        <v>21</v>
      </c>
      <c r="Y33" s="99">
        <v>46</v>
      </c>
      <c r="Z33" s="99">
        <v>31</v>
      </c>
      <c r="AA33" s="99" t="s">
        <v>668</v>
      </c>
      <c r="AB33" s="99" t="s">
        <v>668</v>
      </c>
      <c r="AC33" s="99" t="s">
        <v>668</v>
      </c>
      <c r="AD33" s="98" t="s">
        <v>378</v>
      </c>
      <c r="AE33" s="100">
        <v>0.10972178805876837</v>
      </c>
      <c r="AF33" s="100">
        <v>0.28</v>
      </c>
      <c r="AG33" s="98">
        <v>375.1172241325414</v>
      </c>
      <c r="AH33" s="98">
        <v>218.8183807439825</v>
      </c>
      <c r="AI33" s="100">
        <v>0.011000000000000001</v>
      </c>
      <c r="AJ33" s="100">
        <v>0.552083</v>
      </c>
      <c r="AK33" s="100">
        <v>0.488263</v>
      </c>
      <c r="AL33" s="100">
        <v>0.685675</v>
      </c>
      <c r="AM33" s="100">
        <v>0.119816</v>
      </c>
      <c r="AN33" s="100">
        <v>0.254386</v>
      </c>
      <c r="AO33" s="98">
        <v>1250.3907471084715</v>
      </c>
      <c r="AP33" s="158">
        <v>0.7825614929</v>
      </c>
      <c r="AQ33" s="100" t="s">
        <v>668</v>
      </c>
      <c r="AR33" s="100" t="s">
        <v>668</v>
      </c>
      <c r="AS33" s="98" t="s">
        <v>668</v>
      </c>
      <c r="AT33" s="98">
        <v>343.8574554548296</v>
      </c>
      <c r="AU33" s="98" t="s">
        <v>668</v>
      </c>
      <c r="AV33" s="98" t="s">
        <v>668</v>
      </c>
      <c r="AW33" s="98">
        <v>437.636761487965</v>
      </c>
      <c r="AX33" s="98">
        <v>656.4551422319474</v>
      </c>
      <c r="AY33" s="98">
        <v>1437.949359174742</v>
      </c>
      <c r="AZ33" s="98">
        <v>969.0528290090654</v>
      </c>
      <c r="BA33" s="100" t="s">
        <v>668</v>
      </c>
      <c r="BB33" s="100" t="s">
        <v>668</v>
      </c>
      <c r="BC33" s="100" t="s">
        <v>668</v>
      </c>
      <c r="BD33" s="158">
        <v>0.55907341</v>
      </c>
      <c r="BE33" s="158">
        <v>1.065626678</v>
      </c>
      <c r="BF33" s="162">
        <v>288</v>
      </c>
      <c r="BG33" s="162">
        <v>213</v>
      </c>
      <c r="BH33" s="162">
        <v>719</v>
      </c>
      <c r="BI33" s="162">
        <v>217</v>
      </c>
      <c r="BJ33" s="162">
        <v>114</v>
      </c>
      <c r="BK33" s="97"/>
      <c r="BL33" s="97"/>
      <c r="BM33" s="97"/>
      <c r="BN33" s="97"/>
    </row>
    <row r="34" spans="1:66" ht="12.75">
      <c r="A34" s="79" t="s">
        <v>671</v>
      </c>
      <c r="B34" s="79" t="s">
        <v>308</v>
      </c>
      <c r="C34" s="79" t="s">
        <v>203</v>
      </c>
      <c r="D34" s="99">
        <v>6964</v>
      </c>
      <c r="E34" s="99">
        <v>571</v>
      </c>
      <c r="F34" s="99" t="s">
        <v>399</v>
      </c>
      <c r="G34" s="99">
        <v>17</v>
      </c>
      <c r="H34" s="99">
        <v>6</v>
      </c>
      <c r="I34" s="99">
        <v>44</v>
      </c>
      <c r="J34" s="99">
        <v>173</v>
      </c>
      <c r="K34" s="99">
        <v>100</v>
      </c>
      <c r="L34" s="99">
        <v>963</v>
      </c>
      <c r="M34" s="99">
        <v>57</v>
      </c>
      <c r="N34" s="99">
        <v>50</v>
      </c>
      <c r="O34" s="99">
        <v>87</v>
      </c>
      <c r="P34" s="159">
        <v>87</v>
      </c>
      <c r="Q34" s="99" t="s">
        <v>668</v>
      </c>
      <c r="R34" s="99">
        <v>7</v>
      </c>
      <c r="S34" s="99">
        <v>19</v>
      </c>
      <c r="T34" s="99">
        <v>14</v>
      </c>
      <c r="U34" s="99" t="s">
        <v>668</v>
      </c>
      <c r="V34" s="99">
        <v>15</v>
      </c>
      <c r="W34" s="99">
        <v>13</v>
      </c>
      <c r="X34" s="99">
        <v>25</v>
      </c>
      <c r="Y34" s="99">
        <v>56</v>
      </c>
      <c r="Z34" s="99">
        <v>22</v>
      </c>
      <c r="AA34" s="99" t="s">
        <v>668</v>
      </c>
      <c r="AB34" s="99" t="s">
        <v>668</v>
      </c>
      <c r="AC34" s="99" t="s">
        <v>668</v>
      </c>
      <c r="AD34" s="98" t="s">
        <v>378</v>
      </c>
      <c r="AE34" s="100">
        <v>0.08199310740953475</v>
      </c>
      <c r="AF34" s="100">
        <v>0.31</v>
      </c>
      <c r="AG34" s="98">
        <v>244.11257897759907</v>
      </c>
      <c r="AH34" s="98">
        <v>86.1573808156232</v>
      </c>
      <c r="AI34" s="100">
        <v>0.006</v>
      </c>
      <c r="AJ34" s="100">
        <v>0.505848</v>
      </c>
      <c r="AK34" s="100">
        <v>0.421941</v>
      </c>
      <c r="AL34" s="100">
        <v>0.653324</v>
      </c>
      <c r="AM34" s="100">
        <v>0.176471</v>
      </c>
      <c r="AN34" s="100">
        <v>0.280899</v>
      </c>
      <c r="AO34" s="98">
        <v>1249.2820218265365</v>
      </c>
      <c r="AP34" s="158">
        <v>1.012432556</v>
      </c>
      <c r="AQ34" s="100" t="s">
        <v>668</v>
      </c>
      <c r="AR34" s="100" t="s">
        <v>668</v>
      </c>
      <c r="AS34" s="98">
        <v>272.83170591614015</v>
      </c>
      <c r="AT34" s="98">
        <v>201.03388856978748</v>
      </c>
      <c r="AU34" s="98" t="s">
        <v>668</v>
      </c>
      <c r="AV34" s="98">
        <v>215.39345203905802</v>
      </c>
      <c r="AW34" s="98">
        <v>186.67432510051694</v>
      </c>
      <c r="AX34" s="98">
        <v>358.98908673176334</v>
      </c>
      <c r="AY34" s="98">
        <v>804.1355542791499</v>
      </c>
      <c r="AZ34" s="98">
        <v>315.9103963239518</v>
      </c>
      <c r="BA34" s="100" t="s">
        <v>668</v>
      </c>
      <c r="BB34" s="100" t="s">
        <v>668</v>
      </c>
      <c r="BC34" s="100" t="s">
        <v>668</v>
      </c>
      <c r="BD34" s="158">
        <v>0.8109169769000001</v>
      </c>
      <c r="BE34" s="158">
        <v>1.248831787</v>
      </c>
      <c r="BF34" s="162">
        <v>342</v>
      </c>
      <c r="BG34" s="162">
        <v>237</v>
      </c>
      <c r="BH34" s="162">
        <v>1474</v>
      </c>
      <c r="BI34" s="162">
        <v>323</v>
      </c>
      <c r="BJ34" s="162">
        <v>178</v>
      </c>
      <c r="BK34" s="97"/>
      <c r="BL34" s="97"/>
      <c r="BM34" s="97"/>
      <c r="BN34" s="97"/>
    </row>
    <row r="35" spans="1:66" ht="12.75">
      <c r="A35" s="79" t="s">
        <v>634</v>
      </c>
      <c r="B35" s="79" t="s">
        <v>353</v>
      </c>
      <c r="C35" s="79" t="s">
        <v>203</v>
      </c>
      <c r="D35" s="99">
        <v>1356</v>
      </c>
      <c r="E35" s="99">
        <v>151</v>
      </c>
      <c r="F35" s="99" t="s">
        <v>399</v>
      </c>
      <c r="G35" s="99">
        <v>9</v>
      </c>
      <c r="H35" s="99" t="s">
        <v>668</v>
      </c>
      <c r="I35" s="99">
        <v>16</v>
      </c>
      <c r="J35" s="99">
        <v>54</v>
      </c>
      <c r="K35" s="99">
        <v>45</v>
      </c>
      <c r="L35" s="99">
        <v>215</v>
      </c>
      <c r="M35" s="99">
        <v>12</v>
      </c>
      <c r="N35" s="99">
        <v>8</v>
      </c>
      <c r="O35" s="99" t="s">
        <v>668</v>
      </c>
      <c r="P35" s="159" t="s">
        <v>668</v>
      </c>
      <c r="Q35" s="99" t="s">
        <v>668</v>
      </c>
      <c r="R35" s="99" t="s">
        <v>668</v>
      </c>
      <c r="S35" s="99" t="s">
        <v>668</v>
      </c>
      <c r="T35" s="99" t="s">
        <v>668</v>
      </c>
      <c r="U35" s="99" t="s">
        <v>668</v>
      </c>
      <c r="V35" s="99" t="s">
        <v>668</v>
      </c>
      <c r="W35" s="99" t="s">
        <v>668</v>
      </c>
      <c r="X35" s="99" t="s">
        <v>668</v>
      </c>
      <c r="Y35" s="99">
        <v>9</v>
      </c>
      <c r="Z35" s="99">
        <v>7</v>
      </c>
      <c r="AA35" s="99" t="s">
        <v>668</v>
      </c>
      <c r="AB35" s="99" t="s">
        <v>668</v>
      </c>
      <c r="AC35" s="99" t="s">
        <v>668</v>
      </c>
      <c r="AD35" s="98" t="s">
        <v>378</v>
      </c>
      <c r="AE35" s="100">
        <v>0.11135693215339233</v>
      </c>
      <c r="AF35" s="100">
        <v>0.38</v>
      </c>
      <c r="AG35" s="98">
        <v>663.7168141592921</v>
      </c>
      <c r="AH35" s="98" t="s">
        <v>668</v>
      </c>
      <c r="AI35" s="100">
        <v>0.012</v>
      </c>
      <c r="AJ35" s="100">
        <v>0.642857</v>
      </c>
      <c r="AK35" s="100">
        <v>0.633803</v>
      </c>
      <c r="AL35" s="100">
        <v>0.751748</v>
      </c>
      <c r="AM35" s="100">
        <v>0.176471</v>
      </c>
      <c r="AN35" s="100">
        <v>0.296296</v>
      </c>
      <c r="AO35" s="98" t="s">
        <v>668</v>
      </c>
      <c r="AP35" s="158" t="s">
        <v>668</v>
      </c>
      <c r="AQ35" s="100" t="s">
        <v>668</v>
      </c>
      <c r="AR35" s="100" t="s">
        <v>668</v>
      </c>
      <c r="AS35" s="98" t="s">
        <v>668</v>
      </c>
      <c r="AT35" s="98" t="s">
        <v>668</v>
      </c>
      <c r="AU35" s="98" t="s">
        <v>668</v>
      </c>
      <c r="AV35" s="98" t="s">
        <v>668</v>
      </c>
      <c r="AW35" s="98" t="s">
        <v>668</v>
      </c>
      <c r="AX35" s="98" t="s">
        <v>668</v>
      </c>
      <c r="AY35" s="98">
        <v>663.7168141592921</v>
      </c>
      <c r="AZ35" s="98">
        <v>516.2241887905604</v>
      </c>
      <c r="BA35" s="100" t="s">
        <v>668</v>
      </c>
      <c r="BB35" s="100" t="s">
        <v>668</v>
      </c>
      <c r="BC35" s="100" t="s">
        <v>668</v>
      </c>
      <c r="BD35" s="158" t="s">
        <v>668</v>
      </c>
      <c r="BE35" s="158" t="s">
        <v>668</v>
      </c>
      <c r="BF35" s="162">
        <v>84</v>
      </c>
      <c r="BG35" s="162">
        <v>71</v>
      </c>
      <c r="BH35" s="162">
        <v>286</v>
      </c>
      <c r="BI35" s="162">
        <v>68</v>
      </c>
      <c r="BJ35" s="162">
        <v>27</v>
      </c>
      <c r="BK35" s="97"/>
      <c r="BL35" s="97"/>
      <c r="BM35" s="97"/>
      <c r="BN35" s="97"/>
    </row>
    <row r="36" spans="1:66" ht="12.75">
      <c r="A36" s="79" t="s">
        <v>603</v>
      </c>
      <c r="B36" s="79" t="s">
        <v>321</v>
      </c>
      <c r="C36" s="79" t="s">
        <v>203</v>
      </c>
      <c r="D36" s="99">
        <v>5391</v>
      </c>
      <c r="E36" s="99">
        <v>651</v>
      </c>
      <c r="F36" s="99" t="s">
        <v>399</v>
      </c>
      <c r="G36" s="99">
        <v>23</v>
      </c>
      <c r="H36" s="99">
        <v>16</v>
      </c>
      <c r="I36" s="99">
        <v>33</v>
      </c>
      <c r="J36" s="99">
        <v>352</v>
      </c>
      <c r="K36" s="99">
        <v>351</v>
      </c>
      <c r="L36" s="99">
        <v>922</v>
      </c>
      <c r="M36" s="99">
        <v>190</v>
      </c>
      <c r="N36" s="99">
        <v>89</v>
      </c>
      <c r="O36" s="99">
        <v>29</v>
      </c>
      <c r="P36" s="159">
        <v>29</v>
      </c>
      <c r="Q36" s="99">
        <v>7</v>
      </c>
      <c r="R36" s="99">
        <v>19</v>
      </c>
      <c r="S36" s="99">
        <v>6</v>
      </c>
      <c r="T36" s="99" t="s">
        <v>668</v>
      </c>
      <c r="U36" s="99" t="s">
        <v>668</v>
      </c>
      <c r="V36" s="99">
        <v>6</v>
      </c>
      <c r="W36" s="99">
        <v>35</v>
      </c>
      <c r="X36" s="99">
        <v>17</v>
      </c>
      <c r="Y36" s="99">
        <v>57</v>
      </c>
      <c r="Z36" s="99">
        <v>30</v>
      </c>
      <c r="AA36" s="99" t="s">
        <v>668</v>
      </c>
      <c r="AB36" s="99" t="s">
        <v>668</v>
      </c>
      <c r="AC36" s="99" t="s">
        <v>668</v>
      </c>
      <c r="AD36" s="98" t="s">
        <v>378</v>
      </c>
      <c r="AE36" s="100">
        <v>0.12075681691708402</v>
      </c>
      <c r="AF36" s="100">
        <v>0.31</v>
      </c>
      <c r="AG36" s="98">
        <v>426.63698757187905</v>
      </c>
      <c r="AH36" s="98">
        <v>296.7909478760898</v>
      </c>
      <c r="AI36" s="100">
        <v>0.006</v>
      </c>
      <c r="AJ36" s="100">
        <v>0.692913</v>
      </c>
      <c r="AK36" s="100">
        <v>0.709091</v>
      </c>
      <c r="AL36" s="100">
        <v>0.715283</v>
      </c>
      <c r="AM36" s="100">
        <v>0.420354</v>
      </c>
      <c r="AN36" s="100">
        <v>0.491713</v>
      </c>
      <c r="AO36" s="98">
        <v>537.9335930254127</v>
      </c>
      <c r="AP36" s="158">
        <v>0.3459873962</v>
      </c>
      <c r="AQ36" s="100">
        <v>0.2413793103448276</v>
      </c>
      <c r="AR36" s="100">
        <v>0.3684210526315789</v>
      </c>
      <c r="AS36" s="98">
        <v>111.29660545353367</v>
      </c>
      <c r="AT36" s="98" t="s">
        <v>668</v>
      </c>
      <c r="AU36" s="98" t="s">
        <v>668</v>
      </c>
      <c r="AV36" s="98">
        <v>111.29660545353367</v>
      </c>
      <c r="AW36" s="98">
        <v>649.2301984789464</v>
      </c>
      <c r="AX36" s="98">
        <v>315.3403821183454</v>
      </c>
      <c r="AY36" s="98">
        <v>1057.31775180857</v>
      </c>
      <c r="AZ36" s="98">
        <v>556.4830272676684</v>
      </c>
      <c r="BA36" s="100" t="s">
        <v>668</v>
      </c>
      <c r="BB36" s="100" t="s">
        <v>668</v>
      </c>
      <c r="BC36" s="100" t="s">
        <v>668</v>
      </c>
      <c r="BD36" s="158">
        <v>0.2317131805</v>
      </c>
      <c r="BE36" s="158">
        <v>0.4968955994</v>
      </c>
      <c r="BF36" s="162">
        <v>508</v>
      </c>
      <c r="BG36" s="162">
        <v>495</v>
      </c>
      <c r="BH36" s="162">
        <v>1289</v>
      </c>
      <c r="BI36" s="162">
        <v>452</v>
      </c>
      <c r="BJ36" s="162">
        <v>181</v>
      </c>
      <c r="BK36" s="97"/>
      <c r="BL36" s="97"/>
      <c r="BM36" s="97"/>
      <c r="BN36" s="97"/>
    </row>
    <row r="37" spans="1:66" ht="12.75">
      <c r="A37" s="79" t="s">
        <v>641</v>
      </c>
      <c r="B37" s="79" t="s">
        <v>360</v>
      </c>
      <c r="C37" s="79" t="s">
        <v>203</v>
      </c>
      <c r="D37" s="99">
        <v>2522</v>
      </c>
      <c r="E37" s="99">
        <v>246</v>
      </c>
      <c r="F37" s="99" t="s">
        <v>399</v>
      </c>
      <c r="G37" s="99">
        <v>6</v>
      </c>
      <c r="H37" s="99" t="s">
        <v>668</v>
      </c>
      <c r="I37" s="99">
        <v>15</v>
      </c>
      <c r="J37" s="99">
        <v>118</v>
      </c>
      <c r="K37" s="99">
        <v>95</v>
      </c>
      <c r="L37" s="99">
        <v>355</v>
      </c>
      <c r="M37" s="99">
        <v>33</v>
      </c>
      <c r="N37" s="99">
        <v>27</v>
      </c>
      <c r="O37" s="99">
        <v>7</v>
      </c>
      <c r="P37" s="159">
        <v>7</v>
      </c>
      <c r="Q37" s="99" t="s">
        <v>668</v>
      </c>
      <c r="R37" s="99" t="s">
        <v>668</v>
      </c>
      <c r="S37" s="99" t="s">
        <v>668</v>
      </c>
      <c r="T37" s="99" t="s">
        <v>668</v>
      </c>
      <c r="U37" s="99" t="s">
        <v>668</v>
      </c>
      <c r="V37" s="99" t="s">
        <v>668</v>
      </c>
      <c r="W37" s="99">
        <v>12</v>
      </c>
      <c r="X37" s="99">
        <v>13</v>
      </c>
      <c r="Y37" s="99">
        <v>17</v>
      </c>
      <c r="Z37" s="99">
        <v>14</v>
      </c>
      <c r="AA37" s="99" t="s">
        <v>668</v>
      </c>
      <c r="AB37" s="99" t="s">
        <v>668</v>
      </c>
      <c r="AC37" s="99" t="s">
        <v>668</v>
      </c>
      <c r="AD37" s="98" t="s">
        <v>378</v>
      </c>
      <c r="AE37" s="100">
        <v>0.09754163362410785</v>
      </c>
      <c r="AF37" s="100">
        <v>0.38</v>
      </c>
      <c r="AG37" s="98">
        <v>237.9064234734338</v>
      </c>
      <c r="AH37" s="98" t="s">
        <v>668</v>
      </c>
      <c r="AI37" s="100">
        <v>0.006</v>
      </c>
      <c r="AJ37" s="100">
        <v>0.624339</v>
      </c>
      <c r="AK37" s="100">
        <v>0.555556</v>
      </c>
      <c r="AL37" s="100">
        <v>0.682692</v>
      </c>
      <c r="AM37" s="100">
        <v>0.232394</v>
      </c>
      <c r="AN37" s="100">
        <v>0.329268</v>
      </c>
      <c r="AO37" s="98">
        <v>277.5574940523394</v>
      </c>
      <c r="AP37" s="158">
        <v>0.2109420395</v>
      </c>
      <c r="AQ37" s="100" t="s">
        <v>668</v>
      </c>
      <c r="AR37" s="100" t="s">
        <v>668</v>
      </c>
      <c r="AS37" s="98" t="s">
        <v>668</v>
      </c>
      <c r="AT37" s="98" t="s">
        <v>668</v>
      </c>
      <c r="AU37" s="98" t="s">
        <v>668</v>
      </c>
      <c r="AV37" s="98" t="s">
        <v>668</v>
      </c>
      <c r="AW37" s="98">
        <v>475.8128469468676</v>
      </c>
      <c r="AX37" s="98">
        <v>515.4639175257732</v>
      </c>
      <c r="AY37" s="98">
        <v>674.0681998413958</v>
      </c>
      <c r="AZ37" s="98">
        <v>555.1149881046788</v>
      </c>
      <c r="BA37" s="100" t="s">
        <v>668</v>
      </c>
      <c r="BB37" s="100" t="s">
        <v>668</v>
      </c>
      <c r="BC37" s="100" t="s">
        <v>668</v>
      </c>
      <c r="BD37" s="158">
        <v>0.08480963707000001</v>
      </c>
      <c r="BE37" s="158">
        <v>0.4346212006</v>
      </c>
      <c r="BF37" s="162">
        <v>189</v>
      </c>
      <c r="BG37" s="162">
        <v>171</v>
      </c>
      <c r="BH37" s="162">
        <v>520</v>
      </c>
      <c r="BI37" s="162">
        <v>142</v>
      </c>
      <c r="BJ37" s="162">
        <v>82</v>
      </c>
      <c r="BK37" s="97"/>
      <c r="BL37" s="97"/>
      <c r="BM37" s="97"/>
      <c r="BN37" s="97"/>
    </row>
    <row r="38" spans="1:66" ht="12.75">
      <c r="A38" s="79" t="s">
        <v>652</v>
      </c>
      <c r="B38" s="79" t="s">
        <v>371</v>
      </c>
      <c r="C38" s="79" t="s">
        <v>203</v>
      </c>
      <c r="D38" s="99">
        <v>1728</v>
      </c>
      <c r="E38" s="99">
        <v>198</v>
      </c>
      <c r="F38" s="99" t="s">
        <v>399</v>
      </c>
      <c r="G38" s="99">
        <v>15</v>
      </c>
      <c r="H38" s="99" t="s">
        <v>668</v>
      </c>
      <c r="I38" s="99">
        <v>32</v>
      </c>
      <c r="J38" s="99">
        <v>88</v>
      </c>
      <c r="K38" s="99" t="s">
        <v>668</v>
      </c>
      <c r="L38" s="99">
        <v>300</v>
      </c>
      <c r="M38" s="99">
        <v>44</v>
      </c>
      <c r="N38" s="99">
        <v>13</v>
      </c>
      <c r="O38" s="99">
        <v>10</v>
      </c>
      <c r="P38" s="159">
        <v>10</v>
      </c>
      <c r="Q38" s="99" t="s">
        <v>668</v>
      </c>
      <c r="R38" s="99">
        <v>7</v>
      </c>
      <c r="S38" s="99" t="s">
        <v>668</v>
      </c>
      <c r="T38" s="99" t="s">
        <v>668</v>
      </c>
      <c r="U38" s="99" t="s">
        <v>668</v>
      </c>
      <c r="V38" s="99" t="s">
        <v>668</v>
      </c>
      <c r="W38" s="99">
        <v>10</v>
      </c>
      <c r="X38" s="99">
        <v>10</v>
      </c>
      <c r="Y38" s="99">
        <v>21</v>
      </c>
      <c r="Z38" s="99">
        <v>11</v>
      </c>
      <c r="AA38" s="99" t="s">
        <v>668</v>
      </c>
      <c r="AB38" s="99" t="s">
        <v>668</v>
      </c>
      <c r="AC38" s="99" t="s">
        <v>668</v>
      </c>
      <c r="AD38" s="98" t="s">
        <v>378</v>
      </c>
      <c r="AE38" s="100">
        <v>0.11458333333333333</v>
      </c>
      <c r="AF38" s="100">
        <v>0.33</v>
      </c>
      <c r="AG38" s="98">
        <v>868.0555555555555</v>
      </c>
      <c r="AH38" s="98" t="s">
        <v>668</v>
      </c>
      <c r="AI38" s="100">
        <v>0.019</v>
      </c>
      <c r="AJ38" s="100">
        <v>0.567742</v>
      </c>
      <c r="AK38" s="100" t="s">
        <v>668</v>
      </c>
      <c r="AL38" s="100">
        <v>0.731707</v>
      </c>
      <c r="AM38" s="100">
        <v>0.312057</v>
      </c>
      <c r="AN38" s="100">
        <v>0.282609</v>
      </c>
      <c r="AO38" s="98">
        <v>578.7037037037037</v>
      </c>
      <c r="AP38" s="158">
        <v>0.37117954249999996</v>
      </c>
      <c r="AQ38" s="100" t="s">
        <v>668</v>
      </c>
      <c r="AR38" s="100" t="s">
        <v>668</v>
      </c>
      <c r="AS38" s="98" t="s">
        <v>668</v>
      </c>
      <c r="AT38" s="98" t="s">
        <v>668</v>
      </c>
      <c r="AU38" s="98" t="s">
        <v>668</v>
      </c>
      <c r="AV38" s="98" t="s">
        <v>668</v>
      </c>
      <c r="AW38" s="98">
        <v>578.7037037037037</v>
      </c>
      <c r="AX38" s="98">
        <v>578.7037037037037</v>
      </c>
      <c r="AY38" s="98">
        <v>1215.2777777777778</v>
      </c>
      <c r="AZ38" s="98">
        <v>636.574074074074</v>
      </c>
      <c r="BA38" s="100" t="s">
        <v>668</v>
      </c>
      <c r="BB38" s="100" t="s">
        <v>668</v>
      </c>
      <c r="BC38" s="100" t="s">
        <v>668</v>
      </c>
      <c r="BD38" s="158">
        <v>0.1779950142</v>
      </c>
      <c r="BE38" s="158">
        <v>0.682612381</v>
      </c>
      <c r="BF38" s="162">
        <v>155</v>
      </c>
      <c r="BG38" s="162" t="s">
        <v>668</v>
      </c>
      <c r="BH38" s="162">
        <v>410</v>
      </c>
      <c r="BI38" s="162">
        <v>141</v>
      </c>
      <c r="BJ38" s="162">
        <v>46</v>
      </c>
      <c r="BK38" s="97"/>
      <c r="BL38" s="97"/>
      <c r="BM38" s="97"/>
      <c r="BN38" s="97"/>
    </row>
    <row r="39" spans="1:66" ht="12.75">
      <c r="A39" s="79" t="s">
        <v>587</v>
      </c>
      <c r="B39" s="79" t="s">
        <v>304</v>
      </c>
      <c r="C39" s="79" t="s">
        <v>203</v>
      </c>
      <c r="D39" s="99">
        <v>6281</v>
      </c>
      <c r="E39" s="99">
        <v>677</v>
      </c>
      <c r="F39" s="99" t="s">
        <v>399</v>
      </c>
      <c r="G39" s="99">
        <v>20</v>
      </c>
      <c r="H39" s="99">
        <v>23</v>
      </c>
      <c r="I39" s="99">
        <v>79</v>
      </c>
      <c r="J39" s="99">
        <v>349</v>
      </c>
      <c r="K39" s="99">
        <v>342</v>
      </c>
      <c r="L39" s="99">
        <v>1136</v>
      </c>
      <c r="M39" s="99">
        <v>181</v>
      </c>
      <c r="N39" s="99">
        <v>75</v>
      </c>
      <c r="O39" s="99">
        <v>37</v>
      </c>
      <c r="P39" s="159">
        <v>37</v>
      </c>
      <c r="Q39" s="99" t="s">
        <v>668</v>
      </c>
      <c r="R39" s="99">
        <v>22</v>
      </c>
      <c r="S39" s="99">
        <v>23</v>
      </c>
      <c r="T39" s="99" t="s">
        <v>668</v>
      </c>
      <c r="U39" s="99" t="s">
        <v>668</v>
      </c>
      <c r="V39" s="99" t="s">
        <v>668</v>
      </c>
      <c r="W39" s="99">
        <v>45</v>
      </c>
      <c r="X39" s="99">
        <v>30</v>
      </c>
      <c r="Y39" s="99">
        <v>83</v>
      </c>
      <c r="Z39" s="99">
        <v>36</v>
      </c>
      <c r="AA39" s="99" t="s">
        <v>668</v>
      </c>
      <c r="AB39" s="99" t="s">
        <v>668</v>
      </c>
      <c r="AC39" s="99" t="s">
        <v>668</v>
      </c>
      <c r="AD39" s="98" t="s">
        <v>378</v>
      </c>
      <c r="AE39" s="100">
        <v>0.10778538449291514</v>
      </c>
      <c r="AF39" s="100">
        <v>0.3</v>
      </c>
      <c r="AG39" s="98">
        <v>318.420633657061</v>
      </c>
      <c r="AH39" s="98">
        <v>366.1837287056201</v>
      </c>
      <c r="AI39" s="100">
        <v>0.013000000000000001</v>
      </c>
      <c r="AJ39" s="100">
        <v>0.626571</v>
      </c>
      <c r="AK39" s="100">
        <v>0.624088</v>
      </c>
      <c r="AL39" s="100">
        <v>0.788889</v>
      </c>
      <c r="AM39" s="100">
        <v>0.357002</v>
      </c>
      <c r="AN39" s="100">
        <v>0.443787</v>
      </c>
      <c r="AO39" s="98">
        <v>589.0781722655628</v>
      </c>
      <c r="AP39" s="158">
        <v>0.39711269379999997</v>
      </c>
      <c r="AQ39" s="100" t="s">
        <v>668</v>
      </c>
      <c r="AR39" s="100" t="s">
        <v>668</v>
      </c>
      <c r="AS39" s="98">
        <v>366.1837287056201</v>
      </c>
      <c r="AT39" s="98" t="s">
        <v>668</v>
      </c>
      <c r="AU39" s="98" t="s">
        <v>668</v>
      </c>
      <c r="AV39" s="98" t="s">
        <v>668</v>
      </c>
      <c r="AW39" s="98">
        <v>716.4464257283872</v>
      </c>
      <c r="AX39" s="98">
        <v>477.6309504855915</v>
      </c>
      <c r="AY39" s="98">
        <v>1321.445629676803</v>
      </c>
      <c r="AZ39" s="98">
        <v>573.1571405827098</v>
      </c>
      <c r="BA39" s="100" t="s">
        <v>668</v>
      </c>
      <c r="BB39" s="100" t="s">
        <v>668</v>
      </c>
      <c r="BC39" s="100" t="s">
        <v>668</v>
      </c>
      <c r="BD39" s="158">
        <v>0.2796039963</v>
      </c>
      <c r="BE39" s="158">
        <v>0.5473675537</v>
      </c>
      <c r="BF39" s="162">
        <v>557</v>
      </c>
      <c r="BG39" s="162">
        <v>548</v>
      </c>
      <c r="BH39" s="162">
        <v>1440</v>
      </c>
      <c r="BI39" s="162">
        <v>507</v>
      </c>
      <c r="BJ39" s="162">
        <v>169</v>
      </c>
      <c r="BK39" s="97"/>
      <c r="BL39" s="97"/>
      <c r="BM39" s="97"/>
      <c r="BN39" s="97"/>
    </row>
    <row r="40" spans="1:66" ht="12.75">
      <c r="A40" s="79" t="s">
        <v>617</v>
      </c>
      <c r="B40" s="79" t="s">
        <v>336</v>
      </c>
      <c r="C40" s="79" t="s">
        <v>203</v>
      </c>
      <c r="D40" s="99">
        <v>3396</v>
      </c>
      <c r="E40" s="99">
        <v>325</v>
      </c>
      <c r="F40" s="99" t="s">
        <v>401</v>
      </c>
      <c r="G40" s="99">
        <v>12</v>
      </c>
      <c r="H40" s="99" t="s">
        <v>668</v>
      </c>
      <c r="I40" s="99">
        <v>54</v>
      </c>
      <c r="J40" s="99">
        <v>179</v>
      </c>
      <c r="K40" s="99">
        <v>14</v>
      </c>
      <c r="L40" s="99">
        <v>790</v>
      </c>
      <c r="M40" s="99">
        <v>66</v>
      </c>
      <c r="N40" s="99">
        <v>50</v>
      </c>
      <c r="O40" s="99">
        <v>52</v>
      </c>
      <c r="P40" s="159">
        <v>52</v>
      </c>
      <c r="Q40" s="99" t="s">
        <v>668</v>
      </c>
      <c r="R40" s="99" t="s">
        <v>668</v>
      </c>
      <c r="S40" s="99">
        <v>16</v>
      </c>
      <c r="T40" s="99">
        <v>8</v>
      </c>
      <c r="U40" s="99" t="s">
        <v>668</v>
      </c>
      <c r="V40" s="99">
        <v>17</v>
      </c>
      <c r="W40" s="99">
        <v>21</v>
      </c>
      <c r="X40" s="99">
        <v>17</v>
      </c>
      <c r="Y40" s="99">
        <v>34</v>
      </c>
      <c r="Z40" s="99">
        <v>12</v>
      </c>
      <c r="AA40" s="99" t="s">
        <v>668</v>
      </c>
      <c r="AB40" s="99" t="s">
        <v>668</v>
      </c>
      <c r="AC40" s="99" t="s">
        <v>668</v>
      </c>
      <c r="AD40" s="98" t="s">
        <v>378</v>
      </c>
      <c r="AE40" s="100">
        <v>0.09570082449941107</v>
      </c>
      <c r="AF40" s="100">
        <v>0.15</v>
      </c>
      <c r="AG40" s="98">
        <v>353.35689045936397</v>
      </c>
      <c r="AH40" s="98" t="s">
        <v>668</v>
      </c>
      <c r="AI40" s="100">
        <v>0.016</v>
      </c>
      <c r="AJ40" s="100">
        <v>0.696498</v>
      </c>
      <c r="AK40" s="100">
        <v>0.777778</v>
      </c>
      <c r="AL40" s="100">
        <v>0.788423</v>
      </c>
      <c r="AM40" s="100">
        <v>0.280851</v>
      </c>
      <c r="AN40" s="100">
        <v>0.434783</v>
      </c>
      <c r="AO40" s="98">
        <v>1531.2131919905771</v>
      </c>
      <c r="AP40" s="158">
        <v>1.020741348</v>
      </c>
      <c r="AQ40" s="100" t="s">
        <v>668</v>
      </c>
      <c r="AR40" s="100" t="s">
        <v>668</v>
      </c>
      <c r="AS40" s="98">
        <v>471.14252061248527</v>
      </c>
      <c r="AT40" s="98">
        <v>235.57126030624264</v>
      </c>
      <c r="AU40" s="98" t="s">
        <v>668</v>
      </c>
      <c r="AV40" s="98">
        <v>500.5889281507656</v>
      </c>
      <c r="AW40" s="98">
        <v>618.3745583038869</v>
      </c>
      <c r="AX40" s="98">
        <v>500.5889281507656</v>
      </c>
      <c r="AY40" s="98">
        <v>1001.1778563015312</v>
      </c>
      <c r="AZ40" s="98">
        <v>353.35689045936397</v>
      </c>
      <c r="BA40" s="100" t="s">
        <v>668</v>
      </c>
      <c r="BB40" s="100" t="s">
        <v>668</v>
      </c>
      <c r="BC40" s="100" t="s">
        <v>668</v>
      </c>
      <c r="BD40" s="158">
        <v>0.7623384857000001</v>
      </c>
      <c r="BE40" s="158">
        <v>1.338566437</v>
      </c>
      <c r="BF40" s="162">
        <v>257</v>
      </c>
      <c r="BG40" s="162">
        <v>18</v>
      </c>
      <c r="BH40" s="162">
        <v>1002</v>
      </c>
      <c r="BI40" s="162">
        <v>235</v>
      </c>
      <c r="BJ40" s="162">
        <v>115</v>
      </c>
      <c r="BK40" s="97"/>
      <c r="BL40" s="97"/>
      <c r="BM40" s="97"/>
      <c r="BN40" s="97"/>
    </row>
    <row r="41" spans="1:66" ht="12.75">
      <c r="A41" s="79" t="s">
        <v>656</v>
      </c>
      <c r="B41" s="79" t="s">
        <v>375</v>
      </c>
      <c r="C41" s="79" t="s">
        <v>203</v>
      </c>
      <c r="D41" s="99">
        <v>2498</v>
      </c>
      <c r="E41" s="99">
        <v>153</v>
      </c>
      <c r="F41" s="99" t="s">
        <v>399</v>
      </c>
      <c r="G41" s="99">
        <v>7</v>
      </c>
      <c r="H41" s="99" t="s">
        <v>668</v>
      </c>
      <c r="I41" s="99">
        <v>27</v>
      </c>
      <c r="J41" s="99">
        <v>67</v>
      </c>
      <c r="K41" s="99">
        <v>45</v>
      </c>
      <c r="L41" s="99">
        <v>243</v>
      </c>
      <c r="M41" s="99">
        <v>18</v>
      </c>
      <c r="N41" s="99">
        <v>18</v>
      </c>
      <c r="O41" s="99">
        <v>7</v>
      </c>
      <c r="P41" s="159">
        <v>7</v>
      </c>
      <c r="Q41" s="99" t="s">
        <v>668</v>
      </c>
      <c r="R41" s="99" t="s">
        <v>668</v>
      </c>
      <c r="S41" s="99" t="s">
        <v>668</v>
      </c>
      <c r="T41" s="99" t="s">
        <v>668</v>
      </c>
      <c r="U41" s="99" t="s">
        <v>668</v>
      </c>
      <c r="V41" s="99" t="s">
        <v>668</v>
      </c>
      <c r="W41" s="99">
        <v>10</v>
      </c>
      <c r="X41" s="99" t="s">
        <v>668</v>
      </c>
      <c r="Y41" s="99">
        <v>16</v>
      </c>
      <c r="Z41" s="99" t="s">
        <v>668</v>
      </c>
      <c r="AA41" s="99" t="s">
        <v>668</v>
      </c>
      <c r="AB41" s="99" t="s">
        <v>668</v>
      </c>
      <c r="AC41" s="99" t="s">
        <v>668</v>
      </c>
      <c r="AD41" s="98" t="s">
        <v>378</v>
      </c>
      <c r="AE41" s="100">
        <v>0.061248999199359486</v>
      </c>
      <c r="AF41" s="100">
        <v>0.29</v>
      </c>
      <c r="AG41" s="98">
        <v>280.22417934347476</v>
      </c>
      <c r="AH41" s="98" t="s">
        <v>668</v>
      </c>
      <c r="AI41" s="100">
        <v>0.011000000000000001</v>
      </c>
      <c r="AJ41" s="100">
        <v>0.567797</v>
      </c>
      <c r="AK41" s="100">
        <v>0.529412</v>
      </c>
      <c r="AL41" s="100">
        <v>0.532895</v>
      </c>
      <c r="AM41" s="100">
        <v>0.169811</v>
      </c>
      <c r="AN41" s="100">
        <v>0.327273</v>
      </c>
      <c r="AO41" s="98">
        <v>280.22417934347476</v>
      </c>
      <c r="AP41" s="158">
        <v>0.2529856682</v>
      </c>
      <c r="AQ41" s="100" t="s">
        <v>668</v>
      </c>
      <c r="AR41" s="100" t="s">
        <v>668</v>
      </c>
      <c r="AS41" s="98" t="s">
        <v>668</v>
      </c>
      <c r="AT41" s="98" t="s">
        <v>668</v>
      </c>
      <c r="AU41" s="98" t="s">
        <v>668</v>
      </c>
      <c r="AV41" s="98" t="s">
        <v>668</v>
      </c>
      <c r="AW41" s="98">
        <v>400.320256204964</v>
      </c>
      <c r="AX41" s="98" t="s">
        <v>668</v>
      </c>
      <c r="AY41" s="98">
        <v>640.5124099279424</v>
      </c>
      <c r="AZ41" s="98" t="s">
        <v>668</v>
      </c>
      <c r="BA41" s="100" t="s">
        <v>668</v>
      </c>
      <c r="BB41" s="100" t="s">
        <v>668</v>
      </c>
      <c r="BC41" s="100" t="s">
        <v>668</v>
      </c>
      <c r="BD41" s="158">
        <v>0.1017133617</v>
      </c>
      <c r="BE41" s="158">
        <v>0.5212471771</v>
      </c>
      <c r="BF41" s="162">
        <v>118</v>
      </c>
      <c r="BG41" s="162">
        <v>85</v>
      </c>
      <c r="BH41" s="162">
        <v>456</v>
      </c>
      <c r="BI41" s="162">
        <v>106</v>
      </c>
      <c r="BJ41" s="162">
        <v>55</v>
      </c>
      <c r="BK41" s="97"/>
      <c r="BL41" s="97"/>
      <c r="BM41" s="97"/>
      <c r="BN41" s="97"/>
    </row>
    <row r="42" spans="1:66" ht="12.75">
      <c r="A42" s="79" t="s">
        <v>628</v>
      </c>
      <c r="B42" s="79" t="s">
        <v>347</v>
      </c>
      <c r="C42" s="79" t="s">
        <v>203</v>
      </c>
      <c r="D42" s="99">
        <v>1587</v>
      </c>
      <c r="E42" s="99">
        <v>217</v>
      </c>
      <c r="F42" s="99" t="s">
        <v>399</v>
      </c>
      <c r="G42" s="99">
        <v>9</v>
      </c>
      <c r="H42" s="99" t="s">
        <v>668</v>
      </c>
      <c r="I42" s="99">
        <v>19</v>
      </c>
      <c r="J42" s="99">
        <v>96</v>
      </c>
      <c r="K42" s="99" t="s">
        <v>668</v>
      </c>
      <c r="L42" s="99">
        <v>258</v>
      </c>
      <c r="M42" s="99">
        <v>39</v>
      </c>
      <c r="N42" s="99">
        <v>34</v>
      </c>
      <c r="O42" s="99" t="s">
        <v>668</v>
      </c>
      <c r="P42" s="159" t="s">
        <v>668</v>
      </c>
      <c r="Q42" s="99" t="s">
        <v>668</v>
      </c>
      <c r="R42" s="99">
        <v>8</v>
      </c>
      <c r="S42" s="99" t="s">
        <v>668</v>
      </c>
      <c r="T42" s="99" t="s">
        <v>668</v>
      </c>
      <c r="U42" s="99" t="s">
        <v>668</v>
      </c>
      <c r="V42" s="99" t="s">
        <v>668</v>
      </c>
      <c r="W42" s="99">
        <v>7</v>
      </c>
      <c r="X42" s="99">
        <v>7</v>
      </c>
      <c r="Y42" s="99">
        <v>13</v>
      </c>
      <c r="Z42" s="99">
        <v>7</v>
      </c>
      <c r="AA42" s="99" t="s">
        <v>668</v>
      </c>
      <c r="AB42" s="99" t="s">
        <v>668</v>
      </c>
      <c r="AC42" s="99" t="s">
        <v>668</v>
      </c>
      <c r="AD42" s="98" t="s">
        <v>378</v>
      </c>
      <c r="AE42" s="100">
        <v>0.13673597983616886</v>
      </c>
      <c r="AF42" s="100">
        <v>0.24</v>
      </c>
      <c r="AG42" s="98">
        <v>567.1077504725898</v>
      </c>
      <c r="AH42" s="98" t="s">
        <v>668</v>
      </c>
      <c r="AI42" s="100">
        <v>0.012</v>
      </c>
      <c r="AJ42" s="100">
        <v>0.623377</v>
      </c>
      <c r="AK42" s="100" t="s">
        <v>668</v>
      </c>
      <c r="AL42" s="100">
        <v>0.710744</v>
      </c>
      <c r="AM42" s="100">
        <v>0.268966</v>
      </c>
      <c r="AN42" s="100">
        <v>0.414634</v>
      </c>
      <c r="AO42" s="98" t="s">
        <v>668</v>
      </c>
      <c r="AP42" s="158" t="s">
        <v>668</v>
      </c>
      <c r="AQ42" s="100" t="s">
        <v>668</v>
      </c>
      <c r="AR42" s="100" t="s">
        <v>668</v>
      </c>
      <c r="AS42" s="98" t="s">
        <v>668</v>
      </c>
      <c r="AT42" s="98" t="s">
        <v>668</v>
      </c>
      <c r="AU42" s="98" t="s">
        <v>668</v>
      </c>
      <c r="AV42" s="98" t="s">
        <v>668</v>
      </c>
      <c r="AW42" s="98">
        <v>441.0838059231254</v>
      </c>
      <c r="AX42" s="98">
        <v>441.0838059231254</v>
      </c>
      <c r="AY42" s="98">
        <v>819.1556395715186</v>
      </c>
      <c r="AZ42" s="98">
        <v>441.0838059231254</v>
      </c>
      <c r="BA42" s="100" t="s">
        <v>668</v>
      </c>
      <c r="BB42" s="100" t="s">
        <v>668</v>
      </c>
      <c r="BC42" s="100" t="s">
        <v>668</v>
      </c>
      <c r="BD42" s="158" t="s">
        <v>668</v>
      </c>
      <c r="BE42" s="158" t="s">
        <v>668</v>
      </c>
      <c r="BF42" s="162">
        <v>154</v>
      </c>
      <c r="BG42" s="162" t="s">
        <v>668</v>
      </c>
      <c r="BH42" s="162">
        <v>363</v>
      </c>
      <c r="BI42" s="162">
        <v>145</v>
      </c>
      <c r="BJ42" s="162">
        <v>82</v>
      </c>
      <c r="BK42" s="97"/>
      <c r="BL42" s="97"/>
      <c r="BM42" s="97"/>
      <c r="BN42" s="97"/>
    </row>
    <row r="43" spans="1:66" ht="12.75">
      <c r="A43" s="79" t="s">
        <v>599</v>
      </c>
      <c r="B43" s="79" t="s">
        <v>317</v>
      </c>
      <c r="C43" s="79" t="s">
        <v>203</v>
      </c>
      <c r="D43" s="99">
        <v>5110</v>
      </c>
      <c r="E43" s="99">
        <v>973</v>
      </c>
      <c r="F43" s="99" t="s">
        <v>399</v>
      </c>
      <c r="G43" s="99">
        <v>24</v>
      </c>
      <c r="H43" s="99">
        <v>13</v>
      </c>
      <c r="I43" s="99">
        <v>54</v>
      </c>
      <c r="J43" s="99">
        <v>413</v>
      </c>
      <c r="K43" s="99">
        <v>410</v>
      </c>
      <c r="L43" s="99">
        <v>811</v>
      </c>
      <c r="M43" s="99">
        <v>245</v>
      </c>
      <c r="N43" s="99">
        <v>110</v>
      </c>
      <c r="O43" s="99">
        <v>36</v>
      </c>
      <c r="P43" s="159">
        <v>36</v>
      </c>
      <c r="Q43" s="99">
        <v>8</v>
      </c>
      <c r="R43" s="99">
        <v>27</v>
      </c>
      <c r="S43" s="99">
        <v>6</v>
      </c>
      <c r="T43" s="99">
        <v>12</v>
      </c>
      <c r="U43" s="99" t="s">
        <v>668</v>
      </c>
      <c r="V43" s="99" t="s">
        <v>668</v>
      </c>
      <c r="W43" s="99">
        <v>44</v>
      </c>
      <c r="X43" s="99">
        <v>36</v>
      </c>
      <c r="Y43" s="99">
        <v>54</v>
      </c>
      <c r="Z43" s="99">
        <v>45</v>
      </c>
      <c r="AA43" s="99" t="s">
        <v>668</v>
      </c>
      <c r="AB43" s="99" t="s">
        <v>668</v>
      </c>
      <c r="AC43" s="99" t="s">
        <v>668</v>
      </c>
      <c r="AD43" s="98" t="s">
        <v>378</v>
      </c>
      <c r="AE43" s="100">
        <v>0.19041095890410958</v>
      </c>
      <c r="AF43" s="100">
        <v>0.29</v>
      </c>
      <c r="AG43" s="98">
        <v>469.6673189823875</v>
      </c>
      <c r="AH43" s="98">
        <v>254.40313111545987</v>
      </c>
      <c r="AI43" s="100">
        <v>0.011000000000000001</v>
      </c>
      <c r="AJ43" s="100">
        <v>0.672638</v>
      </c>
      <c r="AK43" s="100">
        <v>0.679934</v>
      </c>
      <c r="AL43" s="100">
        <v>0.698536</v>
      </c>
      <c r="AM43" s="100">
        <v>0.415959</v>
      </c>
      <c r="AN43" s="100">
        <v>0.493274</v>
      </c>
      <c r="AO43" s="98">
        <v>704.5009784735812</v>
      </c>
      <c r="AP43" s="158">
        <v>0.3630533981</v>
      </c>
      <c r="AQ43" s="100">
        <v>0.2222222222222222</v>
      </c>
      <c r="AR43" s="100">
        <v>0.2962962962962963</v>
      </c>
      <c r="AS43" s="98">
        <v>117.41682974559687</v>
      </c>
      <c r="AT43" s="98">
        <v>234.83365949119374</v>
      </c>
      <c r="AU43" s="98" t="s">
        <v>668</v>
      </c>
      <c r="AV43" s="98" t="s">
        <v>668</v>
      </c>
      <c r="AW43" s="98">
        <v>861.0567514677103</v>
      </c>
      <c r="AX43" s="98">
        <v>704.5009784735812</v>
      </c>
      <c r="AY43" s="98">
        <v>1056.7514677103718</v>
      </c>
      <c r="AZ43" s="98">
        <v>880.6262230919765</v>
      </c>
      <c r="BA43" s="100" t="s">
        <v>668</v>
      </c>
      <c r="BB43" s="100" t="s">
        <v>668</v>
      </c>
      <c r="BC43" s="100" t="s">
        <v>668</v>
      </c>
      <c r="BD43" s="158">
        <v>0.25427812580000003</v>
      </c>
      <c r="BE43" s="158">
        <v>0.5026189423</v>
      </c>
      <c r="BF43" s="162">
        <v>614</v>
      </c>
      <c r="BG43" s="162">
        <v>603</v>
      </c>
      <c r="BH43" s="162">
        <v>1161</v>
      </c>
      <c r="BI43" s="162">
        <v>589</v>
      </c>
      <c r="BJ43" s="162">
        <v>223</v>
      </c>
      <c r="BK43" s="97"/>
      <c r="BL43" s="97"/>
      <c r="BM43" s="97"/>
      <c r="BN43" s="97"/>
    </row>
    <row r="44" spans="1:66" ht="12.75">
      <c r="A44" s="79" t="s">
        <v>632</v>
      </c>
      <c r="B44" s="79" t="s">
        <v>351</v>
      </c>
      <c r="C44" s="79" t="s">
        <v>203</v>
      </c>
      <c r="D44" s="99">
        <v>2239</v>
      </c>
      <c r="E44" s="99">
        <v>182</v>
      </c>
      <c r="F44" s="99" t="s">
        <v>398</v>
      </c>
      <c r="G44" s="99" t="s">
        <v>668</v>
      </c>
      <c r="H44" s="99" t="s">
        <v>668</v>
      </c>
      <c r="I44" s="99">
        <v>10</v>
      </c>
      <c r="J44" s="99">
        <v>91</v>
      </c>
      <c r="K44" s="99">
        <v>14</v>
      </c>
      <c r="L44" s="99">
        <v>325</v>
      </c>
      <c r="M44" s="99">
        <v>26</v>
      </c>
      <c r="N44" s="99">
        <v>23</v>
      </c>
      <c r="O44" s="99">
        <v>14</v>
      </c>
      <c r="P44" s="159">
        <v>14</v>
      </c>
      <c r="Q44" s="99" t="s">
        <v>668</v>
      </c>
      <c r="R44" s="99" t="s">
        <v>668</v>
      </c>
      <c r="S44" s="99" t="s">
        <v>668</v>
      </c>
      <c r="T44" s="99" t="s">
        <v>668</v>
      </c>
      <c r="U44" s="99" t="s">
        <v>668</v>
      </c>
      <c r="V44" s="99" t="s">
        <v>668</v>
      </c>
      <c r="W44" s="99" t="s">
        <v>668</v>
      </c>
      <c r="X44" s="99">
        <v>6</v>
      </c>
      <c r="Y44" s="99">
        <v>12</v>
      </c>
      <c r="Z44" s="99">
        <v>7</v>
      </c>
      <c r="AA44" s="99" t="s">
        <v>668</v>
      </c>
      <c r="AB44" s="99" t="s">
        <v>668</v>
      </c>
      <c r="AC44" s="99" t="s">
        <v>668</v>
      </c>
      <c r="AD44" s="98" t="s">
        <v>378</v>
      </c>
      <c r="AE44" s="100">
        <v>0.08128628852166146</v>
      </c>
      <c r="AF44" s="100">
        <v>0.18</v>
      </c>
      <c r="AG44" s="98" t="s">
        <v>668</v>
      </c>
      <c r="AH44" s="98" t="s">
        <v>668</v>
      </c>
      <c r="AI44" s="100">
        <v>0.004</v>
      </c>
      <c r="AJ44" s="100">
        <v>0.579618</v>
      </c>
      <c r="AK44" s="100">
        <v>0.636364</v>
      </c>
      <c r="AL44" s="100">
        <v>0.64741</v>
      </c>
      <c r="AM44" s="100">
        <v>0.208</v>
      </c>
      <c r="AN44" s="100">
        <v>0.353846</v>
      </c>
      <c r="AO44" s="98">
        <v>625.2791424743189</v>
      </c>
      <c r="AP44" s="158">
        <v>0.4870212936</v>
      </c>
      <c r="AQ44" s="100" t="s">
        <v>668</v>
      </c>
      <c r="AR44" s="100" t="s">
        <v>668</v>
      </c>
      <c r="AS44" s="98" t="s">
        <v>668</v>
      </c>
      <c r="AT44" s="98" t="s">
        <v>668</v>
      </c>
      <c r="AU44" s="98" t="s">
        <v>668</v>
      </c>
      <c r="AV44" s="98" t="s">
        <v>668</v>
      </c>
      <c r="AW44" s="98" t="s">
        <v>668</v>
      </c>
      <c r="AX44" s="98">
        <v>267.97677534613666</v>
      </c>
      <c r="AY44" s="98">
        <v>535.9535506922733</v>
      </c>
      <c r="AZ44" s="98">
        <v>312.63957123715943</v>
      </c>
      <c r="BA44" s="100" t="s">
        <v>668</v>
      </c>
      <c r="BB44" s="100" t="s">
        <v>668</v>
      </c>
      <c r="BC44" s="100" t="s">
        <v>668</v>
      </c>
      <c r="BD44" s="158">
        <v>0.2662590599</v>
      </c>
      <c r="BE44" s="158">
        <v>0.8171389770999999</v>
      </c>
      <c r="BF44" s="162">
        <v>157</v>
      </c>
      <c r="BG44" s="162">
        <v>22</v>
      </c>
      <c r="BH44" s="162">
        <v>502</v>
      </c>
      <c r="BI44" s="162">
        <v>125</v>
      </c>
      <c r="BJ44" s="162">
        <v>65</v>
      </c>
      <c r="BK44" s="97"/>
      <c r="BL44" s="97"/>
      <c r="BM44" s="97"/>
      <c r="BN44" s="97"/>
    </row>
    <row r="45" spans="1:66" ht="12.75">
      <c r="A45" s="79" t="s">
        <v>566</v>
      </c>
      <c r="B45" s="79" t="s">
        <v>283</v>
      </c>
      <c r="C45" s="79" t="s">
        <v>203</v>
      </c>
      <c r="D45" s="99">
        <v>8393</v>
      </c>
      <c r="E45" s="99">
        <v>805</v>
      </c>
      <c r="F45" s="99" t="s">
        <v>399</v>
      </c>
      <c r="G45" s="99">
        <v>43</v>
      </c>
      <c r="H45" s="99">
        <v>23</v>
      </c>
      <c r="I45" s="99">
        <v>81</v>
      </c>
      <c r="J45" s="99">
        <v>438</v>
      </c>
      <c r="K45" s="99">
        <v>12</v>
      </c>
      <c r="L45" s="99">
        <v>1404</v>
      </c>
      <c r="M45" s="99">
        <v>236</v>
      </c>
      <c r="N45" s="99">
        <v>104</v>
      </c>
      <c r="O45" s="99">
        <v>131</v>
      </c>
      <c r="P45" s="159">
        <v>131</v>
      </c>
      <c r="Q45" s="99">
        <v>13</v>
      </c>
      <c r="R45" s="99">
        <v>28</v>
      </c>
      <c r="S45" s="99">
        <v>25</v>
      </c>
      <c r="T45" s="99">
        <v>20</v>
      </c>
      <c r="U45" s="99">
        <v>7</v>
      </c>
      <c r="V45" s="99">
        <v>23</v>
      </c>
      <c r="W45" s="99">
        <v>43</v>
      </c>
      <c r="X45" s="99">
        <v>33</v>
      </c>
      <c r="Y45" s="99">
        <v>97</v>
      </c>
      <c r="Z45" s="99">
        <v>59</v>
      </c>
      <c r="AA45" s="99" t="s">
        <v>668</v>
      </c>
      <c r="AB45" s="99" t="s">
        <v>668</v>
      </c>
      <c r="AC45" s="99" t="s">
        <v>668</v>
      </c>
      <c r="AD45" s="98" t="s">
        <v>378</v>
      </c>
      <c r="AE45" s="100">
        <v>0.09591326105087573</v>
      </c>
      <c r="AF45" s="100">
        <v>0.36</v>
      </c>
      <c r="AG45" s="98">
        <v>512.3317049922555</v>
      </c>
      <c r="AH45" s="98">
        <v>274.0378887167878</v>
      </c>
      <c r="AI45" s="100">
        <v>0.01</v>
      </c>
      <c r="AJ45" s="100">
        <v>0.583222</v>
      </c>
      <c r="AK45" s="100">
        <v>0.521739</v>
      </c>
      <c r="AL45" s="100">
        <v>0.675325</v>
      </c>
      <c r="AM45" s="100">
        <v>0.340058</v>
      </c>
      <c r="AN45" s="100">
        <v>0.393939</v>
      </c>
      <c r="AO45" s="98">
        <v>1560.824496604313</v>
      </c>
      <c r="AP45" s="158">
        <v>1.084466019</v>
      </c>
      <c r="AQ45" s="100">
        <v>0.09923664122137404</v>
      </c>
      <c r="AR45" s="100">
        <v>0.4642857142857143</v>
      </c>
      <c r="AS45" s="98">
        <v>297.86727034433454</v>
      </c>
      <c r="AT45" s="98">
        <v>238.29381627546766</v>
      </c>
      <c r="AU45" s="98">
        <v>83.40283569641367</v>
      </c>
      <c r="AV45" s="98">
        <v>274.0378887167878</v>
      </c>
      <c r="AW45" s="98">
        <v>512.3317049922555</v>
      </c>
      <c r="AX45" s="98">
        <v>393.1847968545216</v>
      </c>
      <c r="AY45" s="98">
        <v>1155.7250089360182</v>
      </c>
      <c r="AZ45" s="98">
        <v>702.9667580126296</v>
      </c>
      <c r="BA45" s="100" t="s">
        <v>668</v>
      </c>
      <c r="BB45" s="100" t="s">
        <v>668</v>
      </c>
      <c r="BC45" s="100" t="s">
        <v>668</v>
      </c>
      <c r="BD45" s="158">
        <v>0.9067196654999999</v>
      </c>
      <c r="BE45" s="158">
        <v>1.286871796</v>
      </c>
      <c r="BF45" s="162">
        <v>751</v>
      </c>
      <c r="BG45" s="162">
        <v>23</v>
      </c>
      <c r="BH45" s="162">
        <v>2079</v>
      </c>
      <c r="BI45" s="162">
        <v>694</v>
      </c>
      <c r="BJ45" s="162">
        <v>264</v>
      </c>
      <c r="BK45" s="97"/>
      <c r="BL45" s="97"/>
      <c r="BM45" s="97"/>
      <c r="BN45" s="97"/>
    </row>
    <row r="46" spans="1:66" ht="12.75">
      <c r="A46" s="79" t="s">
        <v>595</v>
      </c>
      <c r="B46" s="79" t="s">
        <v>313</v>
      </c>
      <c r="C46" s="79" t="s">
        <v>203</v>
      </c>
      <c r="D46" s="99">
        <v>7503</v>
      </c>
      <c r="E46" s="99">
        <v>957</v>
      </c>
      <c r="F46" s="99" t="s">
        <v>399</v>
      </c>
      <c r="G46" s="99">
        <v>44</v>
      </c>
      <c r="H46" s="99">
        <v>16</v>
      </c>
      <c r="I46" s="99">
        <v>101</v>
      </c>
      <c r="J46" s="99">
        <v>481</v>
      </c>
      <c r="K46" s="99">
        <v>10</v>
      </c>
      <c r="L46" s="99">
        <v>1288</v>
      </c>
      <c r="M46" s="99">
        <v>241</v>
      </c>
      <c r="N46" s="99">
        <v>106</v>
      </c>
      <c r="O46" s="99">
        <v>122</v>
      </c>
      <c r="P46" s="159">
        <v>122</v>
      </c>
      <c r="Q46" s="99">
        <v>10</v>
      </c>
      <c r="R46" s="99">
        <v>21</v>
      </c>
      <c r="S46" s="99">
        <v>17</v>
      </c>
      <c r="T46" s="99">
        <v>12</v>
      </c>
      <c r="U46" s="99">
        <v>7</v>
      </c>
      <c r="V46" s="99">
        <v>36</v>
      </c>
      <c r="W46" s="99">
        <v>46</v>
      </c>
      <c r="X46" s="99">
        <v>33</v>
      </c>
      <c r="Y46" s="99">
        <v>84</v>
      </c>
      <c r="Z46" s="99">
        <v>48</v>
      </c>
      <c r="AA46" s="99" t="s">
        <v>668</v>
      </c>
      <c r="AB46" s="99" t="s">
        <v>668</v>
      </c>
      <c r="AC46" s="99" t="s">
        <v>668</v>
      </c>
      <c r="AD46" s="98" t="s">
        <v>378</v>
      </c>
      <c r="AE46" s="100">
        <v>0.12754898040783685</v>
      </c>
      <c r="AF46" s="100">
        <v>0.3</v>
      </c>
      <c r="AG46" s="98">
        <v>586.432093829135</v>
      </c>
      <c r="AH46" s="98">
        <v>213.24803411968546</v>
      </c>
      <c r="AI46" s="100">
        <v>0.013000000000000001</v>
      </c>
      <c r="AJ46" s="100">
        <v>0.657104</v>
      </c>
      <c r="AK46" s="100">
        <v>0.526316</v>
      </c>
      <c r="AL46" s="100">
        <v>0.700762</v>
      </c>
      <c r="AM46" s="100">
        <v>0.401667</v>
      </c>
      <c r="AN46" s="100">
        <v>0.486239</v>
      </c>
      <c r="AO46" s="98">
        <v>1626.0162601626016</v>
      </c>
      <c r="AP46" s="158">
        <v>1.015771561</v>
      </c>
      <c r="AQ46" s="100">
        <v>0.08196721311475409</v>
      </c>
      <c r="AR46" s="100">
        <v>0.47619047619047616</v>
      </c>
      <c r="AS46" s="98">
        <v>226.5760362521658</v>
      </c>
      <c r="AT46" s="98">
        <v>159.93602558976409</v>
      </c>
      <c r="AU46" s="98">
        <v>93.29601492736239</v>
      </c>
      <c r="AV46" s="98">
        <v>479.80807676929226</v>
      </c>
      <c r="AW46" s="98">
        <v>613.0880980940957</v>
      </c>
      <c r="AX46" s="98">
        <v>439.82407037185123</v>
      </c>
      <c r="AY46" s="98">
        <v>1119.5521791283486</v>
      </c>
      <c r="AZ46" s="98">
        <v>639.7441023590563</v>
      </c>
      <c r="BA46" s="100" t="s">
        <v>668</v>
      </c>
      <c r="BB46" s="100" t="s">
        <v>668</v>
      </c>
      <c r="BC46" s="100" t="s">
        <v>668</v>
      </c>
      <c r="BD46" s="158">
        <v>0.8435369110000001</v>
      </c>
      <c r="BE46" s="158">
        <v>1.212832642</v>
      </c>
      <c r="BF46" s="162">
        <v>732</v>
      </c>
      <c r="BG46" s="162">
        <v>19</v>
      </c>
      <c r="BH46" s="162">
        <v>1838</v>
      </c>
      <c r="BI46" s="162">
        <v>600</v>
      </c>
      <c r="BJ46" s="162">
        <v>218</v>
      </c>
      <c r="BK46" s="97"/>
      <c r="BL46" s="97"/>
      <c r="BM46" s="97"/>
      <c r="BN46" s="97"/>
    </row>
    <row r="47" spans="1:66" ht="12.75">
      <c r="A47" s="79" t="s">
        <v>584</v>
      </c>
      <c r="B47" s="79" t="s">
        <v>301</v>
      </c>
      <c r="C47" s="79" t="s">
        <v>203</v>
      </c>
      <c r="D47" s="99">
        <v>8544</v>
      </c>
      <c r="E47" s="99">
        <v>1200</v>
      </c>
      <c r="F47" s="99" t="s">
        <v>399</v>
      </c>
      <c r="G47" s="99">
        <v>42</v>
      </c>
      <c r="H47" s="99">
        <v>27</v>
      </c>
      <c r="I47" s="99">
        <v>114</v>
      </c>
      <c r="J47" s="99">
        <v>451</v>
      </c>
      <c r="K47" s="99">
        <v>10</v>
      </c>
      <c r="L47" s="99">
        <v>1423</v>
      </c>
      <c r="M47" s="99">
        <v>168</v>
      </c>
      <c r="N47" s="99">
        <v>137</v>
      </c>
      <c r="O47" s="99">
        <v>146</v>
      </c>
      <c r="P47" s="159">
        <v>146</v>
      </c>
      <c r="Q47" s="99">
        <v>14</v>
      </c>
      <c r="R47" s="99">
        <v>33</v>
      </c>
      <c r="S47" s="99">
        <v>50</v>
      </c>
      <c r="T47" s="99">
        <v>20</v>
      </c>
      <c r="U47" s="99">
        <v>6</v>
      </c>
      <c r="V47" s="99">
        <v>17</v>
      </c>
      <c r="W47" s="99">
        <v>33</v>
      </c>
      <c r="X47" s="99">
        <v>45</v>
      </c>
      <c r="Y47" s="99">
        <v>86</v>
      </c>
      <c r="Z47" s="99">
        <v>68</v>
      </c>
      <c r="AA47" s="99" t="s">
        <v>668</v>
      </c>
      <c r="AB47" s="99" t="s">
        <v>668</v>
      </c>
      <c r="AC47" s="99" t="s">
        <v>668</v>
      </c>
      <c r="AD47" s="98" t="s">
        <v>378</v>
      </c>
      <c r="AE47" s="100">
        <v>0.1404494382022472</v>
      </c>
      <c r="AF47" s="100">
        <v>0.31</v>
      </c>
      <c r="AG47" s="98">
        <v>491.5730337078652</v>
      </c>
      <c r="AH47" s="98">
        <v>316.0112359550562</v>
      </c>
      <c r="AI47" s="100">
        <v>0.013000000000000001</v>
      </c>
      <c r="AJ47" s="100">
        <v>0.598938</v>
      </c>
      <c r="AK47" s="100">
        <v>0.37037</v>
      </c>
      <c r="AL47" s="100">
        <v>0.686776</v>
      </c>
      <c r="AM47" s="100">
        <v>0.256881</v>
      </c>
      <c r="AN47" s="100">
        <v>0.415152</v>
      </c>
      <c r="AO47" s="98">
        <v>1708.801498127341</v>
      </c>
      <c r="AP47" s="158">
        <v>1.055960617</v>
      </c>
      <c r="AQ47" s="100">
        <v>0.0958904109589041</v>
      </c>
      <c r="AR47" s="100">
        <v>0.42424242424242425</v>
      </c>
      <c r="AS47" s="98">
        <v>585.2059925093633</v>
      </c>
      <c r="AT47" s="98">
        <v>234.0823970037453</v>
      </c>
      <c r="AU47" s="98">
        <v>70.2247191011236</v>
      </c>
      <c r="AV47" s="98">
        <v>198.97003745318352</v>
      </c>
      <c r="AW47" s="98">
        <v>386.23595505617976</v>
      </c>
      <c r="AX47" s="98">
        <v>526.685393258427</v>
      </c>
      <c r="AY47" s="98">
        <v>1006.5543071161048</v>
      </c>
      <c r="AZ47" s="98">
        <v>795.8801498127341</v>
      </c>
      <c r="BA47" s="101" t="s">
        <v>668</v>
      </c>
      <c r="BB47" s="101" t="s">
        <v>668</v>
      </c>
      <c r="BC47" s="101" t="s">
        <v>668</v>
      </c>
      <c r="BD47" s="158">
        <v>0.8916253662</v>
      </c>
      <c r="BE47" s="158">
        <v>1.241808395</v>
      </c>
      <c r="BF47" s="162">
        <v>753</v>
      </c>
      <c r="BG47" s="162">
        <v>27</v>
      </c>
      <c r="BH47" s="162">
        <v>2072</v>
      </c>
      <c r="BI47" s="162">
        <v>654</v>
      </c>
      <c r="BJ47" s="162">
        <v>330</v>
      </c>
      <c r="BK47" s="97"/>
      <c r="BL47" s="97"/>
      <c r="BM47" s="97"/>
      <c r="BN47" s="97"/>
    </row>
    <row r="48" spans="1:66" ht="12.75">
      <c r="A48" s="79" t="s">
        <v>614</v>
      </c>
      <c r="B48" s="79" t="s">
        <v>333</v>
      </c>
      <c r="C48" s="79" t="s">
        <v>203</v>
      </c>
      <c r="D48" s="99">
        <v>3502</v>
      </c>
      <c r="E48" s="99">
        <v>312</v>
      </c>
      <c r="F48" s="99" t="s">
        <v>399</v>
      </c>
      <c r="G48" s="99">
        <v>13</v>
      </c>
      <c r="H48" s="99">
        <v>8</v>
      </c>
      <c r="I48" s="99">
        <v>60</v>
      </c>
      <c r="J48" s="99">
        <v>198</v>
      </c>
      <c r="K48" s="99">
        <v>9</v>
      </c>
      <c r="L48" s="99">
        <v>604</v>
      </c>
      <c r="M48" s="99">
        <v>102</v>
      </c>
      <c r="N48" s="99">
        <v>45</v>
      </c>
      <c r="O48" s="99">
        <v>31</v>
      </c>
      <c r="P48" s="159">
        <v>31</v>
      </c>
      <c r="Q48" s="99">
        <v>7</v>
      </c>
      <c r="R48" s="99">
        <v>10</v>
      </c>
      <c r="S48" s="99">
        <v>8</v>
      </c>
      <c r="T48" s="99" t="s">
        <v>668</v>
      </c>
      <c r="U48" s="99" t="s">
        <v>668</v>
      </c>
      <c r="V48" s="99">
        <v>6</v>
      </c>
      <c r="W48" s="99">
        <v>10</v>
      </c>
      <c r="X48" s="99">
        <v>11</v>
      </c>
      <c r="Y48" s="99">
        <v>37</v>
      </c>
      <c r="Z48" s="99">
        <v>23</v>
      </c>
      <c r="AA48" s="99" t="s">
        <v>668</v>
      </c>
      <c r="AB48" s="99" t="s">
        <v>668</v>
      </c>
      <c r="AC48" s="99" t="s">
        <v>668</v>
      </c>
      <c r="AD48" s="98" t="s">
        <v>378</v>
      </c>
      <c r="AE48" s="100">
        <v>0.08909194745859508</v>
      </c>
      <c r="AF48" s="100">
        <v>0.3</v>
      </c>
      <c r="AG48" s="98">
        <v>371.2164477441462</v>
      </c>
      <c r="AH48" s="98">
        <v>228.44089091947458</v>
      </c>
      <c r="AI48" s="100">
        <v>0.017</v>
      </c>
      <c r="AJ48" s="100">
        <v>0.626582</v>
      </c>
      <c r="AK48" s="100">
        <v>0.5</v>
      </c>
      <c r="AL48" s="100">
        <v>0.693456</v>
      </c>
      <c r="AM48" s="100">
        <v>0.408</v>
      </c>
      <c r="AN48" s="100">
        <v>0.48913</v>
      </c>
      <c r="AO48" s="98">
        <v>885.208452312964</v>
      </c>
      <c r="AP48" s="158">
        <v>0.6059865189</v>
      </c>
      <c r="AQ48" s="100">
        <v>0.22580645161290322</v>
      </c>
      <c r="AR48" s="100">
        <v>0.7</v>
      </c>
      <c r="AS48" s="98">
        <v>228.44089091947458</v>
      </c>
      <c r="AT48" s="98" t="s">
        <v>668</v>
      </c>
      <c r="AU48" s="98" t="s">
        <v>668</v>
      </c>
      <c r="AV48" s="98">
        <v>171.33066818960594</v>
      </c>
      <c r="AW48" s="98">
        <v>285.5511136493432</v>
      </c>
      <c r="AX48" s="98">
        <v>314.1062250142776</v>
      </c>
      <c r="AY48" s="98">
        <v>1056.5391205025699</v>
      </c>
      <c r="AZ48" s="98">
        <v>656.7675613934895</v>
      </c>
      <c r="BA48" s="100" t="s">
        <v>668</v>
      </c>
      <c r="BB48" s="100" t="s">
        <v>668</v>
      </c>
      <c r="BC48" s="100" t="s">
        <v>668</v>
      </c>
      <c r="BD48" s="158">
        <v>0.4117384338</v>
      </c>
      <c r="BE48" s="158">
        <v>0.8601495361000001</v>
      </c>
      <c r="BF48" s="162">
        <v>316</v>
      </c>
      <c r="BG48" s="162">
        <v>18</v>
      </c>
      <c r="BH48" s="162">
        <v>871</v>
      </c>
      <c r="BI48" s="162">
        <v>250</v>
      </c>
      <c r="BJ48" s="162">
        <v>92</v>
      </c>
      <c r="BK48" s="97"/>
      <c r="BL48" s="97"/>
      <c r="BM48" s="97"/>
      <c r="BN48" s="97"/>
    </row>
    <row r="49" spans="1:66" ht="12.75">
      <c r="A49" s="79" t="s">
        <v>616</v>
      </c>
      <c r="B49" s="79" t="s">
        <v>335</v>
      </c>
      <c r="C49" s="79" t="s">
        <v>203</v>
      </c>
      <c r="D49" s="99">
        <v>6694</v>
      </c>
      <c r="E49" s="99">
        <v>1107</v>
      </c>
      <c r="F49" s="99" t="s">
        <v>398</v>
      </c>
      <c r="G49" s="99">
        <v>46</v>
      </c>
      <c r="H49" s="99">
        <v>21</v>
      </c>
      <c r="I49" s="99">
        <v>130</v>
      </c>
      <c r="J49" s="99">
        <v>547</v>
      </c>
      <c r="K49" s="99">
        <v>6</v>
      </c>
      <c r="L49" s="99">
        <v>1200</v>
      </c>
      <c r="M49" s="99">
        <v>323</v>
      </c>
      <c r="N49" s="99">
        <v>131</v>
      </c>
      <c r="O49" s="99">
        <v>105</v>
      </c>
      <c r="P49" s="159">
        <v>105</v>
      </c>
      <c r="Q49" s="99">
        <v>17</v>
      </c>
      <c r="R49" s="99">
        <v>32</v>
      </c>
      <c r="S49" s="99">
        <v>19</v>
      </c>
      <c r="T49" s="99">
        <v>10</v>
      </c>
      <c r="U49" s="99" t="s">
        <v>668</v>
      </c>
      <c r="V49" s="99">
        <v>16</v>
      </c>
      <c r="W49" s="99">
        <v>42</v>
      </c>
      <c r="X49" s="99">
        <v>30</v>
      </c>
      <c r="Y49" s="99">
        <v>74</v>
      </c>
      <c r="Z49" s="99">
        <v>65</v>
      </c>
      <c r="AA49" s="99" t="s">
        <v>668</v>
      </c>
      <c r="AB49" s="99" t="s">
        <v>668</v>
      </c>
      <c r="AC49" s="99" t="s">
        <v>668</v>
      </c>
      <c r="AD49" s="98" t="s">
        <v>378</v>
      </c>
      <c r="AE49" s="100">
        <v>0.16537197490289812</v>
      </c>
      <c r="AF49" s="100">
        <v>0.19</v>
      </c>
      <c r="AG49" s="98">
        <v>687.1825515386913</v>
      </c>
      <c r="AH49" s="98">
        <v>313.713773528533</v>
      </c>
      <c r="AI49" s="100">
        <v>0.019</v>
      </c>
      <c r="AJ49" s="100">
        <v>0.698595</v>
      </c>
      <c r="AK49" s="100">
        <v>0.666667</v>
      </c>
      <c r="AL49" s="100">
        <v>0.7242</v>
      </c>
      <c r="AM49" s="100">
        <v>0.49464</v>
      </c>
      <c r="AN49" s="100">
        <v>0.536885</v>
      </c>
      <c r="AO49" s="98">
        <v>1568.568867642665</v>
      </c>
      <c r="AP49" s="158">
        <v>0.8435195923000001</v>
      </c>
      <c r="AQ49" s="100">
        <v>0.1619047619047619</v>
      </c>
      <c r="AR49" s="100">
        <v>0.53125</v>
      </c>
      <c r="AS49" s="98">
        <v>283.83627128772036</v>
      </c>
      <c r="AT49" s="98">
        <v>149.38751120406334</v>
      </c>
      <c r="AU49" s="98" t="s">
        <v>668</v>
      </c>
      <c r="AV49" s="98">
        <v>239.02001792650134</v>
      </c>
      <c r="AW49" s="98">
        <v>627.427547057066</v>
      </c>
      <c r="AX49" s="98">
        <v>448.16253361219003</v>
      </c>
      <c r="AY49" s="98">
        <v>1105.4675829100688</v>
      </c>
      <c r="AZ49" s="98">
        <v>971.0188228264117</v>
      </c>
      <c r="BA49" s="100" t="s">
        <v>668</v>
      </c>
      <c r="BB49" s="100" t="s">
        <v>668</v>
      </c>
      <c r="BC49" s="100" t="s">
        <v>668</v>
      </c>
      <c r="BD49" s="158">
        <v>0.6899154663</v>
      </c>
      <c r="BE49" s="158">
        <v>1.021131973</v>
      </c>
      <c r="BF49" s="162">
        <v>783</v>
      </c>
      <c r="BG49" s="162">
        <v>9</v>
      </c>
      <c r="BH49" s="162">
        <v>1657</v>
      </c>
      <c r="BI49" s="162">
        <v>653</v>
      </c>
      <c r="BJ49" s="162">
        <v>244</v>
      </c>
      <c r="BK49" s="97"/>
      <c r="BL49" s="97"/>
      <c r="BM49" s="97"/>
      <c r="BN49" s="97"/>
    </row>
    <row r="50" spans="1:66" ht="12.75">
      <c r="A50" s="79" t="s">
        <v>588</v>
      </c>
      <c r="B50" s="79" t="s">
        <v>305</v>
      </c>
      <c r="C50" s="79" t="s">
        <v>203</v>
      </c>
      <c r="D50" s="99">
        <v>4314</v>
      </c>
      <c r="E50" s="99">
        <v>606</v>
      </c>
      <c r="F50" s="99" t="s">
        <v>399</v>
      </c>
      <c r="G50" s="99">
        <v>16</v>
      </c>
      <c r="H50" s="99">
        <v>11</v>
      </c>
      <c r="I50" s="99">
        <v>45</v>
      </c>
      <c r="J50" s="99">
        <v>268</v>
      </c>
      <c r="K50" s="99">
        <v>28</v>
      </c>
      <c r="L50" s="99">
        <v>649</v>
      </c>
      <c r="M50" s="99">
        <v>184</v>
      </c>
      <c r="N50" s="99">
        <v>85</v>
      </c>
      <c r="O50" s="99">
        <v>48</v>
      </c>
      <c r="P50" s="159">
        <v>48</v>
      </c>
      <c r="Q50" s="99">
        <v>9</v>
      </c>
      <c r="R50" s="99">
        <v>22</v>
      </c>
      <c r="S50" s="99">
        <v>10</v>
      </c>
      <c r="T50" s="99" t="s">
        <v>668</v>
      </c>
      <c r="U50" s="99">
        <v>6</v>
      </c>
      <c r="V50" s="99">
        <v>9</v>
      </c>
      <c r="W50" s="99">
        <v>34</v>
      </c>
      <c r="X50" s="99">
        <v>27</v>
      </c>
      <c r="Y50" s="99">
        <v>44</v>
      </c>
      <c r="Z50" s="99">
        <v>33</v>
      </c>
      <c r="AA50" s="99" t="s">
        <v>668</v>
      </c>
      <c r="AB50" s="99" t="s">
        <v>668</v>
      </c>
      <c r="AC50" s="99" t="s">
        <v>668</v>
      </c>
      <c r="AD50" s="98" t="s">
        <v>378</v>
      </c>
      <c r="AE50" s="100">
        <v>0.1404728789986092</v>
      </c>
      <c r="AF50" s="100">
        <v>0.29</v>
      </c>
      <c r="AG50" s="98">
        <v>370.8854891052388</v>
      </c>
      <c r="AH50" s="98">
        <v>254.98377375985166</v>
      </c>
      <c r="AI50" s="100">
        <v>0.01</v>
      </c>
      <c r="AJ50" s="100">
        <v>0.569002</v>
      </c>
      <c r="AK50" s="100">
        <v>0.608696</v>
      </c>
      <c r="AL50" s="100">
        <v>0.638151</v>
      </c>
      <c r="AM50" s="100">
        <v>0.414414</v>
      </c>
      <c r="AN50" s="100">
        <v>0.518293</v>
      </c>
      <c r="AO50" s="98">
        <v>1112.6564673157163</v>
      </c>
      <c r="AP50" s="158">
        <v>0.6536688995</v>
      </c>
      <c r="AQ50" s="100">
        <v>0.1875</v>
      </c>
      <c r="AR50" s="100">
        <v>0.4090909090909091</v>
      </c>
      <c r="AS50" s="98">
        <v>231.80343069077423</v>
      </c>
      <c r="AT50" s="98" t="s">
        <v>668</v>
      </c>
      <c r="AU50" s="98">
        <v>139.08205841446454</v>
      </c>
      <c r="AV50" s="98">
        <v>208.6230876216968</v>
      </c>
      <c r="AW50" s="98">
        <v>788.1316643486324</v>
      </c>
      <c r="AX50" s="98">
        <v>625.8692628650904</v>
      </c>
      <c r="AY50" s="98">
        <v>1019.9350950394066</v>
      </c>
      <c r="AZ50" s="98">
        <v>764.9513212795549</v>
      </c>
      <c r="BA50" s="100" t="s">
        <v>668</v>
      </c>
      <c r="BB50" s="100" t="s">
        <v>668</v>
      </c>
      <c r="BC50" s="100" t="s">
        <v>668</v>
      </c>
      <c r="BD50" s="158">
        <v>0.4819638443</v>
      </c>
      <c r="BE50" s="158">
        <v>0.8666700745</v>
      </c>
      <c r="BF50" s="162">
        <v>471</v>
      </c>
      <c r="BG50" s="162">
        <v>46</v>
      </c>
      <c r="BH50" s="162">
        <v>1017</v>
      </c>
      <c r="BI50" s="162">
        <v>444</v>
      </c>
      <c r="BJ50" s="162">
        <v>164</v>
      </c>
      <c r="BK50" s="97"/>
      <c r="BL50" s="97"/>
      <c r="BM50" s="97"/>
      <c r="BN50" s="97"/>
    </row>
    <row r="51" spans="1:66" ht="12.75">
      <c r="A51" s="79" t="s">
        <v>637</v>
      </c>
      <c r="B51" s="79" t="s">
        <v>356</v>
      </c>
      <c r="C51" s="79" t="s">
        <v>203</v>
      </c>
      <c r="D51" s="99">
        <v>1318</v>
      </c>
      <c r="E51" s="99">
        <v>105</v>
      </c>
      <c r="F51" s="99" t="s">
        <v>399</v>
      </c>
      <c r="G51" s="99" t="s">
        <v>668</v>
      </c>
      <c r="H51" s="99" t="s">
        <v>668</v>
      </c>
      <c r="I51" s="99">
        <v>19</v>
      </c>
      <c r="J51" s="99">
        <v>30</v>
      </c>
      <c r="K51" s="99">
        <v>29</v>
      </c>
      <c r="L51" s="99">
        <v>103</v>
      </c>
      <c r="M51" s="99">
        <v>13</v>
      </c>
      <c r="N51" s="99">
        <v>13</v>
      </c>
      <c r="O51" s="99" t="s">
        <v>668</v>
      </c>
      <c r="P51" s="159" t="s">
        <v>668</v>
      </c>
      <c r="Q51" s="99" t="s">
        <v>668</v>
      </c>
      <c r="R51" s="99" t="s">
        <v>668</v>
      </c>
      <c r="S51" s="99" t="s">
        <v>668</v>
      </c>
      <c r="T51" s="99" t="s">
        <v>668</v>
      </c>
      <c r="U51" s="99" t="s">
        <v>668</v>
      </c>
      <c r="V51" s="99" t="s">
        <v>668</v>
      </c>
      <c r="W51" s="99" t="s">
        <v>668</v>
      </c>
      <c r="X51" s="99" t="s">
        <v>668</v>
      </c>
      <c r="Y51" s="99" t="s">
        <v>668</v>
      </c>
      <c r="Z51" s="99" t="s">
        <v>668</v>
      </c>
      <c r="AA51" s="99" t="s">
        <v>668</v>
      </c>
      <c r="AB51" s="99" t="s">
        <v>668</v>
      </c>
      <c r="AC51" s="99" t="s">
        <v>668</v>
      </c>
      <c r="AD51" s="98" t="s">
        <v>378</v>
      </c>
      <c r="AE51" s="100">
        <v>0.07966616084977238</v>
      </c>
      <c r="AF51" s="100">
        <v>0.24</v>
      </c>
      <c r="AG51" s="98" t="s">
        <v>668</v>
      </c>
      <c r="AH51" s="98" t="s">
        <v>668</v>
      </c>
      <c r="AI51" s="100">
        <v>0.013999999999999999</v>
      </c>
      <c r="AJ51" s="100">
        <v>0.588235</v>
      </c>
      <c r="AK51" s="100">
        <v>0.659091</v>
      </c>
      <c r="AL51" s="100">
        <v>0.347973</v>
      </c>
      <c r="AM51" s="100">
        <v>0.19697</v>
      </c>
      <c r="AN51" s="100">
        <v>0.342105</v>
      </c>
      <c r="AO51" s="98" t="s">
        <v>668</v>
      </c>
      <c r="AP51" s="158" t="s">
        <v>668</v>
      </c>
      <c r="AQ51" s="100" t="s">
        <v>668</v>
      </c>
      <c r="AR51" s="100" t="s">
        <v>668</v>
      </c>
      <c r="AS51" s="98" t="s">
        <v>668</v>
      </c>
      <c r="AT51" s="98" t="s">
        <v>668</v>
      </c>
      <c r="AU51" s="98" t="s">
        <v>668</v>
      </c>
      <c r="AV51" s="98" t="s">
        <v>668</v>
      </c>
      <c r="AW51" s="98" t="s">
        <v>668</v>
      </c>
      <c r="AX51" s="98" t="s">
        <v>668</v>
      </c>
      <c r="AY51" s="98" t="s">
        <v>668</v>
      </c>
      <c r="AZ51" s="98" t="s">
        <v>668</v>
      </c>
      <c r="BA51" s="100" t="s">
        <v>668</v>
      </c>
      <c r="BB51" s="100" t="s">
        <v>668</v>
      </c>
      <c r="BC51" s="100" t="s">
        <v>668</v>
      </c>
      <c r="BD51" s="158" t="s">
        <v>668</v>
      </c>
      <c r="BE51" s="158" t="s">
        <v>668</v>
      </c>
      <c r="BF51" s="162">
        <v>51</v>
      </c>
      <c r="BG51" s="162">
        <v>44</v>
      </c>
      <c r="BH51" s="162">
        <v>296</v>
      </c>
      <c r="BI51" s="162">
        <v>66</v>
      </c>
      <c r="BJ51" s="162">
        <v>38</v>
      </c>
      <c r="BK51" s="97"/>
      <c r="BL51" s="97"/>
      <c r="BM51" s="97"/>
      <c r="BN51" s="97"/>
    </row>
    <row r="52" spans="1:66" ht="12.75">
      <c r="A52" s="79" t="s">
        <v>655</v>
      </c>
      <c r="B52" s="79" t="s">
        <v>374</v>
      </c>
      <c r="C52" s="79" t="s">
        <v>203</v>
      </c>
      <c r="D52" s="99">
        <v>3057</v>
      </c>
      <c r="E52" s="99">
        <v>172</v>
      </c>
      <c r="F52" s="99" t="s">
        <v>399</v>
      </c>
      <c r="G52" s="99" t="s">
        <v>668</v>
      </c>
      <c r="H52" s="99" t="s">
        <v>668</v>
      </c>
      <c r="I52" s="99">
        <v>18</v>
      </c>
      <c r="J52" s="99">
        <v>73</v>
      </c>
      <c r="K52" s="99">
        <v>11</v>
      </c>
      <c r="L52" s="99">
        <v>474</v>
      </c>
      <c r="M52" s="99">
        <v>23</v>
      </c>
      <c r="N52" s="99">
        <v>9</v>
      </c>
      <c r="O52" s="99">
        <v>23</v>
      </c>
      <c r="P52" s="159">
        <v>23</v>
      </c>
      <c r="Q52" s="99" t="s">
        <v>668</v>
      </c>
      <c r="R52" s="99" t="s">
        <v>668</v>
      </c>
      <c r="S52" s="99" t="s">
        <v>668</v>
      </c>
      <c r="T52" s="99" t="s">
        <v>668</v>
      </c>
      <c r="U52" s="99">
        <v>6</v>
      </c>
      <c r="V52" s="99">
        <v>7</v>
      </c>
      <c r="W52" s="99">
        <v>14</v>
      </c>
      <c r="X52" s="99">
        <v>17</v>
      </c>
      <c r="Y52" s="99">
        <v>20</v>
      </c>
      <c r="Z52" s="99">
        <v>10</v>
      </c>
      <c r="AA52" s="99" t="s">
        <v>668</v>
      </c>
      <c r="AB52" s="99" t="s">
        <v>668</v>
      </c>
      <c r="AC52" s="99" t="s">
        <v>668</v>
      </c>
      <c r="AD52" s="98" t="s">
        <v>378</v>
      </c>
      <c r="AE52" s="100">
        <v>0.056264311416421325</v>
      </c>
      <c r="AF52" s="100">
        <v>0.3</v>
      </c>
      <c r="AG52" s="98" t="s">
        <v>668</v>
      </c>
      <c r="AH52" s="98" t="s">
        <v>668</v>
      </c>
      <c r="AI52" s="100">
        <v>0.006</v>
      </c>
      <c r="AJ52" s="100">
        <v>0.398907</v>
      </c>
      <c r="AK52" s="100">
        <v>0.44</v>
      </c>
      <c r="AL52" s="100">
        <v>0.703264</v>
      </c>
      <c r="AM52" s="100">
        <v>0.198276</v>
      </c>
      <c r="AN52" s="100">
        <v>0.230769</v>
      </c>
      <c r="AO52" s="98">
        <v>752.3716061498201</v>
      </c>
      <c r="AP52" s="158">
        <v>0.6995143127</v>
      </c>
      <c r="AQ52" s="100" t="s">
        <v>668</v>
      </c>
      <c r="AR52" s="100" t="s">
        <v>668</v>
      </c>
      <c r="AS52" s="98" t="s">
        <v>668</v>
      </c>
      <c r="AT52" s="98" t="s">
        <v>668</v>
      </c>
      <c r="AU52" s="98">
        <v>196.27085377821393</v>
      </c>
      <c r="AV52" s="98">
        <v>228.98266274124958</v>
      </c>
      <c r="AW52" s="98">
        <v>457.96532548249917</v>
      </c>
      <c r="AX52" s="98">
        <v>556.1007523716062</v>
      </c>
      <c r="AY52" s="98">
        <v>654.2361792607131</v>
      </c>
      <c r="AZ52" s="98">
        <v>327.11808963035656</v>
      </c>
      <c r="BA52" s="100" t="s">
        <v>668</v>
      </c>
      <c r="BB52" s="100" t="s">
        <v>668</v>
      </c>
      <c r="BC52" s="100" t="s">
        <v>668</v>
      </c>
      <c r="BD52" s="158">
        <v>0.443432045</v>
      </c>
      <c r="BE52" s="158">
        <v>1.049614868</v>
      </c>
      <c r="BF52" s="162">
        <v>183</v>
      </c>
      <c r="BG52" s="162">
        <v>25</v>
      </c>
      <c r="BH52" s="162">
        <v>674</v>
      </c>
      <c r="BI52" s="162">
        <v>116</v>
      </c>
      <c r="BJ52" s="162">
        <v>39</v>
      </c>
      <c r="BK52" s="97"/>
      <c r="BL52" s="97"/>
      <c r="BM52" s="97"/>
      <c r="BN52" s="97"/>
    </row>
    <row r="53" spans="1:66" ht="12.75">
      <c r="A53" s="79" t="s">
        <v>609</v>
      </c>
      <c r="B53" s="79" t="s">
        <v>327</v>
      </c>
      <c r="C53" s="79" t="s">
        <v>203</v>
      </c>
      <c r="D53" s="99">
        <v>3443</v>
      </c>
      <c r="E53" s="99">
        <v>350</v>
      </c>
      <c r="F53" s="99" t="s">
        <v>401</v>
      </c>
      <c r="G53" s="99">
        <v>16</v>
      </c>
      <c r="H53" s="99">
        <v>10</v>
      </c>
      <c r="I53" s="99">
        <v>44</v>
      </c>
      <c r="J53" s="99">
        <v>184</v>
      </c>
      <c r="K53" s="99">
        <v>25</v>
      </c>
      <c r="L53" s="99">
        <v>730</v>
      </c>
      <c r="M53" s="99">
        <v>65</v>
      </c>
      <c r="N53" s="99">
        <v>56</v>
      </c>
      <c r="O53" s="99">
        <v>20</v>
      </c>
      <c r="P53" s="159">
        <v>20</v>
      </c>
      <c r="Q53" s="99" t="s">
        <v>668</v>
      </c>
      <c r="R53" s="99">
        <v>9</v>
      </c>
      <c r="S53" s="99" t="s">
        <v>668</v>
      </c>
      <c r="T53" s="99" t="s">
        <v>668</v>
      </c>
      <c r="U53" s="99" t="s">
        <v>668</v>
      </c>
      <c r="V53" s="99" t="s">
        <v>668</v>
      </c>
      <c r="W53" s="99">
        <v>13</v>
      </c>
      <c r="X53" s="99">
        <v>16</v>
      </c>
      <c r="Y53" s="99">
        <v>14</v>
      </c>
      <c r="Z53" s="99">
        <v>16</v>
      </c>
      <c r="AA53" s="99" t="s">
        <v>668</v>
      </c>
      <c r="AB53" s="99" t="s">
        <v>668</v>
      </c>
      <c r="AC53" s="99" t="s">
        <v>668</v>
      </c>
      <c r="AD53" s="98" t="s">
        <v>378</v>
      </c>
      <c r="AE53" s="100">
        <v>0.10165553296543711</v>
      </c>
      <c r="AF53" s="100">
        <v>0.17</v>
      </c>
      <c r="AG53" s="98">
        <v>464.71100784199825</v>
      </c>
      <c r="AH53" s="98">
        <v>290.4443799012489</v>
      </c>
      <c r="AI53" s="100">
        <v>0.013000000000000001</v>
      </c>
      <c r="AJ53" s="100">
        <v>0.710425</v>
      </c>
      <c r="AK53" s="100">
        <v>0.675676</v>
      </c>
      <c r="AL53" s="100">
        <v>0.754912</v>
      </c>
      <c r="AM53" s="100">
        <v>0.281385</v>
      </c>
      <c r="AN53" s="100">
        <v>0.495575</v>
      </c>
      <c r="AO53" s="98">
        <v>580.8887598024978</v>
      </c>
      <c r="AP53" s="158">
        <v>0.3716990662</v>
      </c>
      <c r="AQ53" s="100" t="s">
        <v>668</v>
      </c>
      <c r="AR53" s="100" t="s">
        <v>668</v>
      </c>
      <c r="AS53" s="98" t="s">
        <v>668</v>
      </c>
      <c r="AT53" s="98" t="s">
        <v>668</v>
      </c>
      <c r="AU53" s="98" t="s">
        <v>668</v>
      </c>
      <c r="AV53" s="98" t="s">
        <v>668</v>
      </c>
      <c r="AW53" s="98">
        <v>377.5776938716236</v>
      </c>
      <c r="AX53" s="98">
        <v>464.71100784199825</v>
      </c>
      <c r="AY53" s="98">
        <v>406.62213186174847</v>
      </c>
      <c r="AZ53" s="98">
        <v>464.71100784199825</v>
      </c>
      <c r="BA53" s="100" t="s">
        <v>668</v>
      </c>
      <c r="BB53" s="100" t="s">
        <v>668</v>
      </c>
      <c r="BC53" s="100" t="s">
        <v>668</v>
      </c>
      <c r="BD53" s="158">
        <v>0.22704343800000001</v>
      </c>
      <c r="BE53" s="158">
        <v>0.5740590286</v>
      </c>
      <c r="BF53" s="162">
        <v>259</v>
      </c>
      <c r="BG53" s="162">
        <v>37</v>
      </c>
      <c r="BH53" s="162">
        <v>967</v>
      </c>
      <c r="BI53" s="162">
        <v>231</v>
      </c>
      <c r="BJ53" s="162">
        <v>113</v>
      </c>
      <c r="BK53" s="97"/>
      <c r="BL53" s="97"/>
      <c r="BM53" s="97"/>
      <c r="BN53" s="97"/>
    </row>
    <row r="54" spans="1:66" ht="12.75">
      <c r="A54" s="79" t="s">
        <v>578</v>
      </c>
      <c r="B54" s="79" t="s">
        <v>295</v>
      </c>
      <c r="C54" s="79" t="s">
        <v>203</v>
      </c>
      <c r="D54" s="99">
        <v>5469</v>
      </c>
      <c r="E54" s="99">
        <v>1019</v>
      </c>
      <c r="F54" s="99" t="s">
        <v>398</v>
      </c>
      <c r="G54" s="99">
        <v>30</v>
      </c>
      <c r="H54" s="99">
        <v>17</v>
      </c>
      <c r="I54" s="99">
        <v>100</v>
      </c>
      <c r="J54" s="99">
        <v>450</v>
      </c>
      <c r="K54" s="99">
        <v>140</v>
      </c>
      <c r="L54" s="99">
        <v>971</v>
      </c>
      <c r="M54" s="99">
        <v>164</v>
      </c>
      <c r="N54" s="99">
        <v>154</v>
      </c>
      <c r="O54" s="99">
        <v>53</v>
      </c>
      <c r="P54" s="159">
        <v>53</v>
      </c>
      <c r="Q54" s="99">
        <v>8</v>
      </c>
      <c r="R54" s="99">
        <v>23</v>
      </c>
      <c r="S54" s="99">
        <v>10</v>
      </c>
      <c r="T54" s="99">
        <v>9</v>
      </c>
      <c r="U54" s="99" t="s">
        <v>668</v>
      </c>
      <c r="V54" s="99">
        <v>7</v>
      </c>
      <c r="W54" s="99">
        <v>25</v>
      </c>
      <c r="X54" s="99">
        <v>26</v>
      </c>
      <c r="Y54" s="99">
        <v>42</v>
      </c>
      <c r="Z54" s="99">
        <v>50</v>
      </c>
      <c r="AA54" s="99" t="s">
        <v>668</v>
      </c>
      <c r="AB54" s="99" t="s">
        <v>668</v>
      </c>
      <c r="AC54" s="99" t="s">
        <v>668</v>
      </c>
      <c r="AD54" s="98" t="s">
        <v>378</v>
      </c>
      <c r="AE54" s="100">
        <v>0.18632291095264217</v>
      </c>
      <c r="AF54" s="100">
        <v>0.19</v>
      </c>
      <c r="AG54" s="98">
        <v>548.5463521667581</v>
      </c>
      <c r="AH54" s="98">
        <v>310.84293289449624</v>
      </c>
      <c r="AI54" s="100">
        <v>0.018000000000000002</v>
      </c>
      <c r="AJ54" s="100">
        <v>0.692308</v>
      </c>
      <c r="AK54" s="100">
        <v>0.663507</v>
      </c>
      <c r="AL54" s="100">
        <v>0.724627</v>
      </c>
      <c r="AM54" s="100">
        <v>0.295495</v>
      </c>
      <c r="AN54" s="100">
        <v>0.51505</v>
      </c>
      <c r="AO54" s="98">
        <v>969.098555494606</v>
      </c>
      <c r="AP54" s="158">
        <v>0.5012606430000001</v>
      </c>
      <c r="AQ54" s="100">
        <v>0.1509433962264151</v>
      </c>
      <c r="AR54" s="100">
        <v>0.34782608695652173</v>
      </c>
      <c r="AS54" s="98">
        <v>182.84878405558604</v>
      </c>
      <c r="AT54" s="98">
        <v>164.56390565002744</v>
      </c>
      <c r="AU54" s="98" t="s">
        <v>668</v>
      </c>
      <c r="AV54" s="98">
        <v>127.99414883891022</v>
      </c>
      <c r="AW54" s="98">
        <v>457.12196013896505</v>
      </c>
      <c r="AX54" s="98">
        <v>475.4068385445237</v>
      </c>
      <c r="AY54" s="98">
        <v>767.9648930334613</v>
      </c>
      <c r="AZ54" s="98">
        <v>914.2439202779301</v>
      </c>
      <c r="BA54" s="100" t="s">
        <v>668</v>
      </c>
      <c r="BB54" s="100" t="s">
        <v>668</v>
      </c>
      <c r="BC54" s="100" t="s">
        <v>668</v>
      </c>
      <c r="BD54" s="158">
        <v>0.3754786301</v>
      </c>
      <c r="BE54" s="158">
        <v>0.6556612396</v>
      </c>
      <c r="BF54" s="162">
        <v>650</v>
      </c>
      <c r="BG54" s="162">
        <v>211</v>
      </c>
      <c r="BH54" s="162">
        <v>1340</v>
      </c>
      <c r="BI54" s="162">
        <v>555</v>
      </c>
      <c r="BJ54" s="162">
        <v>299</v>
      </c>
      <c r="BK54" s="97"/>
      <c r="BL54" s="97"/>
      <c r="BM54" s="97"/>
      <c r="BN54" s="97"/>
    </row>
    <row r="55" spans="1:66" ht="12.75">
      <c r="A55" s="79" t="s">
        <v>573</v>
      </c>
      <c r="B55" s="79" t="s">
        <v>290</v>
      </c>
      <c r="C55" s="79" t="s">
        <v>203</v>
      </c>
      <c r="D55" s="99">
        <v>10163</v>
      </c>
      <c r="E55" s="99">
        <v>1065</v>
      </c>
      <c r="F55" s="99" t="s">
        <v>398</v>
      </c>
      <c r="G55" s="99">
        <v>45</v>
      </c>
      <c r="H55" s="99">
        <v>17</v>
      </c>
      <c r="I55" s="99">
        <v>154</v>
      </c>
      <c r="J55" s="99">
        <v>536</v>
      </c>
      <c r="K55" s="99">
        <v>88</v>
      </c>
      <c r="L55" s="99">
        <v>1745</v>
      </c>
      <c r="M55" s="99">
        <v>168</v>
      </c>
      <c r="N55" s="99">
        <v>138</v>
      </c>
      <c r="O55" s="99">
        <v>173</v>
      </c>
      <c r="P55" s="159">
        <v>173</v>
      </c>
      <c r="Q55" s="99">
        <v>18</v>
      </c>
      <c r="R55" s="99">
        <v>36</v>
      </c>
      <c r="S55" s="99">
        <v>33</v>
      </c>
      <c r="T55" s="99">
        <v>30</v>
      </c>
      <c r="U55" s="99" t="s">
        <v>668</v>
      </c>
      <c r="V55" s="99">
        <v>19</v>
      </c>
      <c r="W55" s="99">
        <v>47</v>
      </c>
      <c r="X55" s="99">
        <v>50</v>
      </c>
      <c r="Y55" s="99">
        <v>86</v>
      </c>
      <c r="Z55" s="99">
        <v>61</v>
      </c>
      <c r="AA55" s="99" t="s">
        <v>668</v>
      </c>
      <c r="AB55" s="99" t="s">
        <v>668</v>
      </c>
      <c r="AC55" s="99" t="s">
        <v>668</v>
      </c>
      <c r="AD55" s="98" t="s">
        <v>378</v>
      </c>
      <c r="AE55" s="100">
        <v>0.10479189215782742</v>
      </c>
      <c r="AF55" s="100">
        <v>0.22</v>
      </c>
      <c r="AG55" s="98">
        <v>442.7826429203975</v>
      </c>
      <c r="AH55" s="98">
        <v>167.27344288103907</v>
      </c>
      <c r="AI55" s="100">
        <v>0.015</v>
      </c>
      <c r="AJ55" s="100">
        <v>0.614679</v>
      </c>
      <c r="AK55" s="100">
        <v>0.637681</v>
      </c>
      <c r="AL55" s="100">
        <v>0.684314</v>
      </c>
      <c r="AM55" s="100">
        <v>0.234637</v>
      </c>
      <c r="AN55" s="100">
        <v>0.384401</v>
      </c>
      <c r="AO55" s="98">
        <v>1702.2532716717506</v>
      </c>
      <c r="AP55" s="158">
        <v>1.164643555</v>
      </c>
      <c r="AQ55" s="100">
        <v>0.10404624277456648</v>
      </c>
      <c r="AR55" s="100">
        <v>0.5</v>
      </c>
      <c r="AS55" s="98">
        <v>324.7072714749582</v>
      </c>
      <c r="AT55" s="98">
        <v>295.1884286135983</v>
      </c>
      <c r="AU55" s="98" t="s">
        <v>668</v>
      </c>
      <c r="AV55" s="98">
        <v>186.95267145527896</v>
      </c>
      <c r="AW55" s="98">
        <v>462.4618714946374</v>
      </c>
      <c r="AX55" s="98">
        <v>491.98071435599724</v>
      </c>
      <c r="AY55" s="98">
        <v>846.2068286923153</v>
      </c>
      <c r="AZ55" s="98">
        <v>600.2164715143166</v>
      </c>
      <c r="BA55" s="100" t="s">
        <v>668</v>
      </c>
      <c r="BB55" s="100" t="s">
        <v>668</v>
      </c>
      <c r="BC55" s="100" t="s">
        <v>668</v>
      </c>
      <c r="BD55" s="158">
        <v>0.9975576782000001</v>
      </c>
      <c r="BE55" s="158">
        <v>1.351709747</v>
      </c>
      <c r="BF55" s="162">
        <v>872</v>
      </c>
      <c r="BG55" s="162">
        <v>138</v>
      </c>
      <c r="BH55" s="162">
        <v>2550</v>
      </c>
      <c r="BI55" s="162">
        <v>716</v>
      </c>
      <c r="BJ55" s="162">
        <v>359</v>
      </c>
      <c r="BK55" s="97"/>
      <c r="BL55" s="97"/>
      <c r="BM55" s="97"/>
      <c r="BN55" s="97"/>
    </row>
    <row r="56" spans="1:66" ht="12.75">
      <c r="A56" s="79" t="s">
        <v>572</v>
      </c>
      <c r="B56" s="79" t="s">
        <v>289</v>
      </c>
      <c r="C56" s="79" t="s">
        <v>203</v>
      </c>
      <c r="D56" s="99">
        <v>6554</v>
      </c>
      <c r="E56" s="99">
        <v>713</v>
      </c>
      <c r="F56" s="99" t="s">
        <v>399</v>
      </c>
      <c r="G56" s="99">
        <v>38</v>
      </c>
      <c r="H56" s="99">
        <v>12</v>
      </c>
      <c r="I56" s="99">
        <v>73</v>
      </c>
      <c r="J56" s="99">
        <v>403</v>
      </c>
      <c r="K56" s="99">
        <v>125</v>
      </c>
      <c r="L56" s="99">
        <v>1107</v>
      </c>
      <c r="M56" s="99">
        <v>129</v>
      </c>
      <c r="N56" s="99">
        <v>110</v>
      </c>
      <c r="O56" s="99">
        <v>181</v>
      </c>
      <c r="P56" s="159">
        <v>181</v>
      </c>
      <c r="Q56" s="99">
        <v>7</v>
      </c>
      <c r="R56" s="99">
        <v>22</v>
      </c>
      <c r="S56" s="99">
        <v>18</v>
      </c>
      <c r="T56" s="99">
        <v>30</v>
      </c>
      <c r="U56" s="99">
        <v>6</v>
      </c>
      <c r="V56" s="99">
        <v>35</v>
      </c>
      <c r="W56" s="99">
        <v>43</v>
      </c>
      <c r="X56" s="99">
        <v>49</v>
      </c>
      <c r="Y56" s="99">
        <v>102</v>
      </c>
      <c r="Z56" s="99">
        <v>60</v>
      </c>
      <c r="AA56" s="99" t="s">
        <v>668</v>
      </c>
      <c r="AB56" s="99" t="s">
        <v>668</v>
      </c>
      <c r="AC56" s="99" t="s">
        <v>668</v>
      </c>
      <c r="AD56" s="98" t="s">
        <v>378</v>
      </c>
      <c r="AE56" s="100">
        <v>0.10878852609093684</v>
      </c>
      <c r="AF56" s="100">
        <v>0.24</v>
      </c>
      <c r="AG56" s="98">
        <v>579.7985962770827</v>
      </c>
      <c r="AH56" s="98">
        <v>183.094293561184</v>
      </c>
      <c r="AI56" s="100">
        <v>0.011000000000000001</v>
      </c>
      <c r="AJ56" s="100">
        <v>0.722222</v>
      </c>
      <c r="AK56" s="100">
        <v>0.548246</v>
      </c>
      <c r="AL56" s="100">
        <v>0.696665</v>
      </c>
      <c r="AM56" s="100">
        <v>0.269874</v>
      </c>
      <c r="AN56" s="100">
        <v>0.433071</v>
      </c>
      <c r="AO56" s="98">
        <v>2761.6722612145254</v>
      </c>
      <c r="AP56" s="158">
        <v>1.875389709</v>
      </c>
      <c r="AQ56" s="100">
        <v>0.03867403314917127</v>
      </c>
      <c r="AR56" s="100">
        <v>0.3181818181818182</v>
      </c>
      <c r="AS56" s="98">
        <v>274.641440341776</v>
      </c>
      <c r="AT56" s="98">
        <v>457.73573390296</v>
      </c>
      <c r="AU56" s="98">
        <v>91.547146780592</v>
      </c>
      <c r="AV56" s="98">
        <v>534.0250228867867</v>
      </c>
      <c r="AW56" s="98">
        <v>656.0878852609094</v>
      </c>
      <c r="AX56" s="98">
        <v>747.6350320415014</v>
      </c>
      <c r="AY56" s="98">
        <v>1556.3014952700642</v>
      </c>
      <c r="AZ56" s="98">
        <v>915.47146780592</v>
      </c>
      <c r="BA56" s="100" t="s">
        <v>668</v>
      </c>
      <c r="BB56" s="100" t="s">
        <v>668</v>
      </c>
      <c r="BC56" s="100" t="s">
        <v>668</v>
      </c>
      <c r="BD56" s="158">
        <v>1.6121194460000001</v>
      </c>
      <c r="BE56" s="158">
        <v>2.169394836</v>
      </c>
      <c r="BF56" s="162">
        <v>558</v>
      </c>
      <c r="BG56" s="162">
        <v>228</v>
      </c>
      <c r="BH56" s="162">
        <v>1589</v>
      </c>
      <c r="BI56" s="162">
        <v>478</v>
      </c>
      <c r="BJ56" s="162">
        <v>254</v>
      </c>
      <c r="BK56" s="97"/>
      <c r="BL56" s="97"/>
      <c r="BM56" s="97"/>
      <c r="BN56" s="97"/>
    </row>
    <row r="57" spans="1:66" ht="12.75">
      <c r="A57" s="79" t="s">
        <v>657</v>
      </c>
      <c r="B57" s="79" t="s">
        <v>376</v>
      </c>
      <c r="C57" s="79" t="s">
        <v>203</v>
      </c>
      <c r="D57" s="99">
        <v>4569</v>
      </c>
      <c r="E57" s="99">
        <v>187</v>
      </c>
      <c r="F57" s="99" t="s">
        <v>399</v>
      </c>
      <c r="G57" s="99">
        <v>9</v>
      </c>
      <c r="H57" s="99">
        <v>6</v>
      </c>
      <c r="I57" s="99">
        <v>21</v>
      </c>
      <c r="J57" s="99">
        <v>114</v>
      </c>
      <c r="K57" s="99">
        <v>40</v>
      </c>
      <c r="L57" s="99">
        <v>666</v>
      </c>
      <c r="M57" s="99">
        <v>29</v>
      </c>
      <c r="N57" s="99">
        <v>25</v>
      </c>
      <c r="O57" s="99">
        <v>19</v>
      </c>
      <c r="P57" s="159">
        <v>19</v>
      </c>
      <c r="Q57" s="99" t="s">
        <v>668</v>
      </c>
      <c r="R57" s="99">
        <v>11</v>
      </c>
      <c r="S57" s="99" t="s">
        <v>668</v>
      </c>
      <c r="T57" s="99" t="s">
        <v>668</v>
      </c>
      <c r="U57" s="99" t="s">
        <v>668</v>
      </c>
      <c r="V57" s="99" t="s">
        <v>668</v>
      </c>
      <c r="W57" s="99">
        <v>8</v>
      </c>
      <c r="X57" s="99">
        <v>11</v>
      </c>
      <c r="Y57" s="99">
        <v>31</v>
      </c>
      <c r="Z57" s="99">
        <v>21</v>
      </c>
      <c r="AA57" s="99" t="s">
        <v>668</v>
      </c>
      <c r="AB57" s="99" t="s">
        <v>668</v>
      </c>
      <c r="AC57" s="99" t="s">
        <v>668</v>
      </c>
      <c r="AD57" s="98" t="s">
        <v>378</v>
      </c>
      <c r="AE57" s="100">
        <v>0.04092799299627927</v>
      </c>
      <c r="AF57" s="100">
        <v>0.34</v>
      </c>
      <c r="AG57" s="98">
        <v>196.9796454366382</v>
      </c>
      <c r="AH57" s="98">
        <v>131.31976362442546</v>
      </c>
      <c r="AI57" s="100">
        <v>0.005</v>
      </c>
      <c r="AJ57" s="100">
        <v>0.561576</v>
      </c>
      <c r="AK57" s="100">
        <v>0.434783</v>
      </c>
      <c r="AL57" s="100">
        <v>0.713826</v>
      </c>
      <c r="AM57" s="100">
        <v>0.183544</v>
      </c>
      <c r="AN57" s="100">
        <v>0.301205</v>
      </c>
      <c r="AO57" s="98">
        <v>415.84591814401404</v>
      </c>
      <c r="AP57" s="158">
        <v>0.4332027435</v>
      </c>
      <c r="AQ57" s="100" t="s">
        <v>668</v>
      </c>
      <c r="AR57" s="100" t="s">
        <v>668</v>
      </c>
      <c r="AS57" s="98" t="s">
        <v>668</v>
      </c>
      <c r="AT57" s="98" t="s">
        <v>668</v>
      </c>
      <c r="AU57" s="98" t="s">
        <v>668</v>
      </c>
      <c r="AV57" s="98" t="s">
        <v>668</v>
      </c>
      <c r="AW57" s="98">
        <v>175.09301816590065</v>
      </c>
      <c r="AX57" s="98">
        <v>240.75289997811336</v>
      </c>
      <c r="AY57" s="98">
        <v>678.4854453928649</v>
      </c>
      <c r="AZ57" s="98">
        <v>459.61917268548916</v>
      </c>
      <c r="BA57" s="100" t="s">
        <v>668</v>
      </c>
      <c r="BB57" s="100" t="s">
        <v>668</v>
      </c>
      <c r="BC57" s="100" t="s">
        <v>668</v>
      </c>
      <c r="BD57" s="158">
        <v>0.2608163452</v>
      </c>
      <c r="BE57" s="158">
        <v>0.6764997101</v>
      </c>
      <c r="BF57" s="162">
        <v>203</v>
      </c>
      <c r="BG57" s="162">
        <v>92</v>
      </c>
      <c r="BH57" s="162">
        <v>933</v>
      </c>
      <c r="BI57" s="162">
        <v>158</v>
      </c>
      <c r="BJ57" s="162">
        <v>83</v>
      </c>
      <c r="BK57" s="97"/>
      <c r="BL57" s="97"/>
      <c r="BM57" s="97"/>
      <c r="BN57" s="97"/>
    </row>
    <row r="58" spans="1:66" ht="12.75">
      <c r="A58" s="79" t="s">
        <v>574</v>
      </c>
      <c r="B58" s="79" t="s">
        <v>291</v>
      </c>
      <c r="C58" s="79" t="s">
        <v>203</v>
      </c>
      <c r="D58" s="99">
        <v>5872</v>
      </c>
      <c r="E58" s="99">
        <v>303</v>
      </c>
      <c r="F58" s="99" t="s">
        <v>400</v>
      </c>
      <c r="G58" s="99">
        <v>14</v>
      </c>
      <c r="H58" s="99">
        <v>8</v>
      </c>
      <c r="I58" s="99">
        <v>35</v>
      </c>
      <c r="J58" s="99">
        <v>102</v>
      </c>
      <c r="K58" s="99">
        <v>9</v>
      </c>
      <c r="L58" s="99">
        <v>297</v>
      </c>
      <c r="M58" s="99">
        <v>47</v>
      </c>
      <c r="N58" s="99">
        <v>46</v>
      </c>
      <c r="O58" s="99">
        <v>39</v>
      </c>
      <c r="P58" s="159">
        <v>39</v>
      </c>
      <c r="Q58" s="99" t="s">
        <v>668</v>
      </c>
      <c r="R58" s="99">
        <v>11</v>
      </c>
      <c r="S58" s="99">
        <v>13</v>
      </c>
      <c r="T58" s="99">
        <v>6</v>
      </c>
      <c r="U58" s="99" t="s">
        <v>668</v>
      </c>
      <c r="V58" s="99" t="s">
        <v>668</v>
      </c>
      <c r="W58" s="99">
        <v>7</v>
      </c>
      <c r="X58" s="99">
        <v>15</v>
      </c>
      <c r="Y58" s="99">
        <v>17</v>
      </c>
      <c r="Z58" s="99">
        <v>18</v>
      </c>
      <c r="AA58" s="99" t="s">
        <v>668</v>
      </c>
      <c r="AB58" s="99" t="s">
        <v>668</v>
      </c>
      <c r="AC58" s="99" t="s">
        <v>668</v>
      </c>
      <c r="AD58" s="98" t="s">
        <v>378</v>
      </c>
      <c r="AE58" s="100">
        <v>0.0516008174386921</v>
      </c>
      <c r="AF58" s="100">
        <v>0.1</v>
      </c>
      <c r="AG58" s="98">
        <v>238.41961852861036</v>
      </c>
      <c r="AH58" s="98">
        <v>136.23978201634878</v>
      </c>
      <c r="AI58" s="100">
        <v>0.006</v>
      </c>
      <c r="AJ58" s="100">
        <v>0.586207</v>
      </c>
      <c r="AK58" s="100">
        <v>0.375</v>
      </c>
      <c r="AL58" s="100">
        <v>0.590457</v>
      </c>
      <c r="AM58" s="100">
        <v>0.259669</v>
      </c>
      <c r="AN58" s="100">
        <v>0.494624</v>
      </c>
      <c r="AO58" s="98">
        <v>664.1689373297003</v>
      </c>
      <c r="AP58" s="158">
        <v>0.7746257018999999</v>
      </c>
      <c r="AQ58" s="100" t="s">
        <v>668</v>
      </c>
      <c r="AR58" s="100" t="s">
        <v>668</v>
      </c>
      <c r="AS58" s="98">
        <v>221.38964577656677</v>
      </c>
      <c r="AT58" s="98">
        <v>102.17983651226157</v>
      </c>
      <c r="AU58" s="98" t="s">
        <v>668</v>
      </c>
      <c r="AV58" s="98" t="s">
        <v>668</v>
      </c>
      <c r="AW58" s="98">
        <v>119.20980926430518</v>
      </c>
      <c r="AX58" s="98">
        <v>255.44959128065395</v>
      </c>
      <c r="AY58" s="98">
        <v>289.50953678474116</v>
      </c>
      <c r="AZ58" s="98">
        <v>306.53950953678475</v>
      </c>
      <c r="BA58" s="100" t="s">
        <v>668</v>
      </c>
      <c r="BB58" s="100" t="s">
        <v>668</v>
      </c>
      <c r="BC58" s="100" t="s">
        <v>668</v>
      </c>
      <c r="BD58" s="158">
        <v>0.5508345795</v>
      </c>
      <c r="BE58" s="158">
        <v>1.058938828</v>
      </c>
      <c r="BF58" s="162">
        <v>174</v>
      </c>
      <c r="BG58" s="162">
        <v>24</v>
      </c>
      <c r="BH58" s="162">
        <v>503</v>
      </c>
      <c r="BI58" s="162">
        <v>181</v>
      </c>
      <c r="BJ58" s="162">
        <v>93</v>
      </c>
      <c r="BK58" s="97"/>
      <c r="BL58" s="97"/>
      <c r="BM58" s="97"/>
      <c r="BN58" s="97"/>
    </row>
    <row r="59" spans="1:66" ht="12.75">
      <c r="A59" s="79" t="s">
        <v>607</v>
      </c>
      <c r="B59" s="79" t="s">
        <v>325</v>
      </c>
      <c r="C59" s="79" t="s">
        <v>203</v>
      </c>
      <c r="D59" s="99">
        <v>2536</v>
      </c>
      <c r="E59" s="99">
        <v>274</v>
      </c>
      <c r="F59" s="99" t="s">
        <v>399</v>
      </c>
      <c r="G59" s="99">
        <v>12</v>
      </c>
      <c r="H59" s="99" t="s">
        <v>668</v>
      </c>
      <c r="I59" s="99">
        <v>27</v>
      </c>
      <c r="J59" s="99">
        <v>168</v>
      </c>
      <c r="K59" s="99">
        <v>19</v>
      </c>
      <c r="L59" s="99">
        <v>428</v>
      </c>
      <c r="M59" s="99">
        <v>46</v>
      </c>
      <c r="N59" s="99">
        <v>43</v>
      </c>
      <c r="O59" s="99">
        <v>24</v>
      </c>
      <c r="P59" s="159">
        <v>24</v>
      </c>
      <c r="Q59" s="99" t="s">
        <v>668</v>
      </c>
      <c r="R59" s="99">
        <v>10</v>
      </c>
      <c r="S59" s="99" t="s">
        <v>668</v>
      </c>
      <c r="T59" s="99">
        <v>6</v>
      </c>
      <c r="U59" s="99" t="s">
        <v>668</v>
      </c>
      <c r="V59" s="99" t="s">
        <v>668</v>
      </c>
      <c r="W59" s="99">
        <v>9</v>
      </c>
      <c r="X59" s="99">
        <v>11</v>
      </c>
      <c r="Y59" s="99">
        <v>11</v>
      </c>
      <c r="Z59" s="99">
        <v>15</v>
      </c>
      <c r="AA59" s="99" t="s">
        <v>668</v>
      </c>
      <c r="AB59" s="99" t="s">
        <v>668</v>
      </c>
      <c r="AC59" s="99" t="s">
        <v>668</v>
      </c>
      <c r="AD59" s="98" t="s">
        <v>378</v>
      </c>
      <c r="AE59" s="100">
        <v>0.10804416403785488</v>
      </c>
      <c r="AF59" s="100">
        <v>0.32</v>
      </c>
      <c r="AG59" s="98">
        <v>473.18611987381706</v>
      </c>
      <c r="AH59" s="98" t="s">
        <v>668</v>
      </c>
      <c r="AI59" s="100">
        <v>0.011000000000000001</v>
      </c>
      <c r="AJ59" s="100">
        <v>0.636364</v>
      </c>
      <c r="AK59" s="100">
        <v>0.527778</v>
      </c>
      <c r="AL59" s="100">
        <v>0.689211</v>
      </c>
      <c r="AM59" s="100">
        <v>0.22549</v>
      </c>
      <c r="AN59" s="100">
        <v>0.43</v>
      </c>
      <c r="AO59" s="98">
        <v>946.3722397476341</v>
      </c>
      <c r="AP59" s="158">
        <v>0.6197609711</v>
      </c>
      <c r="AQ59" s="100" t="s">
        <v>668</v>
      </c>
      <c r="AR59" s="100" t="s">
        <v>668</v>
      </c>
      <c r="AS59" s="98" t="s">
        <v>668</v>
      </c>
      <c r="AT59" s="98">
        <v>236.59305993690853</v>
      </c>
      <c r="AU59" s="98" t="s">
        <v>668</v>
      </c>
      <c r="AV59" s="98" t="s">
        <v>668</v>
      </c>
      <c r="AW59" s="98">
        <v>354.88958990536275</v>
      </c>
      <c r="AX59" s="98">
        <v>433.7539432176656</v>
      </c>
      <c r="AY59" s="98">
        <v>433.7539432176656</v>
      </c>
      <c r="AZ59" s="98">
        <v>591.4826498422713</v>
      </c>
      <c r="BA59" s="100" t="s">
        <v>668</v>
      </c>
      <c r="BB59" s="100" t="s">
        <v>668</v>
      </c>
      <c r="BC59" s="100" t="s">
        <v>668</v>
      </c>
      <c r="BD59" s="158">
        <v>0.3970925522</v>
      </c>
      <c r="BE59" s="158">
        <v>0.9221551513999999</v>
      </c>
      <c r="BF59" s="162">
        <v>264</v>
      </c>
      <c r="BG59" s="162">
        <v>36</v>
      </c>
      <c r="BH59" s="162">
        <v>621</v>
      </c>
      <c r="BI59" s="162">
        <v>204</v>
      </c>
      <c r="BJ59" s="162">
        <v>100</v>
      </c>
      <c r="BK59" s="97"/>
      <c r="BL59" s="97"/>
      <c r="BM59" s="97"/>
      <c r="BN59" s="97"/>
    </row>
    <row r="60" spans="1:66" ht="12.75">
      <c r="A60" s="79" t="s">
        <v>594</v>
      </c>
      <c r="B60" s="79" t="s">
        <v>312</v>
      </c>
      <c r="C60" s="79" t="s">
        <v>203</v>
      </c>
      <c r="D60" s="99">
        <v>5559</v>
      </c>
      <c r="E60" s="99">
        <v>821</v>
      </c>
      <c r="F60" s="99" t="s">
        <v>399</v>
      </c>
      <c r="G60" s="99">
        <v>24</v>
      </c>
      <c r="H60" s="99">
        <v>27</v>
      </c>
      <c r="I60" s="99">
        <v>86</v>
      </c>
      <c r="J60" s="99">
        <v>419</v>
      </c>
      <c r="K60" s="99">
        <v>415</v>
      </c>
      <c r="L60" s="99">
        <v>884</v>
      </c>
      <c r="M60" s="99">
        <v>228</v>
      </c>
      <c r="N60" s="99">
        <v>95</v>
      </c>
      <c r="O60" s="99">
        <v>42</v>
      </c>
      <c r="P60" s="159">
        <v>42</v>
      </c>
      <c r="Q60" s="99" t="s">
        <v>668</v>
      </c>
      <c r="R60" s="99">
        <v>20</v>
      </c>
      <c r="S60" s="99">
        <v>8</v>
      </c>
      <c r="T60" s="99" t="s">
        <v>668</v>
      </c>
      <c r="U60" s="99" t="s">
        <v>668</v>
      </c>
      <c r="V60" s="99">
        <v>8</v>
      </c>
      <c r="W60" s="99">
        <v>26</v>
      </c>
      <c r="X60" s="99">
        <v>23</v>
      </c>
      <c r="Y60" s="99">
        <v>67</v>
      </c>
      <c r="Z60" s="99">
        <v>48</v>
      </c>
      <c r="AA60" s="99" t="s">
        <v>668</v>
      </c>
      <c r="AB60" s="99" t="s">
        <v>668</v>
      </c>
      <c r="AC60" s="99" t="s">
        <v>668</v>
      </c>
      <c r="AD60" s="98" t="s">
        <v>378</v>
      </c>
      <c r="AE60" s="100">
        <v>0.1476884331714337</v>
      </c>
      <c r="AF60" s="100">
        <v>0.29</v>
      </c>
      <c r="AG60" s="98">
        <v>431.7323259579061</v>
      </c>
      <c r="AH60" s="98">
        <v>485.69886670264435</v>
      </c>
      <c r="AI60" s="100">
        <v>0.015</v>
      </c>
      <c r="AJ60" s="100">
        <v>0.705387</v>
      </c>
      <c r="AK60" s="100">
        <v>0.713058</v>
      </c>
      <c r="AL60" s="100">
        <v>0.702145</v>
      </c>
      <c r="AM60" s="100">
        <v>0.391753</v>
      </c>
      <c r="AN60" s="100">
        <v>0.454545</v>
      </c>
      <c r="AO60" s="98">
        <v>755.5315704263356</v>
      </c>
      <c r="AP60" s="158">
        <v>0.4393820572</v>
      </c>
      <c r="AQ60" s="100" t="s">
        <v>668</v>
      </c>
      <c r="AR60" s="100" t="s">
        <v>668</v>
      </c>
      <c r="AS60" s="98">
        <v>143.91077531930202</v>
      </c>
      <c r="AT60" s="98" t="s">
        <v>668</v>
      </c>
      <c r="AU60" s="98" t="s">
        <v>668</v>
      </c>
      <c r="AV60" s="98">
        <v>143.91077531930202</v>
      </c>
      <c r="AW60" s="98">
        <v>467.7100197877316</v>
      </c>
      <c r="AX60" s="98">
        <v>413.74347904299333</v>
      </c>
      <c r="AY60" s="98">
        <v>1205.2527432991544</v>
      </c>
      <c r="AZ60" s="98">
        <v>863.4646519158122</v>
      </c>
      <c r="BA60" s="100" t="s">
        <v>668</v>
      </c>
      <c r="BB60" s="100" t="s">
        <v>668</v>
      </c>
      <c r="BC60" s="100" t="s">
        <v>668</v>
      </c>
      <c r="BD60" s="158">
        <v>0.3166679382</v>
      </c>
      <c r="BE60" s="158">
        <v>0.5939168930000001</v>
      </c>
      <c r="BF60" s="162">
        <v>594</v>
      </c>
      <c r="BG60" s="162">
        <v>582</v>
      </c>
      <c r="BH60" s="162">
        <v>1259</v>
      </c>
      <c r="BI60" s="162">
        <v>582</v>
      </c>
      <c r="BJ60" s="162">
        <v>209</v>
      </c>
      <c r="BK60" s="97"/>
      <c r="BL60" s="97"/>
      <c r="BM60" s="97"/>
      <c r="BN60" s="97"/>
    </row>
    <row r="61" spans="1:66" ht="12.75">
      <c r="A61" s="79" t="s">
        <v>625</v>
      </c>
      <c r="B61" s="79" t="s">
        <v>344</v>
      </c>
      <c r="C61" s="79" t="s">
        <v>203</v>
      </c>
      <c r="D61" s="99">
        <v>2452</v>
      </c>
      <c r="E61" s="99">
        <v>191</v>
      </c>
      <c r="F61" s="99" t="s">
        <v>399</v>
      </c>
      <c r="G61" s="99" t="s">
        <v>668</v>
      </c>
      <c r="H61" s="99" t="s">
        <v>668</v>
      </c>
      <c r="I61" s="99">
        <v>22</v>
      </c>
      <c r="J61" s="99">
        <v>65</v>
      </c>
      <c r="K61" s="99">
        <v>51</v>
      </c>
      <c r="L61" s="99">
        <v>254</v>
      </c>
      <c r="M61" s="99">
        <v>23</v>
      </c>
      <c r="N61" s="99">
        <v>21</v>
      </c>
      <c r="O61" s="99">
        <v>20</v>
      </c>
      <c r="P61" s="159">
        <v>20</v>
      </c>
      <c r="Q61" s="99" t="s">
        <v>668</v>
      </c>
      <c r="R61" s="99" t="s">
        <v>668</v>
      </c>
      <c r="S61" s="99" t="s">
        <v>668</v>
      </c>
      <c r="T61" s="99" t="s">
        <v>668</v>
      </c>
      <c r="U61" s="99" t="s">
        <v>668</v>
      </c>
      <c r="V61" s="99" t="s">
        <v>668</v>
      </c>
      <c r="W61" s="99">
        <v>7</v>
      </c>
      <c r="X61" s="99" t="s">
        <v>668</v>
      </c>
      <c r="Y61" s="99">
        <v>20</v>
      </c>
      <c r="Z61" s="99">
        <v>12</v>
      </c>
      <c r="AA61" s="99" t="s">
        <v>668</v>
      </c>
      <c r="AB61" s="99" t="s">
        <v>668</v>
      </c>
      <c r="AC61" s="99" t="s">
        <v>668</v>
      </c>
      <c r="AD61" s="98" t="s">
        <v>378</v>
      </c>
      <c r="AE61" s="100">
        <v>0.07789559543230017</v>
      </c>
      <c r="AF61" s="100">
        <v>0.34</v>
      </c>
      <c r="AG61" s="98" t="s">
        <v>668</v>
      </c>
      <c r="AH61" s="98" t="s">
        <v>668</v>
      </c>
      <c r="AI61" s="100">
        <v>0.009000000000000001</v>
      </c>
      <c r="AJ61" s="100">
        <v>0.570175</v>
      </c>
      <c r="AK61" s="100">
        <v>0.525773</v>
      </c>
      <c r="AL61" s="100">
        <v>0.599057</v>
      </c>
      <c r="AM61" s="100">
        <v>0.207207</v>
      </c>
      <c r="AN61" s="100">
        <v>0.368421</v>
      </c>
      <c r="AO61" s="98">
        <v>815.6606851549756</v>
      </c>
      <c r="AP61" s="158">
        <v>0.7226170349000001</v>
      </c>
      <c r="AQ61" s="100" t="s">
        <v>668</v>
      </c>
      <c r="AR61" s="100" t="s">
        <v>668</v>
      </c>
      <c r="AS61" s="98" t="s">
        <v>668</v>
      </c>
      <c r="AT61" s="98" t="s">
        <v>668</v>
      </c>
      <c r="AU61" s="98" t="s">
        <v>668</v>
      </c>
      <c r="AV61" s="98" t="s">
        <v>668</v>
      </c>
      <c r="AW61" s="98">
        <v>285.48123980424145</v>
      </c>
      <c r="AX61" s="98" t="s">
        <v>668</v>
      </c>
      <c r="AY61" s="98">
        <v>815.6606851549756</v>
      </c>
      <c r="AZ61" s="98">
        <v>489.3964110929853</v>
      </c>
      <c r="BA61" s="100" t="s">
        <v>668</v>
      </c>
      <c r="BB61" s="100" t="s">
        <v>668</v>
      </c>
      <c r="BC61" s="100" t="s">
        <v>668</v>
      </c>
      <c r="BD61" s="158">
        <v>0.44139328</v>
      </c>
      <c r="BE61" s="158">
        <v>1.116023407</v>
      </c>
      <c r="BF61" s="162">
        <v>114</v>
      </c>
      <c r="BG61" s="162">
        <v>97</v>
      </c>
      <c r="BH61" s="162">
        <v>424</v>
      </c>
      <c r="BI61" s="162">
        <v>111</v>
      </c>
      <c r="BJ61" s="162">
        <v>57</v>
      </c>
      <c r="BK61" s="97"/>
      <c r="BL61" s="97"/>
      <c r="BM61" s="97"/>
      <c r="BN61" s="97"/>
    </row>
    <row r="62" spans="1:66" ht="12.75">
      <c r="A62" s="79" t="s">
        <v>602</v>
      </c>
      <c r="B62" s="79" t="s">
        <v>320</v>
      </c>
      <c r="C62" s="79" t="s">
        <v>203</v>
      </c>
      <c r="D62" s="99">
        <v>6762</v>
      </c>
      <c r="E62" s="99">
        <v>547</v>
      </c>
      <c r="F62" s="99" t="s">
        <v>399</v>
      </c>
      <c r="G62" s="99">
        <v>33</v>
      </c>
      <c r="H62" s="99">
        <v>17</v>
      </c>
      <c r="I62" s="99">
        <v>69</v>
      </c>
      <c r="J62" s="99">
        <v>240</v>
      </c>
      <c r="K62" s="99">
        <v>6</v>
      </c>
      <c r="L62" s="99">
        <v>1172</v>
      </c>
      <c r="M62" s="99">
        <v>61</v>
      </c>
      <c r="N62" s="99">
        <v>52</v>
      </c>
      <c r="O62" s="99">
        <v>67</v>
      </c>
      <c r="P62" s="159">
        <v>67</v>
      </c>
      <c r="Q62" s="99">
        <v>12</v>
      </c>
      <c r="R62" s="99">
        <v>18</v>
      </c>
      <c r="S62" s="99">
        <v>12</v>
      </c>
      <c r="T62" s="99">
        <v>11</v>
      </c>
      <c r="U62" s="99" t="s">
        <v>668</v>
      </c>
      <c r="V62" s="99">
        <v>9</v>
      </c>
      <c r="W62" s="99">
        <v>26</v>
      </c>
      <c r="X62" s="99">
        <v>25</v>
      </c>
      <c r="Y62" s="99">
        <v>47</v>
      </c>
      <c r="Z62" s="99">
        <v>47</v>
      </c>
      <c r="AA62" s="99" t="s">
        <v>668</v>
      </c>
      <c r="AB62" s="99" t="s">
        <v>668</v>
      </c>
      <c r="AC62" s="99" t="s">
        <v>668</v>
      </c>
      <c r="AD62" s="98" t="s">
        <v>378</v>
      </c>
      <c r="AE62" s="100">
        <v>0.08089322685595977</v>
      </c>
      <c r="AF62" s="100">
        <v>0.39</v>
      </c>
      <c r="AG62" s="98">
        <v>488.0212954747116</v>
      </c>
      <c r="AH62" s="98">
        <v>251.40490979000296</v>
      </c>
      <c r="AI62" s="100">
        <v>0.01</v>
      </c>
      <c r="AJ62" s="100">
        <v>0.494845</v>
      </c>
      <c r="AK62" s="100">
        <v>0.428571</v>
      </c>
      <c r="AL62" s="100">
        <v>0.725697</v>
      </c>
      <c r="AM62" s="100">
        <v>0.173295</v>
      </c>
      <c r="AN62" s="100">
        <v>0.298851</v>
      </c>
      <c r="AO62" s="98">
        <v>990.8311150547175</v>
      </c>
      <c r="AP62" s="158">
        <v>0.7663097381999999</v>
      </c>
      <c r="AQ62" s="100">
        <v>0.1791044776119403</v>
      </c>
      <c r="AR62" s="100">
        <v>0.6666666666666666</v>
      </c>
      <c r="AS62" s="98">
        <v>177.4622892635315</v>
      </c>
      <c r="AT62" s="98">
        <v>162.67376515823722</v>
      </c>
      <c r="AU62" s="98" t="s">
        <v>668</v>
      </c>
      <c r="AV62" s="98">
        <v>133.09671694764862</v>
      </c>
      <c r="AW62" s="98">
        <v>384.5016267376516</v>
      </c>
      <c r="AX62" s="98">
        <v>369.7131026323573</v>
      </c>
      <c r="AY62" s="98">
        <v>695.0606329488317</v>
      </c>
      <c r="AZ62" s="98">
        <v>695.0606329488317</v>
      </c>
      <c r="BA62" s="100" t="s">
        <v>668</v>
      </c>
      <c r="BB62" s="100" t="s">
        <v>668</v>
      </c>
      <c r="BC62" s="100" t="s">
        <v>668</v>
      </c>
      <c r="BD62" s="158">
        <v>0.5938795471</v>
      </c>
      <c r="BE62" s="158">
        <v>0.9731863403</v>
      </c>
      <c r="BF62" s="162">
        <v>485</v>
      </c>
      <c r="BG62" s="162">
        <v>14</v>
      </c>
      <c r="BH62" s="162">
        <v>1615</v>
      </c>
      <c r="BI62" s="162">
        <v>352</v>
      </c>
      <c r="BJ62" s="162">
        <v>174</v>
      </c>
      <c r="BK62" s="97"/>
      <c r="BL62" s="97"/>
      <c r="BM62" s="97"/>
      <c r="BN62" s="97"/>
    </row>
    <row r="63" spans="1:66" ht="12.75">
      <c r="A63" s="79" t="s">
        <v>586</v>
      </c>
      <c r="B63" s="79" t="s">
        <v>303</v>
      </c>
      <c r="C63" s="79" t="s">
        <v>203</v>
      </c>
      <c r="D63" s="99">
        <v>12562</v>
      </c>
      <c r="E63" s="99">
        <v>1345</v>
      </c>
      <c r="F63" s="99" t="s">
        <v>399</v>
      </c>
      <c r="G63" s="99">
        <v>42</v>
      </c>
      <c r="H63" s="99">
        <v>21</v>
      </c>
      <c r="I63" s="99">
        <v>110</v>
      </c>
      <c r="J63" s="99">
        <v>524</v>
      </c>
      <c r="K63" s="99">
        <v>149</v>
      </c>
      <c r="L63" s="99">
        <v>1952</v>
      </c>
      <c r="M63" s="99">
        <v>297</v>
      </c>
      <c r="N63" s="99">
        <v>121</v>
      </c>
      <c r="O63" s="99">
        <v>162</v>
      </c>
      <c r="P63" s="159">
        <v>162</v>
      </c>
      <c r="Q63" s="99">
        <v>13</v>
      </c>
      <c r="R63" s="99">
        <v>36</v>
      </c>
      <c r="S63" s="99">
        <v>29</v>
      </c>
      <c r="T63" s="99">
        <v>23</v>
      </c>
      <c r="U63" s="99">
        <v>7</v>
      </c>
      <c r="V63" s="99">
        <v>19</v>
      </c>
      <c r="W63" s="99">
        <v>62</v>
      </c>
      <c r="X63" s="99">
        <v>42</v>
      </c>
      <c r="Y63" s="99">
        <v>116</v>
      </c>
      <c r="Z63" s="99">
        <v>74</v>
      </c>
      <c r="AA63" s="99" t="s">
        <v>668</v>
      </c>
      <c r="AB63" s="99" t="s">
        <v>668</v>
      </c>
      <c r="AC63" s="99" t="s">
        <v>668</v>
      </c>
      <c r="AD63" s="98" t="s">
        <v>378</v>
      </c>
      <c r="AE63" s="100">
        <v>0.10706893806718676</v>
      </c>
      <c r="AF63" s="100">
        <v>0.33</v>
      </c>
      <c r="AG63" s="98">
        <v>334.341665339914</v>
      </c>
      <c r="AH63" s="98">
        <v>167.170832669957</v>
      </c>
      <c r="AI63" s="100">
        <v>0.009000000000000001</v>
      </c>
      <c r="AJ63" s="100">
        <v>0.575192</v>
      </c>
      <c r="AK63" s="100">
        <v>0.737624</v>
      </c>
      <c r="AL63" s="100">
        <v>0.675433</v>
      </c>
      <c r="AM63" s="100">
        <v>0.396</v>
      </c>
      <c r="AN63" s="100">
        <v>0.451493</v>
      </c>
      <c r="AO63" s="98">
        <v>1289.603566311097</v>
      </c>
      <c r="AP63" s="158">
        <v>0.9313274384</v>
      </c>
      <c r="AQ63" s="100">
        <v>0.08024691358024691</v>
      </c>
      <c r="AR63" s="100">
        <v>0.3611111111111111</v>
      </c>
      <c r="AS63" s="98">
        <v>230.8549594013692</v>
      </c>
      <c r="AT63" s="98">
        <v>183.09186435281006</v>
      </c>
      <c r="AU63" s="98">
        <v>55.72361088998567</v>
      </c>
      <c r="AV63" s="98">
        <v>151.24980098710395</v>
      </c>
      <c r="AW63" s="98">
        <v>493.5519821684445</v>
      </c>
      <c r="AX63" s="98">
        <v>334.341665339914</v>
      </c>
      <c r="AY63" s="98">
        <v>923.4198376054768</v>
      </c>
      <c r="AZ63" s="98">
        <v>589.0781722655628</v>
      </c>
      <c r="BA63" s="100" t="s">
        <v>668</v>
      </c>
      <c r="BB63" s="100" t="s">
        <v>668</v>
      </c>
      <c r="BC63" s="100" t="s">
        <v>668</v>
      </c>
      <c r="BD63" s="158">
        <v>0.7934332275</v>
      </c>
      <c r="BE63" s="158">
        <v>1.086298141</v>
      </c>
      <c r="BF63" s="162">
        <v>911</v>
      </c>
      <c r="BG63" s="162">
        <v>202</v>
      </c>
      <c r="BH63" s="162">
        <v>2890</v>
      </c>
      <c r="BI63" s="162">
        <v>750</v>
      </c>
      <c r="BJ63" s="162">
        <v>268</v>
      </c>
      <c r="BK63" s="97"/>
      <c r="BL63" s="97"/>
      <c r="BM63" s="97"/>
      <c r="BN63" s="97"/>
    </row>
    <row r="64" spans="1:66" ht="12.75">
      <c r="A64" s="79" t="s">
        <v>618</v>
      </c>
      <c r="B64" s="79" t="s">
        <v>337</v>
      </c>
      <c r="C64" s="79" t="s">
        <v>203</v>
      </c>
      <c r="D64" s="99">
        <v>5147</v>
      </c>
      <c r="E64" s="99">
        <v>681</v>
      </c>
      <c r="F64" s="99" t="s">
        <v>399</v>
      </c>
      <c r="G64" s="99">
        <v>24</v>
      </c>
      <c r="H64" s="99">
        <v>15</v>
      </c>
      <c r="I64" s="99">
        <v>89</v>
      </c>
      <c r="J64" s="99">
        <v>388</v>
      </c>
      <c r="K64" s="99">
        <v>371</v>
      </c>
      <c r="L64" s="99">
        <v>881</v>
      </c>
      <c r="M64" s="99">
        <v>188</v>
      </c>
      <c r="N64" s="99">
        <v>76</v>
      </c>
      <c r="O64" s="99">
        <v>71</v>
      </c>
      <c r="P64" s="159">
        <v>71</v>
      </c>
      <c r="Q64" s="99">
        <v>7</v>
      </c>
      <c r="R64" s="99">
        <v>20</v>
      </c>
      <c r="S64" s="99">
        <v>9</v>
      </c>
      <c r="T64" s="99">
        <v>12</v>
      </c>
      <c r="U64" s="99">
        <v>9</v>
      </c>
      <c r="V64" s="99">
        <v>7</v>
      </c>
      <c r="W64" s="99">
        <v>56</v>
      </c>
      <c r="X64" s="99">
        <v>31</v>
      </c>
      <c r="Y64" s="99">
        <v>114</v>
      </c>
      <c r="Z64" s="99">
        <v>39</v>
      </c>
      <c r="AA64" s="99" t="s">
        <v>668</v>
      </c>
      <c r="AB64" s="99" t="s">
        <v>668</v>
      </c>
      <c r="AC64" s="99" t="s">
        <v>668</v>
      </c>
      <c r="AD64" s="98" t="s">
        <v>378</v>
      </c>
      <c r="AE64" s="100">
        <v>0.13231008354381193</v>
      </c>
      <c r="AF64" s="100">
        <v>0.31</v>
      </c>
      <c r="AG64" s="98">
        <v>466.29104332620943</v>
      </c>
      <c r="AH64" s="98">
        <v>291.4319020788809</v>
      </c>
      <c r="AI64" s="100">
        <v>0.017</v>
      </c>
      <c r="AJ64" s="100">
        <v>0.638158</v>
      </c>
      <c r="AK64" s="100">
        <v>0.636364</v>
      </c>
      <c r="AL64" s="100">
        <v>0.69098</v>
      </c>
      <c r="AM64" s="100">
        <v>0.371542</v>
      </c>
      <c r="AN64" s="100">
        <v>0.391753</v>
      </c>
      <c r="AO64" s="98">
        <v>1379.444336506703</v>
      </c>
      <c r="AP64" s="158">
        <v>0.8200179291</v>
      </c>
      <c r="AQ64" s="100">
        <v>0.09859154929577464</v>
      </c>
      <c r="AR64" s="100">
        <v>0.35</v>
      </c>
      <c r="AS64" s="98">
        <v>174.85914124732855</v>
      </c>
      <c r="AT64" s="98">
        <v>233.14552166310472</v>
      </c>
      <c r="AU64" s="98">
        <v>174.85914124732855</v>
      </c>
      <c r="AV64" s="98">
        <v>136.00155430347775</v>
      </c>
      <c r="AW64" s="98">
        <v>1088.012434427822</v>
      </c>
      <c r="AX64" s="98">
        <v>602.2925976296872</v>
      </c>
      <c r="AY64" s="98">
        <v>2214.882455799495</v>
      </c>
      <c r="AZ64" s="98">
        <v>757.7229454050904</v>
      </c>
      <c r="BA64" s="100" t="s">
        <v>668</v>
      </c>
      <c r="BB64" s="100" t="s">
        <v>668</v>
      </c>
      <c r="BC64" s="100" t="s">
        <v>668</v>
      </c>
      <c r="BD64" s="158">
        <v>0.6404407501</v>
      </c>
      <c r="BE64" s="158">
        <v>1.034340973</v>
      </c>
      <c r="BF64" s="162">
        <v>608</v>
      </c>
      <c r="BG64" s="162">
        <v>583</v>
      </c>
      <c r="BH64" s="162">
        <v>1275</v>
      </c>
      <c r="BI64" s="162">
        <v>506</v>
      </c>
      <c r="BJ64" s="162">
        <v>194</v>
      </c>
      <c r="BK64" s="97"/>
      <c r="BL64" s="97"/>
      <c r="BM64" s="97"/>
      <c r="BN64" s="97"/>
    </row>
    <row r="65" spans="1:66" ht="12.75">
      <c r="A65" s="79" t="s">
        <v>570</v>
      </c>
      <c r="B65" s="79" t="s">
        <v>287</v>
      </c>
      <c r="C65" s="79" t="s">
        <v>203</v>
      </c>
      <c r="D65" s="99">
        <v>10823</v>
      </c>
      <c r="E65" s="99">
        <v>1938</v>
      </c>
      <c r="F65" s="99" t="s">
        <v>401</v>
      </c>
      <c r="G65" s="99">
        <v>59</v>
      </c>
      <c r="H65" s="99">
        <v>31</v>
      </c>
      <c r="I65" s="99">
        <v>184</v>
      </c>
      <c r="J65" s="99">
        <v>803</v>
      </c>
      <c r="K65" s="99">
        <v>16</v>
      </c>
      <c r="L65" s="99">
        <v>1949</v>
      </c>
      <c r="M65" s="99">
        <v>347</v>
      </c>
      <c r="N65" s="99">
        <v>301</v>
      </c>
      <c r="O65" s="99">
        <v>289</v>
      </c>
      <c r="P65" s="159">
        <v>289</v>
      </c>
      <c r="Q65" s="99">
        <v>25</v>
      </c>
      <c r="R65" s="99">
        <v>50</v>
      </c>
      <c r="S65" s="99">
        <v>54</v>
      </c>
      <c r="T65" s="99">
        <v>45</v>
      </c>
      <c r="U65" s="99">
        <v>8</v>
      </c>
      <c r="V65" s="99">
        <v>49</v>
      </c>
      <c r="W65" s="99">
        <v>70</v>
      </c>
      <c r="X65" s="99">
        <v>53</v>
      </c>
      <c r="Y65" s="99">
        <v>146</v>
      </c>
      <c r="Z65" s="99">
        <v>91</v>
      </c>
      <c r="AA65" s="99" t="s">
        <v>668</v>
      </c>
      <c r="AB65" s="99" t="s">
        <v>668</v>
      </c>
      <c r="AC65" s="99" t="s">
        <v>668</v>
      </c>
      <c r="AD65" s="98" t="s">
        <v>378</v>
      </c>
      <c r="AE65" s="100">
        <v>0.1790631063475931</v>
      </c>
      <c r="AF65" s="100">
        <v>0.17</v>
      </c>
      <c r="AG65" s="98">
        <v>545.1353598817334</v>
      </c>
      <c r="AH65" s="98">
        <v>286.42705349718193</v>
      </c>
      <c r="AI65" s="100">
        <v>0.017</v>
      </c>
      <c r="AJ65" s="100">
        <v>0.638315</v>
      </c>
      <c r="AK65" s="100">
        <v>0.516129</v>
      </c>
      <c r="AL65" s="100">
        <v>0.713658</v>
      </c>
      <c r="AM65" s="100">
        <v>0.294068</v>
      </c>
      <c r="AN65" s="100">
        <v>0.486268</v>
      </c>
      <c r="AO65" s="98">
        <v>2670.2393051834056</v>
      </c>
      <c r="AP65" s="158">
        <v>1.362615051</v>
      </c>
      <c r="AQ65" s="100">
        <v>0.08650519031141868</v>
      </c>
      <c r="AR65" s="100">
        <v>0.5</v>
      </c>
      <c r="AS65" s="98">
        <v>498.93744802734915</v>
      </c>
      <c r="AT65" s="98">
        <v>415.78120668945763</v>
      </c>
      <c r="AU65" s="98">
        <v>73.9166589670147</v>
      </c>
      <c r="AV65" s="98">
        <v>452.73953617296496</v>
      </c>
      <c r="AW65" s="98">
        <v>646.7707659613785</v>
      </c>
      <c r="AX65" s="98">
        <v>489.69786565647235</v>
      </c>
      <c r="AY65" s="98">
        <v>1348.9790261480182</v>
      </c>
      <c r="AZ65" s="98">
        <v>840.8019957497921</v>
      </c>
      <c r="BA65" s="100" t="s">
        <v>668</v>
      </c>
      <c r="BB65" s="100" t="s">
        <v>668</v>
      </c>
      <c r="BC65" s="100" t="s">
        <v>668</v>
      </c>
      <c r="BD65" s="158">
        <v>1.210028763</v>
      </c>
      <c r="BE65" s="158">
        <v>1.5291172789999998</v>
      </c>
      <c r="BF65" s="162">
        <v>1258</v>
      </c>
      <c r="BG65" s="162">
        <v>31</v>
      </c>
      <c r="BH65" s="162">
        <v>2731</v>
      </c>
      <c r="BI65" s="162">
        <v>1180</v>
      </c>
      <c r="BJ65" s="162">
        <v>619</v>
      </c>
      <c r="BK65" s="97"/>
      <c r="BL65" s="97"/>
      <c r="BM65" s="97"/>
      <c r="BN65" s="97"/>
    </row>
    <row r="66" spans="1:66" ht="12.75">
      <c r="A66" s="79" t="s">
        <v>639</v>
      </c>
      <c r="B66" s="79" t="s">
        <v>358</v>
      </c>
      <c r="C66" s="79" t="s">
        <v>203</v>
      </c>
      <c r="D66" s="99">
        <v>2583</v>
      </c>
      <c r="E66" s="99">
        <v>291</v>
      </c>
      <c r="F66" s="99" t="s">
        <v>399</v>
      </c>
      <c r="G66" s="99">
        <v>8</v>
      </c>
      <c r="H66" s="99">
        <v>10</v>
      </c>
      <c r="I66" s="99">
        <v>30</v>
      </c>
      <c r="J66" s="99">
        <v>120</v>
      </c>
      <c r="K66" s="99" t="s">
        <v>668</v>
      </c>
      <c r="L66" s="99">
        <v>470</v>
      </c>
      <c r="M66" s="99">
        <v>42</v>
      </c>
      <c r="N66" s="99">
        <v>38</v>
      </c>
      <c r="O66" s="99">
        <v>78</v>
      </c>
      <c r="P66" s="159">
        <v>78</v>
      </c>
      <c r="Q66" s="99" t="s">
        <v>668</v>
      </c>
      <c r="R66" s="99">
        <v>8</v>
      </c>
      <c r="S66" s="99">
        <v>11</v>
      </c>
      <c r="T66" s="99">
        <v>25</v>
      </c>
      <c r="U66" s="99" t="s">
        <v>668</v>
      </c>
      <c r="V66" s="99">
        <v>6</v>
      </c>
      <c r="W66" s="99">
        <v>13</v>
      </c>
      <c r="X66" s="99">
        <v>11</v>
      </c>
      <c r="Y66" s="99">
        <v>41</v>
      </c>
      <c r="Z66" s="99">
        <v>46</v>
      </c>
      <c r="AA66" s="99" t="s">
        <v>668</v>
      </c>
      <c r="AB66" s="99" t="s">
        <v>668</v>
      </c>
      <c r="AC66" s="99" t="s">
        <v>668</v>
      </c>
      <c r="AD66" s="98" t="s">
        <v>378</v>
      </c>
      <c r="AE66" s="100">
        <v>0.11265969802555169</v>
      </c>
      <c r="AF66" s="100">
        <v>0.26</v>
      </c>
      <c r="AG66" s="98">
        <v>309.71738288811457</v>
      </c>
      <c r="AH66" s="98">
        <v>387.14672861014327</v>
      </c>
      <c r="AI66" s="100">
        <v>0.012</v>
      </c>
      <c r="AJ66" s="100">
        <v>0.526316</v>
      </c>
      <c r="AK66" s="100" t="s">
        <v>668</v>
      </c>
      <c r="AL66" s="100">
        <v>0.756844</v>
      </c>
      <c r="AM66" s="100">
        <v>0.206897</v>
      </c>
      <c r="AN66" s="100">
        <v>0.372549</v>
      </c>
      <c r="AO66" s="98">
        <v>3019.7444831591174</v>
      </c>
      <c r="AP66" s="158">
        <v>1.939992828</v>
      </c>
      <c r="AQ66" s="100" t="s">
        <v>668</v>
      </c>
      <c r="AR66" s="100" t="s">
        <v>668</v>
      </c>
      <c r="AS66" s="98">
        <v>425.8614014711576</v>
      </c>
      <c r="AT66" s="98">
        <v>967.8668215253581</v>
      </c>
      <c r="AU66" s="98" t="s">
        <v>668</v>
      </c>
      <c r="AV66" s="98">
        <v>232.28803716608596</v>
      </c>
      <c r="AW66" s="98">
        <v>503.29074719318623</v>
      </c>
      <c r="AX66" s="98">
        <v>425.8614014711576</v>
      </c>
      <c r="AY66" s="98">
        <v>1587.3015873015872</v>
      </c>
      <c r="AZ66" s="98">
        <v>1780.874951606659</v>
      </c>
      <c r="BA66" s="100" t="s">
        <v>668</v>
      </c>
      <c r="BB66" s="100" t="s">
        <v>668</v>
      </c>
      <c r="BC66" s="100" t="s">
        <v>668</v>
      </c>
      <c r="BD66" s="158">
        <v>1.533483734</v>
      </c>
      <c r="BE66" s="158">
        <v>2.42119873</v>
      </c>
      <c r="BF66" s="162">
        <v>228</v>
      </c>
      <c r="BG66" s="162" t="s">
        <v>668</v>
      </c>
      <c r="BH66" s="162">
        <v>621</v>
      </c>
      <c r="BI66" s="162">
        <v>203</v>
      </c>
      <c r="BJ66" s="162">
        <v>102</v>
      </c>
      <c r="BK66" s="97"/>
      <c r="BL66" s="97"/>
      <c r="BM66" s="97"/>
      <c r="BN66" s="97"/>
    </row>
    <row r="67" spans="1:66" ht="12.75">
      <c r="A67" s="79" t="s">
        <v>649</v>
      </c>
      <c r="B67" s="79" t="s">
        <v>368</v>
      </c>
      <c r="C67" s="79" t="s">
        <v>203</v>
      </c>
      <c r="D67" s="99">
        <v>4647</v>
      </c>
      <c r="E67" s="99">
        <v>282</v>
      </c>
      <c r="F67" s="99" t="s">
        <v>401</v>
      </c>
      <c r="G67" s="99">
        <v>7</v>
      </c>
      <c r="H67" s="99" t="s">
        <v>668</v>
      </c>
      <c r="I67" s="99">
        <v>36</v>
      </c>
      <c r="J67" s="99">
        <v>223</v>
      </c>
      <c r="K67" s="99">
        <v>32</v>
      </c>
      <c r="L67" s="99">
        <v>1324</v>
      </c>
      <c r="M67" s="99">
        <v>53</v>
      </c>
      <c r="N67" s="99">
        <v>44</v>
      </c>
      <c r="O67" s="99">
        <v>115</v>
      </c>
      <c r="P67" s="159">
        <v>115</v>
      </c>
      <c r="Q67" s="99">
        <v>8</v>
      </c>
      <c r="R67" s="99">
        <v>14</v>
      </c>
      <c r="S67" s="99">
        <v>30</v>
      </c>
      <c r="T67" s="99">
        <v>18</v>
      </c>
      <c r="U67" s="99" t="s">
        <v>668</v>
      </c>
      <c r="V67" s="99">
        <v>23</v>
      </c>
      <c r="W67" s="99">
        <v>24</v>
      </c>
      <c r="X67" s="99">
        <v>18</v>
      </c>
      <c r="Y67" s="99">
        <v>48</v>
      </c>
      <c r="Z67" s="99">
        <v>24</v>
      </c>
      <c r="AA67" s="99" t="s">
        <v>668</v>
      </c>
      <c r="AB67" s="99" t="s">
        <v>668</v>
      </c>
      <c r="AC67" s="99" t="s">
        <v>668</v>
      </c>
      <c r="AD67" s="98" t="s">
        <v>378</v>
      </c>
      <c r="AE67" s="100">
        <v>0.06068431245965139</v>
      </c>
      <c r="AF67" s="100">
        <v>0.14</v>
      </c>
      <c r="AG67" s="98">
        <v>150.63481816225521</v>
      </c>
      <c r="AH67" s="98" t="s">
        <v>668</v>
      </c>
      <c r="AI67" s="100">
        <v>0.008</v>
      </c>
      <c r="AJ67" s="100">
        <v>0.644509</v>
      </c>
      <c r="AK67" s="100">
        <v>0.571429</v>
      </c>
      <c r="AL67" s="100">
        <v>0.81678</v>
      </c>
      <c r="AM67" s="100">
        <v>0.269036</v>
      </c>
      <c r="AN67" s="100">
        <v>0.483516</v>
      </c>
      <c r="AO67" s="98">
        <v>2474.7148698084784</v>
      </c>
      <c r="AP67" s="158">
        <v>1.756153107</v>
      </c>
      <c r="AQ67" s="100">
        <v>0.06956521739130435</v>
      </c>
      <c r="AR67" s="100">
        <v>0.5714285714285714</v>
      </c>
      <c r="AS67" s="98">
        <v>645.577792123951</v>
      </c>
      <c r="AT67" s="98">
        <v>387.34667527437057</v>
      </c>
      <c r="AU67" s="98" t="s">
        <v>668</v>
      </c>
      <c r="AV67" s="98">
        <v>494.9429739616957</v>
      </c>
      <c r="AW67" s="98">
        <v>516.4622336991607</v>
      </c>
      <c r="AX67" s="98">
        <v>387.34667527437057</v>
      </c>
      <c r="AY67" s="98">
        <v>1032.9244673983214</v>
      </c>
      <c r="AZ67" s="98">
        <v>516.4622336991607</v>
      </c>
      <c r="BA67" s="100" t="s">
        <v>668</v>
      </c>
      <c r="BB67" s="100" t="s">
        <v>668</v>
      </c>
      <c r="BC67" s="100" t="s">
        <v>668</v>
      </c>
      <c r="BD67" s="158">
        <v>1.449884491</v>
      </c>
      <c r="BE67" s="158">
        <v>2.1079959109999997</v>
      </c>
      <c r="BF67" s="162">
        <v>346</v>
      </c>
      <c r="BG67" s="162">
        <v>56</v>
      </c>
      <c r="BH67" s="162">
        <v>1621</v>
      </c>
      <c r="BI67" s="162">
        <v>197</v>
      </c>
      <c r="BJ67" s="162">
        <v>91</v>
      </c>
      <c r="BK67" s="97"/>
      <c r="BL67" s="97"/>
      <c r="BM67" s="97"/>
      <c r="BN67" s="97"/>
    </row>
    <row r="68" spans="1:66" ht="12.75">
      <c r="A68" s="79" t="s">
        <v>635</v>
      </c>
      <c r="B68" s="79" t="s">
        <v>354</v>
      </c>
      <c r="C68" s="79" t="s">
        <v>203</v>
      </c>
      <c r="D68" s="99">
        <v>3071</v>
      </c>
      <c r="E68" s="99">
        <v>163</v>
      </c>
      <c r="F68" s="99" t="s">
        <v>399</v>
      </c>
      <c r="G68" s="99" t="s">
        <v>668</v>
      </c>
      <c r="H68" s="99" t="s">
        <v>668</v>
      </c>
      <c r="I68" s="99">
        <v>10</v>
      </c>
      <c r="J68" s="99">
        <v>72</v>
      </c>
      <c r="K68" s="99">
        <v>45</v>
      </c>
      <c r="L68" s="99">
        <v>446</v>
      </c>
      <c r="M68" s="99">
        <v>19</v>
      </c>
      <c r="N68" s="99">
        <v>20</v>
      </c>
      <c r="O68" s="99">
        <v>16</v>
      </c>
      <c r="P68" s="159">
        <v>16</v>
      </c>
      <c r="Q68" s="99" t="s">
        <v>668</v>
      </c>
      <c r="R68" s="99" t="s">
        <v>668</v>
      </c>
      <c r="S68" s="99" t="s">
        <v>668</v>
      </c>
      <c r="T68" s="99" t="s">
        <v>668</v>
      </c>
      <c r="U68" s="99" t="s">
        <v>668</v>
      </c>
      <c r="V68" s="99" t="s">
        <v>668</v>
      </c>
      <c r="W68" s="99" t="s">
        <v>668</v>
      </c>
      <c r="X68" s="99">
        <v>8</v>
      </c>
      <c r="Y68" s="99">
        <v>17</v>
      </c>
      <c r="Z68" s="99">
        <v>12</v>
      </c>
      <c r="AA68" s="99" t="s">
        <v>668</v>
      </c>
      <c r="AB68" s="99" t="s">
        <v>668</v>
      </c>
      <c r="AC68" s="99" t="s">
        <v>668</v>
      </c>
      <c r="AD68" s="98" t="s">
        <v>378</v>
      </c>
      <c r="AE68" s="100">
        <v>0.05307717355910127</v>
      </c>
      <c r="AF68" s="100">
        <v>0.33</v>
      </c>
      <c r="AG68" s="98" t="s">
        <v>668</v>
      </c>
      <c r="AH68" s="98" t="s">
        <v>668</v>
      </c>
      <c r="AI68" s="100">
        <v>0.003</v>
      </c>
      <c r="AJ68" s="100">
        <v>0.476821</v>
      </c>
      <c r="AK68" s="100">
        <v>0.412844</v>
      </c>
      <c r="AL68" s="100">
        <v>0.690402</v>
      </c>
      <c r="AM68" s="100">
        <v>0.149606</v>
      </c>
      <c r="AN68" s="100">
        <v>0.298507</v>
      </c>
      <c r="AO68" s="98">
        <v>521.0029306414849</v>
      </c>
      <c r="AP68" s="158">
        <v>0.5227133942</v>
      </c>
      <c r="AQ68" s="100" t="s">
        <v>668</v>
      </c>
      <c r="AR68" s="100" t="s">
        <v>668</v>
      </c>
      <c r="AS68" s="98" t="s">
        <v>668</v>
      </c>
      <c r="AT68" s="98" t="s">
        <v>668</v>
      </c>
      <c r="AU68" s="98" t="s">
        <v>668</v>
      </c>
      <c r="AV68" s="98" t="s">
        <v>668</v>
      </c>
      <c r="AW68" s="98" t="s">
        <v>668</v>
      </c>
      <c r="AX68" s="98">
        <v>260.50146532074245</v>
      </c>
      <c r="AY68" s="98">
        <v>553.5656138065776</v>
      </c>
      <c r="AZ68" s="98">
        <v>390.7521979811136</v>
      </c>
      <c r="BA68" s="100" t="s">
        <v>668</v>
      </c>
      <c r="BB68" s="100" t="s">
        <v>668</v>
      </c>
      <c r="BC68" s="100" t="s">
        <v>668</v>
      </c>
      <c r="BD68" s="158">
        <v>0.29877586359999997</v>
      </c>
      <c r="BE68" s="158">
        <v>0.8488537598000001</v>
      </c>
      <c r="BF68" s="162">
        <v>151</v>
      </c>
      <c r="BG68" s="162">
        <v>109</v>
      </c>
      <c r="BH68" s="162">
        <v>646</v>
      </c>
      <c r="BI68" s="162">
        <v>127</v>
      </c>
      <c r="BJ68" s="162">
        <v>67</v>
      </c>
      <c r="BK68" s="97"/>
      <c r="BL68" s="97"/>
      <c r="BM68" s="97"/>
      <c r="BN68" s="97"/>
    </row>
    <row r="69" spans="1:66" ht="12.75">
      <c r="A69" s="79" t="s">
        <v>636</v>
      </c>
      <c r="B69" s="79" t="s">
        <v>355</v>
      </c>
      <c r="C69" s="79" t="s">
        <v>203</v>
      </c>
      <c r="D69" s="99">
        <v>5686</v>
      </c>
      <c r="E69" s="99">
        <v>605</v>
      </c>
      <c r="F69" s="99" t="s">
        <v>399</v>
      </c>
      <c r="G69" s="99">
        <v>16</v>
      </c>
      <c r="H69" s="99">
        <v>13</v>
      </c>
      <c r="I69" s="99">
        <v>55</v>
      </c>
      <c r="J69" s="99">
        <v>274</v>
      </c>
      <c r="K69" s="99">
        <v>33</v>
      </c>
      <c r="L69" s="99">
        <v>966</v>
      </c>
      <c r="M69" s="99">
        <v>148</v>
      </c>
      <c r="N69" s="99">
        <v>69</v>
      </c>
      <c r="O69" s="99">
        <v>90</v>
      </c>
      <c r="P69" s="159">
        <v>90</v>
      </c>
      <c r="Q69" s="99">
        <v>10</v>
      </c>
      <c r="R69" s="99">
        <v>14</v>
      </c>
      <c r="S69" s="99">
        <v>11</v>
      </c>
      <c r="T69" s="99" t="s">
        <v>668</v>
      </c>
      <c r="U69" s="99" t="s">
        <v>668</v>
      </c>
      <c r="V69" s="99">
        <v>19</v>
      </c>
      <c r="W69" s="99">
        <v>37</v>
      </c>
      <c r="X69" s="99">
        <v>23</v>
      </c>
      <c r="Y69" s="99">
        <v>64</v>
      </c>
      <c r="Z69" s="99">
        <v>46</v>
      </c>
      <c r="AA69" s="99" t="s">
        <v>668</v>
      </c>
      <c r="AB69" s="99" t="s">
        <v>668</v>
      </c>
      <c r="AC69" s="99" t="s">
        <v>668</v>
      </c>
      <c r="AD69" s="98" t="s">
        <v>378</v>
      </c>
      <c r="AE69" s="100">
        <v>0.10640168835736898</v>
      </c>
      <c r="AF69" s="100">
        <v>0.24</v>
      </c>
      <c r="AG69" s="98">
        <v>281.3928948294056</v>
      </c>
      <c r="AH69" s="98">
        <v>228.631727048892</v>
      </c>
      <c r="AI69" s="100">
        <v>0.01</v>
      </c>
      <c r="AJ69" s="100">
        <v>0.545817</v>
      </c>
      <c r="AK69" s="100">
        <v>0.611111</v>
      </c>
      <c r="AL69" s="100">
        <v>0.67364</v>
      </c>
      <c r="AM69" s="100">
        <v>0.390501</v>
      </c>
      <c r="AN69" s="100">
        <v>0.479167</v>
      </c>
      <c r="AO69" s="98">
        <v>1582.8350334154063</v>
      </c>
      <c r="AP69" s="158">
        <v>1.050980835</v>
      </c>
      <c r="AQ69" s="100">
        <v>0.1111111111111111</v>
      </c>
      <c r="AR69" s="100">
        <v>0.7142857142857143</v>
      </c>
      <c r="AS69" s="98">
        <v>193.45761519521633</v>
      </c>
      <c r="AT69" s="98" t="s">
        <v>668</v>
      </c>
      <c r="AU69" s="98" t="s">
        <v>668</v>
      </c>
      <c r="AV69" s="98">
        <v>334.1540626099191</v>
      </c>
      <c r="AW69" s="98">
        <v>650.7210692930004</v>
      </c>
      <c r="AX69" s="98">
        <v>404.5022863172705</v>
      </c>
      <c r="AY69" s="98">
        <v>1125.5715793176223</v>
      </c>
      <c r="AZ69" s="98">
        <v>809.004572634541</v>
      </c>
      <c r="BA69" s="100" t="s">
        <v>668</v>
      </c>
      <c r="BB69" s="100" t="s">
        <v>668</v>
      </c>
      <c r="BC69" s="100" t="s">
        <v>668</v>
      </c>
      <c r="BD69" s="158">
        <v>0.8451126861999999</v>
      </c>
      <c r="BE69" s="158">
        <v>1.291833801</v>
      </c>
      <c r="BF69" s="162">
        <v>502</v>
      </c>
      <c r="BG69" s="162">
        <v>54</v>
      </c>
      <c r="BH69" s="162">
        <v>1434</v>
      </c>
      <c r="BI69" s="162">
        <v>379</v>
      </c>
      <c r="BJ69" s="162">
        <v>144</v>
      </c>
      <c r="BK69" s="97"/>
      <c r="BL69" s="97"/>
      <c r="BM69" s="97"/>
      <c r="BN69" s="97"/>
    </row>
    <row r="70" spans="1:66" ht="12.75">
      <c r="A70" s="79" t="s">
        <v>576</v>
      </c>
      <c r="B70" s="79" t="s">
        <v>293</v>
      </c>
      <c r="C70" s="79" t="s">
        <v>203</v>
      </c>
      <c r="D70" s="99">
        <v>8450</v>
      </c>
      <c r="E70" s="99">
        <v>912</v>
      </c>
      <c r="F70" s="99" t="s">
        <v>399</v>
      </c>
      <c r="G70" s="99">
        <v>25</v>
      </c>
      <c r="H70" s="99">
        <v>17</v>
      </c>
      <c r="I70" s="99">
        <v>99</v>
      </c>
      <c r="J70" s="99">
        <v>408</v>
      </c>
      <c r="K70" s="99">
        <v>217</v>
      </c>
      <c r="L70" s="99">
        <v>1113</v>
      </c>
      <c r="M70" s="99">
        <v>137</v>
      </c>
      <c r="N70" s="99">
        <v>116</v>
      </c>
      <c r="O70" s="99">
        <v>115</v>
      </c>
      <c r="P70" s="159">
        <v>115</v>
      </c>
      <c r="Q70" s="99">
        <v>13</v>
      </c>
      <c r="R70" s="99">
        <v>31</v>
      </c>
      <c r="S70" s="99">
        <v>24</v>
      </c>
      <c r="T70" s="99">
        <v>31</v>
      </c>
      <c r="U70" s="99" t="s">
        <v>668</v>
      </c>
      <c r="V70" s="99">
        <v>10</v>
      </c>
      <c r="W70" s="99">
        <v>37</v>
      </c>
      <c r="X70" s="99">
        <v>29</v>
      </c>
      <c r="Y70" s="99">
        <v>111</v>
      </c>
      <c r="Z70" s="99">
        <v>69</v>
      </c>
      <c r="AA70" s="99" t="s">
        <v>668</v>
      </c>
      <c r="AB70" s="99" t="s">
        <v>668</v>
      </c>
      <c r="AC70" s="99" t="s">
        <v>668</v>
      </c>
      <c r="AD70" s="98" t="s">
        <v>378</v>
      </c>
      <c r="AE70" s="100">
        <v>0.10792899408284023</v>
      </c>
      <c r="AF70" s="100">
        <v>0.3</v>
      </c>
      <c r="AG70" s="98">
        <v>295.85798816568047</v>
      </c>
      <c r="AH70" s="98">
        <v>201.18343195266272</v>
      </c>
      <c r="AI70" s="100">
        <v>0.012</v>
      </c>
      <c r="AJ70" s="100">
        <v>0.549865</v>
      </c>
      <c r="AK70" s="100">
        <v>0.753472</v>
      </c>
      <c r="AL70" s="100">
        <v>0.571355</v>
      </c>
      <c r="AM70" s="100">
        <v>0.206015</v>
      </c>
      <c r="AN70" s="100">
        <v>0.35474</v>
      </c>
      <c r="AO70" s="98">
        <v>1360.9467455621302</v>
      </c>
      <c r="AP70" s="158">
        <v>0.9121725463999999</v>
      </c>
      <c r="AQ70" s="100">
        <v>0.11304347826086956</v>
      </c>
      <c r="AR70" s="100">
        <v>0.41935483870967744</v>
      </c>
      <c r="AS70" s="98">
        <v>284.02366863905326</v>
      </c>
      <c r="AT70" s="98">
        <v>366.8639053254438</v>
      </c>
      <c r="AU70" s="98" t="s">
        <v>668</v>
      </c>
      <c r="AV70" s="98">
        <v>118.34319526627219</v>
      </c>
      <c r="AW70" s="98">
        <v>437.8698224852071</v>
      </c>
      <c r="AX70" s="98">
        <v>343.1952662721894</v>
      </c>
      <c r="AY70" s="98">
        <v>1313.6094674556214</v>
      </c>
      <c r="AZ70" s="98">
        <v>816.5680473372781</v>
      </c>
      <c r="BA70" s="100" t="s">
        <v>668</v>
      </c>
      <c r="BB70" s="100" t="s">
        <v>668</v>
      </c>
      <c r="BC70" s="100" t="s">
        <v>668</v>
      </c>
      <c r="BD70" s="158">
        <v>0.7530919647000001</v>
      </c>
      <c r="BE70" s="158">
        <v>1.094924927</v>
      </c>
      <c r="BF70" s="162">
        <v>742</v>
      </c>
      <c r="BG70" s="162">
        <v>288</v>
      </c>
      <c r="BH70" s="162">
        <v>1948</v>
      </c>
      <c r="BI70" s="162">
        <v>665</v>
      </c>
      <c r="BJ70" s="162">
        <v>327</v>
      </c>
      <c r="BK70" s="97"/>
      <c r="BL70" s="97"/>
      <c r="BM70" s="97"/>
      <c r="BN70" s="97"/>
    </row>
    <row r="71" spans="1:66" ht="12.75">
      <c r="A71" s="79" t="s">
        <v>608</v>
      </c>
      <c r="B71" s="79" t="s">
        <v>326</v>
      </c>
      <c r="C71" s="79" t="s">
        <v>203</v>
      </c>
      <c r="D71" s="99">
        <v>4203</v>
      </c>
      <c r="E71" s="99">
        <v>503</v>
      </c>
      <c r="F71" s="99" t="s">
        <v>399</v>
      </c>
      <c r="G71" s="99">
        <v>13</v>
      </c>
      <c r="H71" s="99">
        <v>8</v>
      </c>
      <c r="I71" s="99">
        <v>46</v>
      </c>
      <c r="J71" s="99">
        <v>195</v>
      </c>
      <c r="K71" s="99">
        <v>36</v>
      </c>
      <c r="L71" s="99">
        <v>757</v>
      </c>
      <c r="M71" s="99">
        <v>60</v>
      </c>
      <c r="N71" s="99">
        <v>53</v>
      </c>
      <c r="O71" s="99">
        <v>30</v>
      </c>
      <c r="P71" s="159">
        <v>30</v>
      </c>
      <c r="Q71" s="99" t="s">
        <v>668</v>
      </c>
      <c r="R71" s="99">
        <v>8</v>
      </c>
      <c r="S71" s="99" t="s">
        <v>668</v>
      </c>
      <c r="T71" s="99" t="s">
        <v>668</v>
      </c>
      <c r="U71" s="99" t="s">
        <v>668</v>
      </c>
      <c r="V71" s="99" t="s">
        <v>668</v>
      </c>
      <c r="W71" s="99">
        <v>15</v>
      </c>
      <c r="X71" s="99">
        <v>11</v>
      </c>
      <c r="Y71" s="99">
        <v>35</v>
      </c>
      <c r="Z71" s="99">
        <v>25</v>
      </c>
      <c r="AA71" s="99" t="s">
        <v>668</v>
      </c>
      <c r="AB71" s="99" t="s">
        <v>668</v>
      </c>
      <c r="AC71" s="99" t="s">
        <v>668</v>
      </c>
      <c r="AD71" s="98" t="s">
        <v>378</v>
      </c>
      <c r="AE71" s="100">
        <v>0.11967642160361647</v>
      </c>
      <c r="AF71" s="100">
        <v>0.31</v>
      </c>
      <c r="AG71" s="98">
        <v>309.30287889602664</v>
      </c>
      <c r="AH71" s="98">
        <v>190.34023316678562</v>
      </c>
      <c r="AI71" s="100">
        <v>0.011000000000000001</v>
      </c>
      <c r="AJ71" s="100">
        <v>0.568513</v>
      </c>
      <c r="AK71" s="100">
        <v>0.62069</v>
      </c>
      <c r="AL71" s="100">
        <v>0.744346</v>
      </c>
      <c r="AM71" s="100">
        <v>0.223881</v>
      </c>
      <c r="AN71" s="100">
        <v>0.392593</v>
      </c>
      <c r="AO71" s="98">
        <v>713.7758743754462</v>
      </c>
      <c r="AP71" s="158">
        <v>0.45941219330000005</v>
      </c>
      <c r="AQ71" s="100" t="s">
        <v>668</v>
      </c>
      <c r="AR71" s="100" t="s">
        <v>668</v>
      </c>
      <c r="AS71" s="98" t="s">
        <v>668</v>
      </c>
      <c r="AT71" s="98" t="s">
        <v>668</v>
      </c>
      <c r="AU71" s="98" t="s">
        <v>668</v>
      </c>
      <c r="AV71" s="98" t="s">
        <v>668</v>
      </c>
      <c r="AW71" s="98">
        <v>356.8879371877231</v>
      </c>
      <c r="AX71" s="98">
        <v>261.71782060433026</v>
      </c>
      <c r="AY71" s="98">
        <v>832.7385201046872</v>
      </c>
      <c r="AZ71" s="98">
        <v>594.8132286462051</v>
      </c>
      <c r="BA71" s="100" t="s">
        <v>668</v>
      </c>
      <c r="BB71" s="100" t="s">
        <v>668</v>
      </c>
      <c r="BC71" s="100" t="s">
        <v>668</v>
      </c>
      <c r="BD71" s="158">
        <v>0.3099634743</v>
      </c>
      <c r="BE71" s="158">
        <v>0.6558394622999999</v>
      </c>
      <c r="BF71" s="162">
        <v>343</v>
      </c>
      <c r="BG71" s="162">
        <v>58</v>
      </c>
      <c r="BH71" s="162">
        <v>1017</v>
      </c>
      <c r="BI71" s="162">
        <v>268</v>
      </c>
      <c r="BJ71" s="162">
        <v>135</v>
      </c>
      <c r="BK71" s="97"/>
      <c r="BL71" s="97"/>
      <c r="BM71" s="97"/>
      <c r="BN71" s="97"/>
    </row>
    <row r="72" spans="1:66" ht="12.75">
      <c r="A72" s="79" t="s">
        <v>633</v>
      </c>
      <c r="B72" s="79" t="s">
        <v>352</v>
      </c>
      <c r="C72" s="79" t="s">
        <v>203</v>
      </c>
      <c r="D72" s="99">
        <v>2392</v>
      </c>
      <c r="E72" s="99">
        <v>127</v>
      </c>
      <c r="F72" s="99" t="s">
        <v>399</v>
      </c>
      <c r="G72" s="99" t="s">
        <v>668</v>
      </c>
      <c r="H72" s="99" t="s">
        <v>668</v>
      </c>
      <c r="I72" s="99">
        <v>14</v>
      </c>
      <c r="J72" s="99">
        <v>61</v>
      </c>
      <c r="K72" s="99">
        <v>10</v>
      </c>
      <c r="L72" s="99">
        <v>318</v>
      </c>
      <c r="M72" s="99">
        <v>24</v>
      </c>
      <c r="N72" s="99">
        <v>10</v>
      </c>
      <c r="O72" s="99">
        <v>13</v>
      </c>
      <c r="P72" s="159">
        <v>13</v>
      </c>
      <c r="Q72" s="99" t="s">
        <v>668</v>
      </c>
      <c r="R72" s="99" t="s">
        <v>668</v>
      </c>
      <c r="S72" s="99" t="s">
        <v>668</v>
      </c>
      <c r="T72" s="99" t="s">
        <v>668</v>
      </c>
      <c r="U72" s="99" t="s">
        <v>668</v>
      </c>
      <c r="V72" s="99" t="s">
        <v>668</v>
      </c>
      <c r="W72" s="99">
        <v>6</v>
      </c>
      <c r="X72" s="99">
        <v>8</v>
      </c>
      <c r="Y72" s="99">
        <v>20</v>
      </c>
      <c r="Z72" s="99" t="s">
        <v>668</v>
      </c>
      <c r="AA72" s="99" t="s">
        <v>668</v>
      </c>
      <c r="AB72" s="99" t="s">
        <v>668</v>
      </c>
      <c r="AC72" s="99" t="s">
        <v>668</v>
      </c>
      <c r="AD72" s="98" t="s">
        <v>378</v>
      </c>
      <c r="AE72" s="100">
        <v>0.05309364548494983</v>
      </c>
      <c r="AF72" s="100">
        <v>0.33</v>
      </c>
      <c r="AG72" s="98" t="s">
        <v>668</v>
      </c>
      <c r="AH72" s="98" t="s">
        <v>668</v>
      </c>
      <c r="AI72" s="100">
        <v>0.006</v>
      </c>
      <c r="AJ72" s="100">
        <v>0.396104</v>
      </c>
      <c r="AK72" s="100">
        <v>0.4</v>
      </c>
      <c r="AL72" s="100">
        <v>0.639839</v>
      </c>
      <c r="AM72" s="100">
        <v>0.23301</v>
      </c>
      <c r="AN72" s="100">
        <v>0.294118</v>
      </c>
      <c r="AO72" s="98">
        <v>543.4782608695652</v>
      </c>
      <c r="AP72" s="158">
        <v>0.4972842789</v>
      </c>
      <c r="AQ72" s="100" t="s">
        <v>668</v>
      </c>
      <c r="AR72" s="100" t="s">
        <v>668</v>
      </c>
      <c r="AS72" s="98" t="s">
        <v>668</v>
      </c>
      <c r="AT72" s="98" t="s">
        <v>668</v>
      </c>
      <c r="AU72" s="98" t="s">
        <v>668</v>
      </c>
      <c r="AV72" s="98" t="s">
        <v>668</v>
      </c>
      <c r="AW72" s="98">
        <v>250.83612040133778</v>
      </c>
      <c r="AX72" s="98">
        <v>334.44816053511704</v>
      </c>
      <c r="AY72" s="98">
        <v>836.1204013377926</v>
      </c>
      <c r="AZ72" s="98" t="s">
        <v>668</v>
      </c>
      <c r="BA72" s="100" t="s">
        <v>668</v>
      </c>
      <c r="BB72" s="100" t="s">
        <v>668</v>
      </c>
      <c r="BC72" s="100" t="s">
        <v>668</v>
      </c>
      <c r="BD72" s="158">
        <v>0.2647829247</v>
      </c>
      <c r="BE72" s="158">
        <v>0.8503712462999999</v>
      </c>
      <c r="BF72" s="162">
        <v>154</v>
      </c>
      <c r="BG72" s="162">
        <v>25</v>
      </c>
      <c r="BH72" s="162">
        <v>497</v>
      </c>
      <c r="BI72" s="162">
        <v>103</v>
      </c>
      <c r="BJ72" s="162">
        <v>34</v>
      </c>
      <c r="BK72" s="97"/>
      <c r="BL72" s="97"/>
      <c r="BM72" s="97"/>
      <c r="BN72" s="97"/>
    </row>
    <row r="73" spans="1:66" ht="12.75">
      <c r="A73" s="79" t="s">
        <v>571</v>
      </c>
      <c r="B73" s="79" t="s">
        <v>288</v>
      </c>
      <c r="C73" s="79" t="s">
        <v>203</v>
      </c>
      <c r="D73" s="99">
        <v>4126</v>
      </c>
      <c r="E73" s="99">
        <v>646</v>
      </c>
      <c r="F73" s="99" t="s">
        <v>399</v>
      </c>
      <c r="G73" s="99">
        <v>19</v>
      </c>
      <c r="H73" s="99">
        <v>16</v>
      </c>
      <c r="I73" s="99">
        <v>50</v>
      </c>
      <c r="J73" s="99">
        <v>262</v>
      </c>
      <c r="K73" s="99">
        <v>111</v>
      </c>
      <c r="L73" s="99">
        <v>625</v>
      </c>
      <c r="M73" s="99">
        <v>93</v>
      </c>
      <c r="N73" s="99">
        <v>78</v>
      </c>
      <c r="O73" s="99">
        <v>32</v>
      </c>
      <c r="P73" s="159">
        <v>32</v>
      </c>
      <c r="Q73" s="99" t="s">
        <v>668</v>
      </c>
      <c r="R73" s="99">
        <v>9</v>
      </c>
      <c r="S73" s="99">
        <v>11</v>
      </c>
      <c r="T73" s="99">
        <v>8</v>
      </c>
      <c r="U73" s="99" t="s">
        <v>668</v>
      </c>
      <c r="V73" s="99" t="s">
        <v>668</v>
      </c>
      <c r="W73" s="99">
        <v>28</v>
      </c>
      <c r="X73" s="99">
        <v>21</v>
      </c>
      <c r="Y73" s="99">
        <v>58</v>
      </c>
      <c r="Z73" s="99">
        <v>66</v>
      </c>
      <c r="AA73" s="99" t="s">
        <v>668</v>
      </c>
      <c r="AB73" s="99" t="s">
        <v>668</v>
      </c>
      <c r="AC73" s="99" t="s">
        <v>668</v>
      </c>
      <c r="AD73" s="98" t="s">
        <v>378</v>
      </c>
      <c r="AE73" s="100">
        <v>0.15656810470189045</v>
      </c>
      <c r="AF73" s="100">
        <v>0.31</v>
      </c>
      <c r="AG73" s="98">
        <v>460.4944255937954</v>
      </c>
      <c r="AH73" s="98">
        <v>387.78477944740666</v>
      </c>
      <c r="AI73" s="100">
        <v>0.012</v>
      </c>
      <c r="AJ73" s="100">
        <v>0.59276</v>
      </c>
      <c r="AK73" s="100">
        <v>0.69375</v>
      </c>
      <c r="AL73" s="100">
        <v>0.670601</v>
      </c>
      <c r="AM73" s="100">
        <v>0.25</v>
      </c>
      <c r="AN73" s="100">
        <v>0.408377</v>
      </c>
      <c r="AO73" s="98">
        <v>775.5695588948133</v>
      </c>
      <c r="AP73" s="158">
        <v>0.43237834929999996</v>
      </c>
      <c r="AQ73" s="100" t="s">
        <v>668</v>
      </c>
      <c r="AR73" s="100" t="s">
        <v>668</v>
      </c>
      <c r="AS73" s="98">
        <v>266.6020358700921</v>
      </c>
      <c r="AT73" s="98">
        <v>193.89238972370333</v>
      </c>
      <c r="AU73" s="98" t="s">
        <v>668</v>
      </c>
      <c r="AV73" s="98" t="s">
        <v>668</v>
      </c>
      <c r="AW73" s="98">
        <v>678.6233640329617</v>
      </c>
      <c r="AX73" s="98">
        <v>508.9675230247213</v>
      </c>
      <c r="AY73" s="98">
        <v>1405.7198254968494</v>
      </c>
      <c r="AZ73" s="98">
        <v>1599.6122152205526</v>
      </c>
      <c r="BA73" s="100" t="s">
        <v>668</v>
      </c>
      <c r="BB73" s="100" t="s">
        <v>668</v>
      </c>
      <c r="BC73" s="100" t="s">
        <v>668</v>
      </c>
      <c r="BD73" s="158">
        <v>0.295746479</v>
      </c>
      <c r="BE73" s="158">
        <v>0.6103892136</v>
      </c>
      <c r="BF73" s="162">
        <v>442</v>
      </c>
      <c r="BG73" s="162">
        <v>160</v>
      </c>
      <c r="BH73" s="162">
        <v>932</v>
      </c>
      <c r="BI73" s="162">
        <v>372</v>
      </c>
      <c r="BJ73" s="162">
        <v>191</v>
      </c>
      <c r="BK73" s="97"/>
      <c r="BL73" s="97"/>
      <c r="BM73" s="97"/>
      <c r="BN73" s="97"/>
    </row>
    <row r="74" spans="1:66" ht="12.75">
      <c r="A74" s="79" t="s">
        <v>582</v>
      </c>
      <c r="B74" s="79" t="s">
        <v>299</v>
      </c>
      <c r="C74" s="79" t="s">
        <v>203</v>
      </c>
      <c r="D74" s="99">
        <v>6890</v>
      </c>
      <c r="E74" s="99">
        <v>373</v>
      </c>
      <c r="F74" s="99" t="s">
        <v>399</v>
      </c>
      <c r="G74" s="99">
        <v>8</v>
      </c>
      <c r="H74" s="99" t="s">
        <v>668</v>
      </c>
      <c r="I74" s="99">
        <v>36</v>
      </c>
      <c r="J74" s="99">
        <v>163</v>
      </c>
      <c r="K74" s="99">
        <v>45</v>
      </c>
      <c r="L74" s="99">
        <v>834</v>
      </c>
      <c r="M74" s="99">
        <v>30</v>
      </c>
      <c r="N74" s="99">
        <v>27</v>
      </c>
      <c r="O74" s="99">
        <v>63</v>
      </c>
      <c r="P74" s="159">
        <v>63</v>
      </c>
      <c r="Q74" s="99" t="s">
        <v>668</v>
      </c>
      <c r="R74" s="99">
        <v>10</v>
      </c>
      <c r="S74" s="99">
        <v>16</v>
      </c>
      <c r="T74" s="99">
        <v>9</v>
      </c>
      <c r="U74" s="99" t="s">
        <v>668</v>
      </c>
      <c r="V74" s="99">
        <v>8</v>
      </c>
      <c r="W74" s="99">
        <v>21</v>
      </c>
      <c r="X74" s="99">
        <v>22</v>
      </c>
      <c r="Y74" s="99">
        <v>44</v>
      </c>
      <c r="Z74" s="99">
        <v>24</v>
      </c>
      <c r="AA74" s="99" t="s">
        <v>668</v>
      </c>
      <c r="AB74" s="99" t="s">
        <v>668</v>
      </c>
      <c r="AC74" s="99" t="s">
        <v>668</v>
      </c>
      <c r="AD74" s="98" t="s">
        <v>378</v>
      </c>
      <c r="AE74" s="100">
        <v>0.05413642960812772</v>
      </c>
      <c r="AF74" s="100">
        <v>0.33</v>
      </c>
      <c r="AG74" s="98">
        <v>116.11030478955007</v>
      </c>
      <c r="AH74" s="98" t="s">
        <v>668</v>
      </c>
      <c r="AI74" s="100">
        <v>0.005</v>
      </c>
      <c r="AJ74" s="100">
        <v>0.469741</v>
      </c>
      <c r="AK74" s="100">
        <v>0.319149</v>
      </c>
      <c r="AL74" s="100">
        <v>0.660333</v>
      </c>
      <c r="AM74" s="100">
        <v>0.111524</v>
      </c>
      <c r="AN74" s="100">
        <v>0.191489</v>
      </c>
      <c r="AO74" s="98">
        <v>914.3686502177068</v>
      </c>
      <c r="AP74" s="158">
        <v>0.8760209656000001</v>
      </c>
      <c r="AQ74" s="100" t="s">
        <v>668</v>
      </c>
      <c r="AR74" s="100" t="s">
        <v>668</v>
      </c>
      <c r="AS74" s="98">
        <v>232.22060957910014</v>
      </c>
      <c r="AT74" s="98">
        <v>130.62409288824384</v>
      </c>
      <c r="AU74" s="98" t="s">
        <v>668</v>
      </c>
      <c r="AV74" s="98">
        <v>116.11030478955007</v>
      </c>
      <c r="AW74" s="98">
        <v>304.78955007256894</v>
      </c>
      <c r="AX74" s="98">
        <v>319.3033381712627</v>
      </c>
      <c r="AY74" s="98">
        <v>638.6066763425254</v>
      </c>
      <c r="AZ74" s="98">
        <v>348.3309143686502</v>
      </c>
      <c r="BA74" s="100" t="s">
        <v>668</v>
      </c>
      <c r="BB74" s="100" t="s">
        <v>668</v>
      </c>
      <c r="BC74" s="100" t="s">
        <v>668</v>
      </c>
      <c r="BD74" s="158">
        <v>0.6731585693</v>
      </c>
      <c r="BE74" s="158">
        <v>1.120811386</v>
      </c>
      <c r="BF74" s="162">
        <v>347</v>
      </c>
      <c r="BG74" s="162">
        <v>141</v>
      </c>
      <c r="BH74" s="162">
        <v>1263</v>
      </c>
      <c r="BI74" s="162">
        <v>269</v>
      </c>
      <c r="BJ74" s="162">
        <v>141</v>
      </c>
      <c r="BK74" s="97"/>
      <c r="BL74" s="97"/>
      <c r="BM74" s="97"/>
      <c r="BN74" s="97"/>
    </row>
    <row r="75" spans="1:66" ht="12.75">
      <c r="A75" s="79" t="s">
        <v>660</v>
      </c>
      <c r="B75" s="79" t="s">
        <v>562</v>
      </c>
      <c r="C75" s="79" t="s">
        <v>203</v>
      </c>
      <c r="D75" s="99">
        <v>2031</v>
      </c>
      <c r="E75" s="99">
        <v>157</v>
      </c>
      <c r="F75" s="99" t="s">
        <v>399</v>
      </c>
      <c r="G75" s="99" t="s">
        <v>668</v>
      </c>
      <c r="H75" s="99" t="s">
        <v>668</v>
      </c>
      <c r="I75" s="99">
        <v>17</v>
      </c>
      <c r="J75" s="99">
        <v>113</v>
      </c>
      <c r="K75" s="99">
        <v>34</v>
      </c>
      <c r="L75" s="99">
        <v>512</v>
      </c>
      <c r="M75" s="99">
        <v>48</v>
      </c>
      <c r="N75" s="99">
        <v>24</v>
      </c>
      <c r="O75" s="99">
        <v>22</v>
      </c>
      <c r="P75" s="159">
        <v>22</v>
      </c>
      <c r="Q75" s="99" t="s">
        <v>668</v>
      </c>
      <c r="R75" s="99">
        <v>6</v>
      </c>
      <c r="S75" s="99">
        <v>6</v>
      </c>
      <c r="T75" s="99" t="s">
        <v>668</v>
      </c>
      <c r="U75" s="99" t="s">
        <v>668</v>
      </c>
      <c r="V75" s="99" t="s">
        <v>668</v>
      </c>
      <c r="W75" s="99">
        <v>9</v>
      </c>
      <c r="X75" s="99">
        <v>7</v>
      </c>
      <c r="Y75" s="99">
        <v>14</v>
      </c>
      <c r="Z75" s="99">
        <v>13</v>
      </c>
      <c r="AA75" s="99" t="s">
        <v>668</v>
      </c>
      <c r="AB75" s="99" t="s">
        <v>668</v>
      </c>
      <c r="AC75" s="99" t="s">
        <v>668</v>
      </c>
      <c r="AD75" s="98" t="s">
        <v>378</v>
      </c>
      <c r="AE75" s="100">
        <v>0.07730182176267848</v>
      </c>
      <c r="AF75" s="100">
        <v>0.25</v>
      </c>
      <c r="AG75" s="98" t="s">
        <v>668</v>
      </c>
      <c r="AH75" s="98" t="s">
        <v>668</v>
      </c>
      <c r="AI75" s="100">
        <v>0.008</v>
      </c>
      <c r="AJ75" s="100">
        <v>0.624309</v>
      </c>
      <c r="AK75" s="100">
        <v>0.566667</v>
      </c>
      <c r="AL75" s="100">
        <v>0.802508</v>
      </c>
      <c r="AM75" s="100">
        <v>0.384</v>
      </c>
      <c r="AN75" s="100">
        <v>0.387097</v>
      </c>
      <c r="AO75" s="98">
        <v>1083.210241260463</v>
      </c>
      <c r="AP75" s="158">
        <v>0.7886338043000001</v>
      </c>
      <c r="AQ75" s="100" t="s">
        <v>668</v>
      </c>
      <c r="AR75" s="100" t="s">
        <v>668</v>
      </c>
      <c r="AS75" s="98">
        <v>295.4209748892171</v>
      </c>
      <c r="AT75" s="98" t="s">
        <v>668</v>
      </c>
      <c r="AU75" s="98" t="s">
        <v>668</v>
      </c>
      <c r="AV75" s="98" t="s">
        <v>668</v>
      </c>
      <c r="AW75" s="98">
        <v>443.1314623338257</v>
      </c>
      <c r="AX75" s="98">
        <v>344.65780403741996</v>
      </c>
      <c r="AY75" s="98">
        <v>689.3156080748399</v>
      </c>
      <c r="AZ75" s="98">
        <v>640.0787789266371</v>
      </c>
      <c r="BA75" s="100" t="s">
        <v>668</v>
      </c>
      <c r="BB75" s="100" t="s">
        <v>668</v>
      </c>
      <c r="BC75" s="100" t="s">
        <v>668</v>
      </c>
      <c r="BD75" s="158">
        <v>0.4942325974</v>
      </c>
      <c r="BE75" s="158">
        <v>1.194001083</v>
      </c>
      <c r="BF75" s="162">
        <v>181</v>
      </c>
      <c r="BG75" s="162">
        <v>60</v>
      </c>
      <c r="BH75" s="162">
        <v>638</v>
      </c>
      <c r="BI75" s="162">
        <v>125</v>
      </c>
      <c r="BJ75" s="162">
        <v>62</v>
      </c>
      <c r="BK75" s="97"/>
      <c r="BL75" s="97"/>
      <c r="BM75" s="97"/>
      <c r="BN75" s="97"/>
    </row>
    <row r="76" spans="1:66" ht="12.75">
      <c r="A76" s="79" t="s">
        <v>581</v>
      </c>
      <c r="B76" s="79" t="s">
        <v>298</v>
      </c>
      <c r="C76" s="79" t="s">
        <v>203</v>
      </c>
      <c r="D76" s="99">
        <v>6968</v>
      </c>
      <c r="E76" s="99">
        <v>1038</v>
      </c>
      <c r="F76" s="99" t="s">
        <v>399</v>
      </c>
      <c r="G76" s="99">
        <v>36</v>
      </c>
      <c r="H76" s="99">
        <v>20</v>
      </c>
      <c r="I76" s="99">
        <v>35</v>
      </c>
      <c r="J76" s="99">
        <v>500</v>
      </c>
      <c r="K76" s="99">
        <v>488</v>
      </c>
      <c r="L76" s="99">
        <v>1082</v>
      </c>
      <c r="M76" s="99">
        <v>284</v>
      </c>
      <c r="N76" s="99">
        <v>130</v>
      </c>
      <c r="O76" s="99">
        <v>77</v>
      </c>
      <c r="P76" s="159">
        <v>77</v>
      </c>
      <c r="Q76" s="99" t="s">
        <v>668</v>
      </c>
      <c r="R76" s="99">
        <v>29</v>
      </c>
      <c r="S76" s="99">
        <v>33</v>
      </c>
      <c r="T76" s="99">
        <v>6</v>
      </c>
      <c r="U76" s="99" t="s">
        <v>668</v>
      </c>
      <c r="V76" s="99">
        <v>19</v>
      </c>
      <c r="W76" s="99">
        <v>51</v>
      </c>
      <c r="X76" s="99">
        <v>21</v>
      </c>
      <c r="Y76" s="99">
        <v>70</v>
      </c>
      <c r="Z76" s="99">
        <v>50</v>
      </c>
      <c r="AA76" s="99" t="s">
        <v>668</v>
      </c>
      <c r="AB76" s="99" t="s">
        <v>668</v>
      </c>
      <c r="AC76" s="99" t="s">
        <v>668</v>
      </c>
      <c r="AD76" s="98" t="s">
        <v>378</v>
      </c>
      <c r="AE76" s="100">
        <v>0.14896670493685418</v>
      </c>
      <c r="AF76" s="100">
        <v>0.28</v>
      </c>
      <c r="AG76" s="98">
        <v>516.6475315729047</v>
      </c>
      <c r="AH76" s="98">
        <v>287.0264064293915</v>
      </c>
      <c r="AI76" s="100">
        <v>0.005</v>
      </c>
      <c r="AJ76" s="100">
        <v>0.643501</v>
      </c>
      <c r="AK76" s="100">
        <v>0.652406</v>
      </c>
      <c r="AL76" s="100">
        <v>0.656553</v>
      </c>
      <c r="AM76" s="100">
        <v>0.440994</v>
      </c>
      <c r="AN76" s="100">
        <v>0.530612</v>
      </c>
      <c r="AO76" s="98">
        <v>1105.0516647531572</v>
      </c>
      <c r="AP76" s="158">
        <v>0.6384280395999999</v>
      </c>
      <c r="AQ76" s="100" t="s">
        <v>668</v>
      </c>
      <c r="AR76" s="100" t="s">
        <v>668</v>
      </c>
      <c r="AS76" s="98">
        <v>473.593570608496</v>
      </c>
      <c r="AT76" s="98">
        <v>86.10792192881745</v>
      </c>
      <c r="AU76" s="98" t="s">
        <v>668</v>
      </c>
      <c r="AV76" s="98">
        <v>272.6750861079219</v>
      </c>
      <c r="AW76" s="98">
        <v>731.9173363949483</v>
      </c>
      <c r="AX76" s="98">
        <v>301.3777267508611</v>
      </c>
      <c r="AY76" s="98">
        <v>1004.5924225028702</v>
      </c>
      <c r="AZ76" s="98">
        <v>717.5660160734787</v>
      </c>
      <c r="BA76" s="101" t="s">
        <v>668</v>
      </c>
      <c r="BB76" s="101" t="s">
        <v>668</v>
      </c>
      <c r="BC76" s="101" t="s">
        <v>668</v>
      </c>
      <c r="BD76" s="158">
        <v>0.5038374328999999</v>
      </c>
      <c r="BE76" s="158">
        <v>0.7979254913</v>
      </c>
      <c r="BF76" s="162">
        <v>777</v>
      </c>
      <c r="BG76" s="162">
        <v>748</v>
      </c>
      <c r="BH76" s="162">
        <v>1648</v>
      </c>
      <c r="BI76" s="162">
        <v>644</v>
      </c>
      <c r="BJ76" s="162">
        <v>245</v>
      </c>
      <c r="BK76" s="97"/>
      <c r="BL76" s="97"/>
      <c r="BM76" s="97"/>
      <c r="BN76" s="97"/>
    </row>
    <row r="77" spans="1:66" ht="12.75">
      <c r="A77" s="79" t="s">
        <v>579</v>
      </c>
      <c r="B77" s="79" t="s">
        <v>296</v>
      </c>
      <c r="C77" s="79" t="s">
        <v>203</v>
      </c>
      <c r="D77" s="99">
        <v>8777</v>
      </c>
      <c r="E77" s="99">
        <v>643</v>
      </c>
      <c r="F77" s="99" t="s">
        <v>398</v>
      </c>
      <c r="G77" s="99">
        <v>12</v>
      </c>
      <c r="H77" s="99">
        <v>11</v>
      </c>
      <c r="I77" s="99">
        <v>76</v>
      </c>
      <c r="J77" s="99">
        <v>333</v>
      </c>
      <c r="K77" s="99">
        <v>71</v>
      </c>
      <c r="L77" s="99">
        <v>1035</v>
      </c>
      <c r="M77" s="99">
        <v>95</v>
      </c>
      <c r="N77" s="99">
        <v>73</v>
      </c>
      <c r="O77" s="99">
        <v>54</v>
      </c>
      <c r="P77" s="159">
        <v>54</v>
      </c>
      <c r="Q77" s="99">
        <v>6</v>
      </c>
      <c r="R77" s="99">
        <v>23</v>
      </c>
      <c r="S77" s="99">
        <v>15</v>
      </c>
      <c r="T77" s="99">
        <v>11</v>
      </c>
      <c r="U77" s="99" t="s">
        <v>668</v>
      </c>
      <c r="V77" s="99">
        <v>8</v>
      </c>
      <c r="W77" s="99">
        <v>25</v>
      </c>
      <c r="X77" s="99">
        <v>35</v>
      </c>
      <c r="Y77" s="99">
        <v>45</v>
      </c>
      <c r="Z77" s="99">
        <v>46</v>
      </c>
      <c r="AA77" s="99" t="s">
        <v>668</v>
      </c>
      <c r="AB77" s="99" t="s">
        <v>668</v>
      </c>
      <c r="AC77" s="99" t="s">
        <v>668</v>
      </c>
      <c r="AD77" s="98" t="s">
        <v>378</v>
      </c>
      <c r="AE77" s="100">
        <v>0.07325965591887888</v>
      </c>
      <c r="AF77" s="100">
        <v>0.23</v>
      </c>
      <c r="AG77" s="98">
        <v>136.72097527629032</v>
      </c>
      <c r="AH77" s="98">
        <v>125.32756066993278</v>
      </c>
      <c r="AI77" s="100">
        <v>0.009000000000000001</v>
      </c>
      <c r="AJ77" s="100">
        <v>0.650391</v>
      </c>
      <c r="AK77" s="100">
        <v>0.430303</v>
      </c>
      <c r="AL77" s="100">
        <v>0.54047</v>
      </c>
      <c r="AM77" s="100">
        <v>0.214932</v>
      </c>
      <c r="AN77" s="100">
        <v>0.339535</v>
      </c>
      <c r="AO77" s="98">
        <v>615.2443887433063</v>
      </c>
      <c r="AP77" s="158">
        <v>0.5097142029</v>
      </c>
      <c r="AQ77" s="100">
        <v>0.1111111111111111</v>
      </c>
      <c r="AR77" s="100">
        <v>0.2608695652173913</v>
      </c>
      <c r="AS77" s="98">
        <v>170.90121909536288</v>
      </c>
      <c r="AT77" s="98">
        <v>125.32756066993278</v>
      </c>
      <c r="AU77" s="98" t="s">
        <v>668</v>
      </c>
      <c r="AV77" s="98">
        <v>91.14731685086021</v>
      </c>
      <c r="AW77" s="98">
        <v>284.83536515893815</v>
      </c>
      <c r="AX77" s="98">
        <v>398.7695112225134</v>
      </c>
      <c r="AY77" s="98">
        <v>512.7036572860886</v>
      </c>
      <c r="AZ77" s="98">
        <v>524.0970718924461</v>
      </c>
      <c r="BA77" s="100" t="s">
        <v>668</v>
      </c>
      <c r="BB77" s="100" t="s">
        <v>668</v>
      </c>
      <c r="BC77" s="100" t="s">
        <v>668</v>
      </c>
      <c r="BD77" s="158">
        <v>0.3829129791</v>
      </c>
      <c r="BE77" s="158">
        <v>0.6650664519999999</v>
      </c>
      <c r="BF77" s="162">
        <v>512</v>
      </c>
      <c r="BG77" s="162">
        <v>165</v>
      </c>
      <c r="BH77" s="162">
        <v>1915</v>
      </c>
      <c r="BI77" s="162">
        <v>442</v>
      </c>
      <c r="BJ77" s="162">
        <v>215</v>
      </c>
      <c r="BK77" s="97"/>
      <c r="BL77" s="97"/>
      <c r="BM77" s="97"/>
      <c r="BN77" s="97"/>
    </row>
    <row r="78" spans="1:66" ht="12.75">
      <c r="A78" s="79" t="s">
        <v>622</v>
      </c>
      <c r="B78" s="79" t="s">
        <v>341</v>
      </c>
      <c r="C78" s="79" t="s">
        <v>203</v>
      </c>
      <c r="D78" s="99">
        <v>1875</v>
      </c>
      <c r="E78" s="99">
        <v>196</v>
      </c>
      <c r="F78" s="99" t="s">
        <v>399</v>
      </c>
      <c r="G78" s="99">
        <v>6</v>
      </c>
      <c r="H78" s="99" t="s">
        <v>668</v>
      </c>
      <c r="I78" s="99">
        <v>16</v>
      </c>
      <c r="J78" s="99">
        <v>63</v>
      </c>
      <c r="K78" s="99" t="s">
        <v>668</v>
      </c>
      <c r="L78" s="99">
        <v>266</v>
      </c>
      <c r="M78" s="99">
        <v>29</v>
      </c>
      <c r="N78" s="99">
        <v>21</v>
      </c>
      <c r="O78" s="99">
        <v>24</v>
      </c>
      <c r="P78" s="159">
        <v>24</v>
      </c>
      <c r="Q78" s="99" t="s">
        <v>668</v>
      </c>
      <c r="R78" s="99" t="s">
        <v>668</v>
      </c>
      <c r="S78" s="99">
        <v>6</v>
      </c>
      <c r="T78" s="99">
        <v>7</v>
      </c>
      <c r="U78" s="99" t="s">
        <v>668</v>
      </c>
      <c r="V78" s="99" t="s">
        <v>668</v>
      </c>
      <c r="W78" s="99">
        <v>11</v>
      </c>
      <c r="X78" s="99" t="s">
        <v>668</v>
      </c>
      <c r="Y78" s="99">
        <v>21</v>
      </c>
      <c r="Z78" s="99">
        <v>12</v>
      </c>
      <c r="AA78" s="99" t="s">
        <v>668</v>
      </c>
      <c r="AB78" s="99" t="s">
        <v>668</v>
      </c>
      <c r="AC78" s="99" t="s">
        <v>668</v>
      </c>
      <c r="AD78" s="98" t="s">
        <v>378</v>
      </c>
      <c r="AE78" s="100">
        <v>0.10453333333333334</v>
      </c>
      <c r="AF78" s="100">
        <v>0.38</v>
      </c>
      <c r="AG78" s="98">
        <v>320</v>
      </c>
      <c r="AH78" s="98" t="s">
        <v>668</v>
      </c>
      <c r="AI78" s="100">
        <v>0.009000000000000001</v>
      </c>
      <c r="AJ78" s="100">
        <v>0.480916</v>
      </c>
      <c r="AK78" s="100" t="s">
        <v>668</v>
      </c>
      <c r="AL78" s="100">
        <v>0.66005</v>
      </c>
      <c r="AM78" s="100">
        <v>0.241667</v>
      </c>
      <c r="AN78" s="100">
        <v>0.33871</v>
      </c>
      <c r="AO78" s="98">
        <v>1280</v>
      </c>
      <c r="AP78" s="158">
        <v>0.9115454102</v>
      </c>
      <c r="AQ78" s="100" t="s">
        <v>668</v>
      </c>
      <c r="AR78" s="100" t="s">
        <v>668</v>
      </c>
      <c r="AS78" s="98">
        <v>320</v>
      </c>
      <c r="AT78" s="98">
        <v>373.3333333333333</v>
      </c>
      <c r="AU78" s="98" t="s">
        <v>668</v>
      </c>
      <c r="AV78" s="98" t="s">
        <v>668</v>
      </c>
      <c r="AW78" s="98">
        <v>586.6666666666666</v>
      </c>
      <c r="AX78" s="98" t="s">
        <v>668</v>
      </c>
      <c r="AY78" s="98">
        <v>1120</v>
      </c>
      <c r="AZ78" s="98">
        <v>640</v>
      </c>
      <c r="BA78" s="100" t="s">
        <v>668</v>
      </c>
      <c r="BB78" s="100" t="s">
        <v>668</v>
      </c>
      <c r="BC78" s="100" t="s">
        <v>668</v>
      </c>
      <c r="BD78" s="158">
        <v>0.584044342</v>
      </c>
      <c r="BE78" s="158">
        <v>1.356307373</v>
      </c>
      <c r="BF78" s="162">
        <v>131</v>
      </c>
      <c r="BG78" s="162" t="s">
        <v>668</v>
      </c>
      <c r="BH78" s="162">
        <v>403</v>
      </c>
      <c r="BI78" s="162">
        <v>120</v>
      </c>
      <c r="BJ78" s="162">
        <v>62</v>
      </c>
      <c r="BK78" s="97"/>
      <c r="BL78" s="97"/>
      <c r="BM78" s="97"/>
      <c r="BN78" s="97"/>
    </row>
    <row r="79" spans="1:66" ht="12.75">
      <c r="A79" s="79" t="s">
        <v>638</v>
      </c>
      <c r="B79" s="79" t="s">
        <v>357</v>
      </c>
      <c r="C79" s="79" t="s">
        <v>203</v>
      </c>
      <c r="D79" s="99">
        <v>5848</v>
      </c>
      <c r="E79" s="99">
        <v>639</v>
      </c>
      <c r="F79" s="99" t="s">
        <v>399</v>
      </c>
      <c r="G79" s="99">
        <v>25</v>
      </c>
      <c r="H79" s="99">
        <v>15</v>
      </c>
      <c r="I79" s="99">
        <v>82</v>
      </c>
      <c r="J79" s="99">
        <v>285</v>
      </c>
      <c r="K79" s="99">
        <v>257</v>
      </c>
      <c r="L79" s="99">
        <v>1101</v>
      </c>
      <c r="M79" s="99">
        <v>86</v>
      </c>
      <c r="N79" s="99">
        <v>71</v>
      </c>
      <c r="O79" s="99">
        <v>146</v>
      </c>
      <c r="P79" s="159">
        <v>146</v>
      </c>
      <c r="Q79" s="99">
        <v>6</v>
      </c>
      <c r="R79" s="99">
        <v>21</v>
      </c>
      <c r="S79" s="99">
        <v>24</v>
      </c>
      <c r="T79" s="99">
        <v>22</v>
      </c>
      <c r="U79" s="99" t="s">
        <v>668</v>
      </c>
      <c r="V79" s="99">
        <v>31</v>
      </c>
      <c r="W79" s="99">
        <v>24</v>
      </c>
      <c r="X79" s="99">
        <v>29</v>
      </c>
      <c r="Y79" s="99">
        <v>63</v>
      </c>
      <c r="Z79" s="99">
        <v>41</v>
      </c>
      <c r="AA79" s="99" t="s">
        <v>668</v>
      </c>
      <c r="AB79" s="99" t="s">
        <v>668</v>
      </c>
      <c r="AC79" s="99" t="s">
        <v>668</v>
      </c>
      <c r="AD79" s="98" t="s">
        <v>378</v>
      </c>
      <c r="AE79" s="100">
        <v>0.10926812585499315</v>
      </c>
      <c r="AF79" s="100">
        <v>0.25</v>
      </c>
      <c r="AG79" s="98">
        <v>427.49658002735976</v>
      </c>
      <c r="AH79" s="98">
        <v>256.4979480164159</v>
      </c>
      <c r="AI79" s="100">
        <v>0.013999999999999999</v>
      </c>
      <c r="AJ79" s="100">
        <v>0.688406</v>
      </c>
      <c r="AK79" s="100">
        <v>0.69837</v>
      </c>
      <c r="AL79" s="100">
        <v>0.709865</v>
      </c>
      <c r="AM79" s="100">
        <v>0.275641</v>
      </c>
      <c r="AN79" s="100">
        <v>0.42515</v>
      </c>
      <c r="AO79" s="98">
        <v>2496.580027359781</v>
      </c>
      <c r="AP79" s="158">
        <v>1.660431366</v>
      </c>
      <c r="AQ79" s="100">
        <v>0.0410958904109589</v>
      </c>
      <c r="AR79" s="100">
        <v>0.2857142857142857</v>
      </c>
      <c r="AS79" s="98">
        <v>410.3967168262654</v>
      </c>
      <c r="AT79" s="98">
        <v>376.1969904240766</v>
      </c>
      <c r="AU79" s="98" t="s">
        <v>668</v>
      </c>
      <c r="AV79" s="98">
        <v>530.0957592339262</v>
      </c>
      <c r="AW79" s="98">
        <v>410.3967168262654</v>
      </c>
      <c r="AX79" s="98">
        <v>495.89603283173733</v>
      </c>
      <c r="AY79" s="98">
        <v>1077.2913816689465</v>
      </c>
      <c r="AZ79" s="98">
        <v>701.09439124487</v>
      </c>
      <c r="BA79" s="100" t="s">
        <v>668</v>
      </c>
      <c r="BB79" s="100" t="s">
        <v>668</v>
      </c>
      <c r="BC79" s="100" t="s">
        <v>668</v>
      </c>
      <c r="BD79" s="158">
        <v>1.402024689</v>
      </c>
      <c r="BE79" s="158">
        <v>1.9526654049999999</v>
      </c>
      <c r="BF79" s="162">
        <v>414</v>
      </c>
      <c r="BG79" s="162">
        <v>368</v>
      </c>
      <c r="BH79" s="162">
        <v>1551</v>
      </c>
      <c r="BI79" s="162">
        <v>312</v>
      </c>
      <c r="BJ79" s="162">
        <v>167</v>
      </c>
      <c r="BK79" s="97"/>
      <c r="BL79" s="97"/>
      <c r="BM79" s="97"/>
      <c r="BN79" s="97"/>
    </row>
    <row r="80" spans="1:66" ht="12.75">
      <c r="A80" s="79" t="s">
        <v>629</v>
      </c>
      <c r="B80" s="79" t="s">
        <v>348</v>
      </c>
      <c r="C80" s="79" t="s">
        <v>203</v>
      </c>
      <c r="D80" s="99">
        <v>9905</v>
      </c>
      <c r="E80" s="99">
        <v>525</v>
      </c>
      <c r="F80" s="99" t="s">
        <v>398</v>
      </c>
      <c r="G80" s="99">
        <v>23</v>
      </c>
      <c r="H80" s="99">
        <v>11</v>
      </c>
      <c r="I80" s="99">
        <v>78</v>
      </c>
      <c r="J80" s="99">
        <v>253</v>
      </c>
      <c r="K80" s="99">
        <v>217</v>
      </c>
      <c r="L80" s="99">
        <v>1166</v>
      </c>
      <c r="M80" s="99">
        <v>69</v>
      </c>
      <c r="N80" s="99">
        <v>56</v>
      </c>
      <c r="O80" s="99">
        <v>109</v>
      </c>
      <c r="P80" s="159">
        <v>109</v>
      </c>
      <c r="Q80" s="99">
        <v>10</v>
      </c>
      <c r="R80" s="99">
        <v>19</v>
      </c>
      <c r="S80" s="99">
        <v>25</v>
      </c>
      <c r="T80" s="99">
        <v>10</v>
      </c>
      <c r="U80" s="99" t="s">
        <v>668</v>
      </c>
      <c r="V80" s="99">
        <v>31</v>
      </c>
      <c r="W80" s="99">
        <v>36</v>
      </c>
      <c r="X80" s="99">
        <v>38</v>
      </c>
      <c r="Y80" s="99">
        <v>57</v>
      </c>
      <c r="Z80" s="99">
        <v>29</v>
      </c>
      <c r="AA80" s="99" t="s">
        <v>668</v>
      </c>
      <c r="AB80" s="99" t="s">
        <v>668</v>
      </c>
      <c r="AC80" s="99" t="s">
        <v>668</v>
      </c>
      <c r="AD80" s="98" t="s">
        <v>378</v>
      </c>
      <c r="AE80" s="100">
        <v>0.053003533568904596</v>
      </c>
      <c r="AF80" s="100">
        <v>0.23</v>
      </c>
      <c r="AG80" s="98">
        <v>232.20595658758202</v>
      </c>
      <c r="AH80" s="98">
        <v>111.0550227158001</v>
      </c>
      <c r="AI80" s="100">
        <v>0.008</v>
      </c>
      <c r="AJ80" s="100">
        <v>0.617073</v>
      </c>
      <c r="AK80" s="100">
        <v>0.568063</v>
      </c>
      <c r="AL80" s="100">
        <v>0.565745</v>
      </c>
      <c r="AM80" s="100">
        <v>0.198276</v>
      </c>
      <c r="AN80" s="100">
        <v>0.302703</v>
      </c>
      <c r="AO80" s="98">
        <v>1100.4543160020191</v>
      </c>
      <c r="AP80" s="158">
        <v>1.019161453</v>
      </c>
      <c r="AQ80" s="100">
        <v>0.09174311926605505</v>
      </c>
      <c r="AR80" s="100">
        <v>0.5263157894736842</v>
      </c>
      <c r="AS80" s="98">
        <v>252.39777889954567</v>
      </c>
      <c r="AT80" s="98">
        <v>100.95911155981827</v>
      </c>
      <c r="AU80" s="98" t="s">
        <v>668</v>
      </c>
      <c r="AV80" s="98">
        <v>312.97324583543667</v>
      </c>
      <c r="AW80" s="98">
        <v>363.4528016153458</v>
      </c>
      <c r="AX80" s="98">
        <v>383.64462392730945</v>
      </c>
      <c r="AY80" s="98">
        <v>575.4669358909641</v>
      </c>
      <c r="AZ80" s="98">
        <v>292.781423523473</v>
      </c>
      <c r="BA80" s="100" t="s">
        <v>668</v>
      </c>
      <c r="BB80" s="100" t="s">
        <v>668</v>
      </c>
      <c r="BC80" s="100" t="s">
        <v>668</v>
      </c>
      <c r="BD80" s="158">
        <v>0.836837616</v>
      </c>
      <c r="BE80" s="158">
        <v>1.229412003</v>
      </c>
      <c r="BF80" s="162">
        <v>410</v>
      </c>
      <c r="BG80" s="162">
        <v>382</v>
      </c>
      <c r="BH80" s="162">
        <v>2061</v>
      </c>
      <c r="BI80" s="162">
        <v>348</v>
      </c>
      <c r="BJ80" s="162">
        <v>185</v>
      </c>
      <c r="BK80" s="97"/>
      <c r="BL80" s="97"/>
      <c r="BM80" s="97"/>
      <c r="BN80" s="97"/>
    </row>
    <row r="81" spans="1:66" ht="12.75">
      <c r="A81" s="79" t="s">
        <v>601</v>
      </c>
      <c r="B81" s="79" t="s">
        <v>319</v>
      </c>
      <c r="C81" s="79" t="s">
        <v>203</v>
      </c>
      <c r="D81" s="99">
        <v>9360</v>
      </c>
      <c r="E81" s="99">
        <v>1476</v>
      </c>
      <c r="F81" s="99" t="s">
        <v>399</v>
      </c>
      <c r="G81" s="99">
        <v>50</v>
      </c>
      <c r="H81" s="99">
        <v>28</v>
      </c>
      <c r="I81" s="99">
        <v>152</v>
      </c>
      <c r="J81" s="99">
        <v>769</v>
      </c>
      <c r="K81" s="99">
        <v>234</v>
      </c>
      <c r="L81" s="99">
        <v>1773</v>
      </c>
      <c r="M81" s="99">
        <v>450</v>
      </c>
      <c r="N81" s="99">
        <v>170</v>
      </c>
      <c r="O81" s="99">
        <v>148</v>
      </c>
      <c r="P81" s="159">
        <v>148</v>
      </c>
      <c r="Q81" s="99">
        <v>16</v>
      </c>
      <c r="R81" s="99">
        <v>44</v>
      </c>
      <c r="S81" s="99">
        <v>36</v>
      </c>
      <c r="T81" s="99">
        <v>17</v>
      </c>
      <c r="U81" s="99">
        <v>8</v>
      </c>
      <c r="V81" s="99">
        <v>29</v>
      </c>
      <c r="W81" s="99">
        <v>88</v>
      </c>
      <c r="X81" s="99">
        <v>45</v>
      </c>
      <c r="Y81" s="99">
        <v>127</v>
      </c>
      <c r="Z81" s="99">
        <v>77</v>
      </c>
      <c r="AA81" s="99" t="s">
        <v>668</v>
      </c>
      <c r="AB81" s="99" t="s">
        <v>668</v>
      </c>
      <c r="AC81" s="99" t="s">
        <v>668</v>
      </c>
      <c r="AD81" s="98" t="s">
        <v>378</v>
      </c>
      <c r="AE81" s="100">
        <v>0.1576923076923077</v>
      </c>
      <c r="AF81" s="100">
        <v>0.28</v>
      </c>
      <c r="AG81" s="98">
        <v>534.1880341880342</v>
      </c>
      <c r="AH81" s="98">
        <v>299.14529914529913</v>
      </c>
      <c r="AI81" s="100">
        <v>0.016</v>
      </c>
      <c r="AJ81" s="100">
        <v>0.67397</v>
      </c>
      <c r="AK81" s="100">
        <v>0.798635</v>
      </c>
      <c r="AL81" s="100">
        <v>0.765875</v>
      </c>
      <c r="AM81" s="100">
        <v>0.455005</v>
      </c>
      <c r="AN81" s="100">
        <v>0.488506</v>
      </c>
      <c r="AO81" s="98">
        <v>1581.1965811965813</v>
      </c>
      <c r="AP81" s="158">
        <v>0.8754992676000001</v>
      </c>
      <c r="AQ81" s="100">
        <v>0.10810810810810811</v>
      </c>
      <c r="AR81" s="100">
        <v>0.36363636363636365</v>
      </c>
      <c r="AS81" s="98">
        <v>384.61538461538464</v>
      </c>
      <c r="AT81" s="98">
        <v>181.6239316239316</v>
      </c>
      <c r="AU81" s="98">
        <v>85.47008547008546</v>
      </c>
      <c r="AV81" s="98">
        <v>309.8290598290598</v>
      </c>
      <c r="AW81" s="98">
        <v>940.1709401709402</v>
      </c>
      <c r="AX81" s="98">
        <v>480.7692307692308</v>
      </c>
      <c r="AY81" s="98">
        <v>1356.837606837607</v>
      </c>
      <c r="AZ81" s="98">
        <v>822.6495726495726</v>
      </c>
      <c r="BA81" s="100" t="s">
        <v>668</v>
      </c>
      <c r="BB81" s="100" t="s">
        <v>668</v>
      </c>
      <c r="BC81" s="100" t="s">
        <v>668</v>
      </c>
      <c r="BD81" s="158">
        <v>0.7401329803</v>
      </c>
      <c r="BE81" s="158">
        <v>1.028457489</v>
      </c>
      <c r="BF81" s="162">
        <v>1141</v>
      </c>
      <c r="BG81" s="162">
        <v>293</v>
      </c>
      <c r="BH81" s="162">
        <v>2315</v>
      </c>
      <c r="BI81" s="162">
        <v>989</v>
      </c>
      <c r="BJ81" s="162">
        <v>348</v>
      </c>
      <c r="BK81" s="97"/>
      <c r="BL81" s="97"/>
      <c r="BM81" s="97"/>
      <c r="BN81" s="97"/>
    </row>
    <row r="82" spans="1:66" ht="12.75">
      <c r="A82" s="79" t="s">
        <v>569</v>
      </c>
      <c r="B82" s="79" t="s">
        <v>286</v>
      </c>
      <c r="C82" s="79" t="s">
        <v>203</v>
      </c>
      <c r="D82" s="99">
        <v>10933</v>
      </c>
      <c r="E82" s="99">
        <v>842</v>
      </c>
      <c r="F82" s="99" t="s">
        <v>398</v>
      </c>
      <c r="G82" s="99">
        <v>20</v>
      </c>
      <c r="H82" s="99">
        <v>16</v>
      </c>
      <c r="I82" s="99">
        <v>74</v>
      </c>
      <c r="J82" s="99">
        <v>492</v>
      </c>
      <c r="K82" s="99">
        <v>66</v>
      </c>
      <c r="L82" s="99">
        <v>2202</v>
      </c>
      <c r="M82" s="99">
        <v>159</v>
      </c>
      <c r="N82" s="99">
        <v>111</v>
      </c>
      <c r="O82" s="99">
        <v>140</v>
      </c>
      <c r="P82" s="159">
        <v>140</v>
      </c>
      <c r="Q82" s="99">
        <v>7</v>
      </c>
      <c r="R82" s="99">
        <v>19</v>
      </c>
      <c r="S82" s="99">
        <v>27</v>
      </c>
      <c r="T82" s="99">
        <v>27</v>
      </c>
      <c r="U82" s="99">
        <v>7</v>
      </c>
      <c r="V82" s="99">
        <v>14</v>
      </c>
      <c r="W82" s="99">
        <v>37</v>
      </c>
      <c r="X82" s="99">
        <v>36</v>
      </c>
      <c r="Y82" s="99">
        <v>69</v>
      </c>
      <c r="Z82" s="99">
        <v>51</v>
      </c>
      <c r="AA82" s="99" t="s">
        <v>668</v>
      </c>
      <c r="AB82" s="99" t="s">
        <v>668</v>
      </c>
      <c r="AC82" s="99" t="s">
        <v>668</v>
      </c>
      <c r="AD82" s="98" t="s">
        <v>378</v>
      </c>
      <c r="AE82" s="100">
        <v>0.07701454312631482</v>
      </c>
      <c r="AF82" s="100">
        <v>0.19</v>
      </c>
      <c r="AG82" s="98">
        <v>182.9324064758072</v>
      </c>
      <c r="AH82" s="98">
        <v>146.34592518064576</v>
      </c>
      <c r="AI82" s="100">
        <v>0.006999999999999999</v>
      </c>
      <c r="AJ82" s="100">
        <v>0.631579</v>
      </c>
      <c r="AK82" s="100">
        <v>0.573913</v>
      </c>
      <c r="AL82" s="100">
        <v>0.739174</v>
      </c>
      <c r="AM82" s="100">
        <v>0.267677</v>
      </c>
      <c r="AN82" s="100">
        <v>0.376271</v>
      </c>
      <c r="AO82" s="98">
        <v>1280.5268453306503</v>
      </c>
      <c r="AP82" s="158">
        <v>0.9631189727999999</v>
      </c>
      <c r="AQ82" s="100">
        <v>0.05</v>
      </c>
      <c r="AR82" s="100">
        <v>0.3684210526315789</v>
      </c>
      <c r="AS82" s="98">
        <v>246.9587487423397</v>
      </c>
      <c r="AT82" s="98">
        <v>246.9587487423397</v>
      </c>
      <c r="AU82" s="98">
        <v>64.02634226653251</v>
      </c>
      <c r="AV82" s="98">
        <v>128.05268453306502</v>
      </c>
      <c r="AW82" s="98">
        <v>338.4249519802433</v>
      </c>
      <c r="AX82" s="98">
        <v>329.27833165645296</v>
      </c>
      <c r="AY82" s="98">
        <v>631.1168023415348</v>
      </c>
      <c r="AZ82" s="98">
        <v>466.4776365133083</v>
      </c>
      <c r="BA82" s="100" t="s">
        <v>668</v>
      </c>
      <c r="BB82" s="100" t="s">
        <v>668</v>
      </c>
      <c r="BC82" s="100" t="s">
        <v>668</v>
      </c>
      <c r="BD82" s="158">
        <v>0.8101934052</v>
      </c>
      <c r="BE82" s="158">
        <v>1.136518173</v>
      </c>
      <c r="BF82" s="162">
        <v>779</v>
      </c>
      <c r="BG82" s="162">
        <v>115</v>
      </c>
      <c r="BH82" s="162">
        <v>2979</v>
      </c>
      <c r="BI82" s="162">
        <v>594</v>
      </c>
      <c r="BJ82" s="162">
        <v>295</v>
      </c>
      <c r="BK82" s="97"/>
      <c r="BL82" s="97"/>
      <c r="BM82" s="97"/>
      <c r="BN82" s="97"/>
    </row>
    <row r="83" spans="1:66" ht="12.75">
      <c r="A83" s="79" t="s">
        <v>654</v>
      </c>
      <c r="B83" s="79" t="s">
        <v>373</v>
      </c>
      <c r="C83" s="79" t="s">
        <v>203</v>
      </c>
      <c r="D83" s="99">
        <v>6460</v>
      </c>
      <c r="E83" s="99">
        <v>145</v>
      </c>
      <c r="F83" s="99" t="s">
        <v>402</v>
      </c>
      <c r="G83" s="99">
        <v>12</v>
      </c>
      <c r="H83" s="99" t="s">
        <v>668</v>
      </c>
      <c r="I83" s="99">
        <v>44</v>
      </c>
      <c r="J83" s="99">
        <v>96</v>
      </c>
      <c r="K83" s="99">
        <v>89</v>
      </c>
      <c r="L83" s="99">
        <v>1223</v>
      </c>
      <c r="M83" s="99">
        <v>44</v>
      </c>
      <c r="N83" s="99">
        <v>37</v>
      </c>
      <c r="O83" s="99">
        <v>28</v>
      </c>
      <c r="P83" s="159">
        <v>28</v>
      </c>
      <c r="Q83" s="99" t="s">
        <v>668</v>
      </c>
      <c r="R83" s="99">
        <v>12</v>
      </c>
      <c r="S83" s="99">
        <v>8</v>
      </c>
      <c r="T83" s="99" t="s">
        <v>668</v>
      </c>
      <c r="U83" s="99" t="s">
        <v>668</v>
      </c>
      <c r="V83" s="99">
        <v>6</v>
      </c>
      <c r="W83" s="99">
        <v>21</v>
      </c>
      <c r="X83" s="99">
        <v>18</v>
      </c>
      <c r="Y83" s="99">
        <v>16</v>
      </c>
      <c r="Z83" s="99">
        <v>14</v>
      </c>
      <c r="AA83" s="99" t="s">
        <v>668</v>
      </c>
      <c r="AB83" s="99" t="s">
        <v>668</v>
      </c>
      <c r="AC83" s="99" t="s">
        <v>668</v>
      </c>
      <c r="AD83" s="98" t="s">
        <v>378</v>
      </c>
      <c r="AE83" s="100">
        <v>0.02244582043343653</v>
      </c>
      <c r="AF83" s="100">
        <v>0.08</v>
      </c>
      <c r="AG83" s="98">
        <v>185.75851393188856</v>
      </c>
      <c r="AH83" s="98" t="s">
        <v>668</v>
      </c>
      <c r="AI83" s="100">
        <v>0.006999999999999999</v>
      </c>
      <c r="AJ83" s="100">
        <v>0.6</v>
      </c>
      <c r="AK83" s="100">
        <v>0.605442</v>
      </c>
      <c r="AL83" s="100">
        <v>0.73586</v>
      </c>
      <c r="AM83" s="100">
        <v>0.312057</v>
      </c>
      <c r="AN83" s="100">
        <v>0.5</v>
      </c>
      <c r="AO83" s="98">
        <v>433.4365325077399</v>
      </c>
      <c r="AP83" s="158">
        <v>0.43064815520000005</v>
      </c>
      <c r="AQ83" s="100" t="s">
        <v>668</v>
      </c>
      <c r="AR83" s="100" t="s">
        <v>668</v>
      </c>
      <c r="AS83" s="98">
        <v>123.83900928792569</v>
      </c>
      <c r="AT83" s="98" t="s">
        <v>668</v>
      </c>
      <c r="AU83" s="98" t="s">
        <v>668</v>
      </c>
      <c r="AV83" s="98">
        <v>92.87925696594428</v>
      </c>
      <c r="AW83" s="98">
        <v>325.07739938080493</v>
      </c>
      <c r="AX83" s="98">
        <v>278.6377708978328</v>
      </c>
      <c r="AY83" s="98">
        <v>247.67801857585138</v>
      </c>
      <c r="AZ83" s="98">
        <v>216.71826625386996</v>
      </c>
      <c r="BA83" s="100" t="s">
        <v>668</v>
      </c>
      <c r="BB83" s="100" t="s">
        <v>668</v>
      </c>
      <c r="BC83" s="100" t="s">
        <v>668</v>
      </c>
      <c r="BD83" s="158">
        <v>0.2861625671</v>
      </c>
      <c r="BE83" s="158">
        <v>0.6224064636</v>
      </c>
      <c r="BF83" s="162">
        <v>160</v>
      </c>
      <c r="BG83" s="162">
        <v>147</v>
      </c>
      <c r="BH83" s="162">
        <v>1662</v>
      </c>
      <c r="BI83" s="162">
        <v>141</v>
      </c>
      <c r="BJ83" s="162">
        <v>74</v>
      </c>
      <c r="BK83" s="97"/>
      <c r="BL83" s="97"/>
      <c r="BM83" s="97"/>
      <c r="BN83" s="97"/>
    </row>
    <row r="84" spans="1:66" ht="12.75">
      <c r="A84" s="79" t="s">
        <v>610</v>
      </c>
      <c r="B84" s="79" t="s">
        <v>328</v>
      </c>
      <c r="C84" s="79" t="s">
        <v>203</v>
      </c>
      <c r="D84" s="99">
        <v>4674</v>
      </c>
      <c r="E84" s="99">
        <v>731</v>
      </c>
      <c r="F84" s="99" t="s">
        <v>399</v>
      </c>
      <c r="G84" s="99">
        <v>29</v>
      </c>
      <c r="H84" s="99">
        <v>11</v>
      </c>
      <c r="I84" s="99">
        <v>71</v>
      </c>
      <c r="J84" s="99">
        <v>385</v>
      </c>
      <c r="K84" s="99">
        <v>377</v>
      </c>
      <c r="L84" s="99">
        <v>803</v>
      </c>
      <c r="M84" s="99">
        <v>241</v>
      </c>
      <c r="N84" s="99">
        <v>101</v>
      </c>
      <c r="O84" s="99">
        <v>47</v>
      </c>
      <c r="P84" s="159">
        <v>47</v>
      </c>
      <c r="Q84" s="99">
        <v>7</v>
      </c>
      <c r="R84" s="99">
        <v>27</v>
      </c>
      <c r="S84" s="99">
        <v>7</v>
      </c>
      <c r="T84" s="99">
        <v>10</v>
      </c>
      <c r="U84" s="99" t="s">
        <v>668</v>
      </c>
      <c r="V84" s="99">
        <v>11</v>
      </c>
      <c r="W84" s="99">
        <v>37</v>
      </c>
      <c r="X84" s="99">
        <v>23</v>
      </c>
      <c r="Y84" s="99">
        <v>44</v>
      </c>
      <c r="Z84" s="99">
        <v>33</v>
      </c>
      <c r="AA84" s="99" t="s">
        <v>668</v>
      </c>
      <c r="AB84" s="99" t="s">
        <v>668</v>
      </c>
      <c r="AC84" s="99" t="s">
        <v>668</v>
      </c>
      <c r="AD84" s="98" t="s">
        <v>378</v>
      </c>
      <c r="AE84" s="100">
        <v>0.15639709028669235</v>
      </c>
      <c r="AF84" s="100">
        <v>0.24</v>
      </c>
      <c r="AG84" s="98">
        <v>620.4535729567822</v>
      </c>
      <c r="AH84" s="98">
        <v>235.34445870774496</v>
      </c>
      <c r="AI84" s="100">
        <v>0.015</v>
      </c>
      <c r="AJ84" s="100">
        <v>0.76087</v>
      </c>
      <c r="AK84" s="100">
        <v>0.760081</v>
      </c>
      <c r="AL84" s="100">
        <v>0.742144</v>
      </c>
      <c r="AM84" s="100">
        <v>0.526201</v>
      </c>
      <c r="AN84" s="100">
        <v>0.551913</v>
      </c>
      <c r="AO84" s="98">
        <v>1005.5626872058194</v>
      </c>
      <c r="AP84" s="158">
        <v>0.574879837</v>
      </c>
      <c r="AQ84" s="100">
        <v>0.14893617021276595</v>
      </c>
      <c r="AR84" s="100">
        <v>0.25925925925925924</v>
      </c>
      <c r="AS84" s="98">
        <v>149.76465554129226</v>
      </c>
      <c r="AT84" s="98">
        <v>213.94950791613178</v>
      </c>
      <c r="AU84" s="98" t="s">
        <v>668</v>
      </c>
      <c r="AV84" s="98">
        <v>235.34445870774496</v>
      </c>
      <c r="AW84" s="98">
        <v>791.6131792896877</v>
      </c>
      <c r="AX84" s="98">
        <v>492.08386820710314</v>
      </c>
      <c r="AY84" s="98">
        <v>941.3778348309799</v>
      </c>
      <c r="AZ84" s="98">
        <v>706.0333761232349</v>
      </c>
      <c r="BA84" s="100" t="s">
        <v>668</v>
      </c>
      <c r="BB84" s="100" t="s">
        <v>668</v>
      </c>
      <c r="BC84" s="100" t="s">
        <v>668</v>
      </c>
      <c r="BD84" s="158">
        <v>0.4224000549</v>
      </c>
      <c r="BE84" s="158">
        <v>0.7644683075</v>
      </c>
      <c r="BF84" s="162">
        <v>506</v>
      </c>
      <c r="BG84" s="162">
        <v>496</v>
      </c>
      <c r="BH84" s="162">
        <v>1082</v>
      </c>
      <c r="BI84" s="162">
        <v>458</v>
      </c>
      <c r="BJ84" s="162">
        <v>183</v>
      </c>
      <c r="BK84" s="97"/>
      <c r="BL84" s="97"/>
      <c r="BM84" s="97"/>
      <c r="BN84" s="97"/>
    </row>
    <row r="85" spans="1:66" ht="12.75">
      <c r="A85" s="79" t="s">
        <v>577</v>
      </c>
      <c r="B85" s="79" t="s">
        <v>294</v>
      </c>
      <c r="C85" s="79" t="s">
        <v>203</v>
      </c>
      <c r="D85" s="99">
        <v>7111</v>
      </c>
      <c r="E85" s="99">
        <v>940</v>
      </c>
      <c r="F85" s="99" t="s">
        <v>399</v>
      </c>
      <c r="G85" s="99">
        <v>34</v>
      </c>
      <c r="H85" s="99">
        <v>22</v>
      </c>
      <c r="I85" s="99">
        <v>110</v>
      </c>
      <c r="J85" s="99">
        <v>429</v>
      </c>
      <c r="K85" s="99">
        <v>276</v>
      </c>
      <c r="L85" s="99">
        <v>1256</v>
      </c>
      <c r="M85" s="99">
        <v>135</v>
      </c>
      <c r="N85" s="99">
        <v>114</v>
      </c>
      <c r="O85" s="99">
        <v>138</v>
      </c>
      <c r="P85" s="159">
        <v>138</v>
      </c>
      <c r="Q85" s="99">
        <v>19</v>
      </c>
      <c r="R85" s="99">
        <v>36</v>
      </c>
      <c r="S85" s="99">
        <v>18</v>
      </c>
      <c r="T85" s="99">
        <v>27</v>
      </c>
      <c r="U85" s="99" t="s">
        <v>668</v>
      </c>
      <c r="V85" s="99">
        <v>20</v>
      </c>
      <c r="W85" s="99">
        <v>39</v>
      </c>
      <c r="X85" s="99">
        <v>33</v>
      </c>
      <c r="Y85" s="99">
        <v>102</v>
      </c>
      <c r="Z85" s="99">
        <v>70</v>
      </c>
      <c r="AA85" s="99" t="s">
        <v>668</v>
      </c>
      <c r="AB85" s="99" t="s">
        <v>668</v>
      </c>
      <c r="AC85" s="99" t="s">
        <v>668</v>
      </c>
      <c r="AD85" s="98" t="s">
        <v>378</v>
      </c>
      <c r="AE85" s="100">
        <v>0.13218956546196034</v>
      </c>
      <c r="AF85" s="100">
        <v>0.27</v>
      </c>
      <c r="AG85" s="98">
        <v>478.13247081985656</v>
      </c>
      <c r="AH85" s="98">
        <v>309.3798340599072</v>
      </c>
      <c r="AI85" s="100">
        <v>0.015</v>
      </c>
      <c r="AJ85" s="100">
        <v>0.592541</v>
      </c>
      <c r="AK85" s="100">
        <v>0.730159</v>
      </c>
      <c r="AL85" s="100">
        <v>0.763062</v>
      </c>
      <c r="AM85" s="100">
        <v>0.231164</v>
      </c>
      <c r="AN85" s="100">
        <v>0.378738</v>
      </c>
      <c r="AO85" s="98">
        <v>1940.655322739418</v>
      </c>
      <c r="AP85" s="158">
        <v>1.184443512</v>
      </c>
      <c r="AQ85" s="100">
        <v>0.13768115942028986</v>
      </c>
      <c r="AR85" s="100">
        <v>0.5277777777777778</v>
      </c>
      <c r="AS85" s="98">
        <v>253.12895513992407</v>
      </c>
      <c r="AT85" s="98">
        <v>379.6934327098861</v>
      </c>
      <c r="AU85" s="98" t="s">
        <v>668</v>
      </c>
      <c r="AV85" s="98">
        <v>281.2543945999156</v>
      </c>
      <c r="AW85" s="98">
        <v>548.4460694698355</v>
      </c>
      <c r="AX85" s="98">
        <v>464.0697510898608</v>
      </c>
      <c r="AY85" s="98">
        <v>1434.3974124595698</v>
      </c>
      <c r="AZ85" s="98">
        <v>984.3903810997047</v>
      </c>
      <c r="BA85" s="100" t="s">
        <v>668</v>
      </c>
      <c r="BB85" s="100" t="s">
        <v>668</v>
      </c>
      <c r="BC85" s="100" t="s">
        <v>668</v>
      </c>
      <c r="BD85" s="158">
        <v>0.9950777435</v>
      </c>
      <c r="BE85" s="158">
        <v>1.3993576049999998</v>
      </c>
      <c r="BF85" s="162">
        <v>724</v>
      </c>
      <c r="BG85" s="162">
        <v>378</v>
      </c>
      <c r="BH85" s="162">
        <v>1646</v>
      </c>
      <c r="BI85" s="162">
        <v>584</v>
      </c>
      <c r="BJ85" s="162">
        <v>301</v>
      </c>
      <c r="BK85" s="97"/>
      <c r="BL85" s="97"/>
      <c r="BM85" s="97"/>
      <c r="BN85" s="97"/>
    </row>
    <row r="86" spans="1:66" ht="12.75">
      <c r="A86" s="79" t="s">
        <v>673</v>
      </c>
      <c r="B86" s="79" t="s">
        <v>350</v>
      </c>
      <c r="C86" s="79" t="s">
        <v>203</v>
      </c>
      <c r="D86" s="99">
        <v>2412</v>
      </c>
      <c r="E86" s="99">
        <v>303</v>
      </c>
      <c r="F86" s="99" t="s">
        <v>399</v>
      </c>
      <c r="G86" s="99">
        <v>14</v>
      </c>
      <c r="H86" s="99">
        <v>6</v>
      </c>
      <c r="I86" s="99">
        <v>22</v>
      </c>
      <c r="J86" s="99">
        <v>164</v>
      </c>
      <c r="K86" s="99">
        <v>161</v>
      </c>
      <c r="L86" s="99">
        <v>416</v>
      </c>
      <c r="M86" s="99">
        <v>80</v>
      </c>
      <c r="N86" s="99">
        <v>42</v>
      </c>
      <c r="O86" s="99">
        <v>30</v>
      </c>
      <c r="P86" s="159">
        <v>30</v>
      </c>
      <c r="Q86" s="99" t="s">
        <v>668</v>
      </c>
      <c r="R86" s="99">
        <v>12</v>
      </c>
      <c r="S86" s="99">
        <v>9</v>
      </c>
      <c r="T86" s="99" t="s">
        <v>668</v>
      </c>
      <c r="U86" s="99" t="s">
        <v>668</v>
      </c>
      <c r="V86" s="99">
        <v>7</v>
      </c>
      <c r="W86" s="99">
        <v>13</v>
      </c>
      <c r="X86" s="99">
        <v>10</v>
      </c>
      <c r="Y86" s="99">
        <v>26</v>
      </c>
      <c r="Z86" s="99">
        <v>16</v>
      </c>
      <c r="AA86" s="99" t="s">
        <v>668</v>
      </c>
      <c r="AB86" s="99" t="s">
        <v>668</v>
      </c>
      <c r="AC86" s="99" t="s">
        <v>668</v>
      </c>
      <c r="AD86" s="98" t="s">
        <v>378</v>
      </c>
      <c r="AE86" s="100">
        <v>0.1256218905472637</v>
      </c>
      <c r="AF86" s="100">
        <v>0.29</v>
      </c>
      <c r="AG86" s="98">
        <v>580.4311774461028</v>
      </c>
      <c r="AH86" s="98">
        <v>248.75621890547265</v>
      </c>
      <c r="AI86" s="100">
        <v>0.009000000000000001</v>
      </c>
      <c r="AJ86" s="100">
        <v>0.658635</v>
      </c>
      <c r="AK86" s="100">
        <v>0.665289</v>
      </c>
      <c r="AL86" s="100">
        <v>0.69103</v>
      </c>
      <c r="AM86" s="100">
        <v>0.358744</v>
      </c>
      <c r="AN86" s="100">
        <v>0.446809</v>
      </c>
      <c r="AO86" s="98">
        <v>1243.7810945273632</v>
      </c>
      <c r="AP86" s="158">
        <v>0.7714267731</v>
      </c>
      <c r="AQ86" s="100" t="s">
        <v>668</v>
      </c>
      <c r="AR86" s="100" t="s">
        <v>668</v>
      </c>
      <c r="AS86" s="98">
        <v>373.13432835820896</v>
      </c>
      <c r="AT86" s="98" t="s">
        <v>668</v>
      </c>
      <c r="AU86" s="98" t="s">
        <v>668</v>
      </c>
      <c r="AV86" s="98">
        <v>290.2155887230514</v>
      </c>
      <c r="AW86" s="98">
        <v>538.9718076285241</v>
      </c>
      <c r="AX86" s="98">
        <v>414.5936981757877</v>
      </c>
      <c r="AY86" s="98">
        <v>1077.9436152570481</v>
      </c>
      <c r="AZ86" s="98">
        <v>663.3499170812604</v>
      </c>
      <c r="BA86" s="101" t="s">
        <v>668</v>
      </c>
      <c r="BB86" s="101" t="s">
        <v>668</v>
      </c>
      <c r="BC86" s="101" t="s">
        <v>668</v>
      </c>
      <c r="BD86" s="158">
        <v>0.5204784012</v>
      </c>
      <c r="BE86" s="158">
        <v>1.101259613</v>
      </c>
      <c r="BF86" s="162">
        <v>249</v>
      </c>
      <c r="BG86" s="162">
        <v>242</v>
      </c>
      <c r="BH86" s="162">
        <v>602</v>
      </c>
      <c r="BI86" s="162">
        <v>223</v>
      </c>
      <c r="BJ86" s="162">
        <v>94</v>
      </c>
      <c r="BK86" s="97"/>
      <c r="BL86" s="97"/>
      <c r="BM86" s="97"/>
      <c r="BN86" s="97"/>
    </row>
    <row r="87" spans="1:66" ht="12.75">
      <c r="A87" s="79" t="s">
        <v>597</v>
      </c>
      <c r="B87" s="79" t="s">
        <v>315</v>
      </c>
      <c r="C87" s="79" t="s">
        <v>203</v>
      </c>
      <c r="D87" s="99">
        <v>5233</v>
      </c>
      <c r="E87" s="99">
        <v>736</v>
      </c>
      <c r="F87" s="99" t="s">
        <v>399</v>
      </c>
      <c r="G87" s="99">
        <v>26</v>
      </c>
      <c r="H87" s="99">
        <v>9</v>
      </c>
      <c r="I87" s="99">
        <v>78</v>
      </c>
      <c r="J87" s="99">
        <v>283</v>
      </c>
      <c r="K87" s="99" t="s">
        <v>668</v>
      </c>
      <c r="L87" s="99">
        <v>904</v>
      </c>
      <c r="M87" s="99">
        <v>119</v>
      </c>
      <c r="N87" s="99">
        <v>103</v>
      </c>
      <c r="O87" s="99">
        <v>65</v>
      </c>
      <c r="P87" s="159">
        <v>65</v>
      </c>
      <c r="Q87" s="99">
        <v>11</v>
      </c>
      <c r="R87" s="99">
        <v>23</v>
      </c>
      <c r="S87" s="99">
        <v>13</v>
      </c>
      <c r="T87" s="99">
        <v>16</v>
      </c>
      <c r="U87" s="99" t="s">
        <v>668</v>
      </c>
      <c r="V87" s="99">
        <v>9</v>
      </c>
      <c r="W87" s="99">
        <v>49</v>
      </c>
      <c r="X87" s="99">
        <v>36</v>
      </c>
      <c r="Y87" s="99">
        <v>58</v>
      </c>
      <c r="Z87" s="99">
        <v>27</v>
      </c>
      <c r="AA87" s="99" t="s">
        <v>668</v>
      </c>
      <c r="AB87" s="99" t="s">
        <v>668</v>
      </c>
      <c r="AC87" s="99" t="s">
        <v>668</v>
      </c>
      <c r="AD87" s="98" t="s">
        <v>378</v>
      </c>
      <c r="AE87" s="100">
        <v>0.14064590101280336</v>
      </c>
      <c r="AF87" s="100">
        <v>0.26</v>
      </c>
      <c r="AG87" s="98">
        <v>496.8469329256641</v>
      </c>
      <c r="AH87" s="98">
        <v>171.98547678196064</v>
      </c>
      <c r="AI87" s="100">
        <v>0.015</v>
      </c>
      <c r="AJ87" s="100">
        <v>0.529963</v>
      </c>
      <c r="AK87" s="100" t="s">
        <v>668</v>
      </c>
      <c r="AL87" s="100">
        <v>0.722622</v>
      </c>
      <c r="AM87" s="100">
        <v>0.247401</v>
      </c>
      <c r="AN87" s="100">
        <v>0.400778</v>
      </c>
      <c r="AO87" s="98">
        <v>1242.1173323141602</v>
      </c>
      <c r="AP87" s="158">
        <v>0.7230696106000001</v>
      </c>
      <c r="AQ87" s="100">
        <v>0.16923076923076924</v>
      </c>
      <c r="AR87" s="100">
        <v>0.4782608695652174</v>
      </c>
      <c r="AS87" s="98">
        <v>248.42346646283204</v>
      </c>
      <c r="AT87" s="98">
        <v>305.7519587234856</v>
      </c>
      <c r="AU87" s="98" t="s">
        <v>668</v>
      </c>
      <c r="AV87" s="98">
        <v>171.98547678196064</v>
      </c>
      <c r="AW87" s="98">
        <v>936.3653735906746</v>
      </c>
      <c r="AX87" s="98">
        <v>687.9419071278426</v>
      </c>
      <c r="AY87" s="98">
        <v>1108.3508503726353</v>
      </c>
      <c r="AZ87" s="98">
        <v>515.9564303458819</v>
      </c>
      <c r="BA87" s="100" t="s">
        <v>668</v>
      </c>
      <c r="BB87" s="100" t="s">
        <v>668</v>
      </c>
      <c r="BC87" s="100" t="s">
        <v>668</v>
      </c>
      <c r="BD87" s="158">
        <v>0.5580498886</v>
      </c>
      <c r="BE87" s="158">
        <v>0.9216116333</v>
      </c>
      <c r="BF87" s="162">
        <v>534</v>
      </c>
      <c r="BG87" s="162" t="s">
        <v>668</v>
      </c>
      <c r="BH87" s="162">
        <v>1251</v>
      </c>
      <c r="BI87" s="162">
        <v>481</v>
      </c>
      <c r="BJ87" s="162">
        <v>257</v>
      </c>
      <c r="BK87" s="97"/>
      <c r="BL87" s="97"/>
      <c r="BM87" s="97"/>
      <c r="BN87" s="97"/>
    </row>
    <row r="88" spans="1:66" ht="12.75">
      <c r="A88" s="79" t="s">
        <v>592</v>
      </c>
      <c r="B88" s="79" t="s">
        <v>310</v>
      </c>
      <c r="C88" s="79" t="s">
        <v>203</v>
      </c>
      <c r="D88" s="99">
        <v>7954</v>
      </c>
      <c r="E88" s="99">
        <v>714</v>
      </c>
      <c r="F88" s="99" t="s">
        <v>399</v>
      </c>
      <c r="G88" s="99">
        <v>15</v>
      </c>
      <c r="H88" s="99">
        <v>8</v>
      </c>
      <c r="I88" s="99">
        <v>69</v>
      </c>
      <c r="J88" s="99">
        <v>309</v>
      </c>
      <c r="K88" s="99">
        <v>261</v>
      </c>
      <c r="L88" s="99">
        <v>1358</v>
      </c>
      <c r="M88" s="99">
        <v>78</v>
      </c>
      <c r="N88" s="99">
        <v>64</v>
      </c>
      <c r="O88" s="99">
        <v>102</v>
      </c>
      <c r="P88" s="159">
        <v>102</v>
      </c>
      <c r="Q88" s="99">
        <v>10</v>
      </c>
      <c r="R88" s="99">
        <v>21</v>
      </c>
      <c r="S88" s="99">
        <v>33</v>
      </c>
      <c r="T88" s="99">
        <v>6</v>
      </c>
      <c r="U88" s="99" t="s">
        <v>668</v>
      </c>
      <c r="V88" s="99">
        <v>17</v>
      </c>
      <c r="W88" s="99">
        <v>30</v>
      </c>
      <c r="X88" s="99">
        <v>27</v>
      </c>
      <c r="Y88" s="99">
        <v>57</v>
      </c>
      <c r="Z88" s="99">
        <v>35</v>
      </c>
      <c r="AA88" s="99" t="s">
        <v>668</v>
      </c>
      <c r="AB88" s="99" t="s">
        <v>668</v>
      </c>
      <c r="AC88" s="99" t="s">
        <v>668</v>
      </c>
      <c r="AD88" s="98" t="s">
        <v>378</v>
      </c>
      <c r="AE88" s="100">
        <v>0.0897661553935127</v>
      </c>
      <c r="AF88" s="100">
        <v>0.32</v>
      </c>
      <c r="AG88" s="98">
        <v>188.58436007040484</v>
      </c>
      <c r="AH88" s="98">
        <v>100.57832537088258</v>
      </c>
      <c r="AI88" s="100">
        <v>0.009000000000000001</v>
      </c>
      <c r="AJ88" s="100">
        <v>0.584121</v>
      </c>
      <c r="AK88" s="100">
        <v>0.555319</v>
      </c>
      <c r="AL88" s="100">
        <v>0.658584</v>
      </c>
      <c r="AM88" s="100">
        <v>0.190244</v>
      </c>
      <c r="AN88" s="100">
        <v>0.293578</v>
      </c>
      <c r="AO88" s="98">
        <v>1282.3736484787528</v>
      </c>
      <c r="AP88" s="158">
        <v>0.9455222321</v>
      </c>
      <c r="AQ88" s="100">
        <v>0.09803921568627451</v>
      </c>
      <c r="AR88" s="100">
        <v>0.47619047619047616</v>
      </c>
      <c r="AS88" s="98">
        <v>414.8855921548906</v>
      </c>
      <c r="AT88" s="98">
        <v>75.43374402816193</v>
      </c>
      <c r="AU88" s="98" t="s">
        <v>668</v>
      </c>
      <c r="AV88" s="98">
        <v>213.72894141312548</v>
      </c>
      <c r="AW88" s="98">
        <v>377.1687201408097</v>
      </c>
      <c r="AX88" s="98">
        <v>339.4518481267287</v>
      </c>
      <c r="AY88" s="98">
        <v>716.6205682675384</v>
      </c>
      <c r="AZ88" s="98">
        <v>440.03017349761126</v>
      </c>
      <c r="BA88" s="100" t="s">
        <v>668</v>
      </c>
      <c r="BB88" s="100" t="s">
        <v>668</v>
      </c>
      <c r="BC88" s="100" t="s">
        <v>668</v>
      </c>
      <c r="BD88" s="158">
        <v>0.7709603882</v>
      </c>
      <c r="BE88" s="158">
        <v>1.147799454</v>
      </c>
      <c r="BF88" s="162">
        <v>529</v>
      </c>
      <c r="BG88" s="162">
        <v>470</v>
      </c>
      <c r="BH88" s="162">
        <v>2062</v>
      </c>
      <c r="BI88" s="162">
        <v>410</v>
      </c>
      <c r="BJ88" s="162">
        <v>218</v>
      </c>
      <c r="BK88" s="97"/>
      <c r="BL88" s="97"/>
      <c r="BM88" s="97"/>
      <c r="BN88" s="97"/>
    </row>
    <row r="89" spans="1:66" ht="12.75">
      <c r="A89" s="79" t="s">
        <v>620</v>
      </c>
      <c r="B89" s="79" t="s">
        <v>339</v>
      </c>
      <c r="C89" s="79" t="s">
        <v>203</v>
      </c>
      <c r="D89" s="99">
        <v>18117</v>
      </c>
      <c r="E89" s="99">
        <v>717</v>
      </c>
      <c r="F89" s="99" t="s">
        <v>398</v>
      </c>
      <c r="G89" s="99">
        <v>19</v>
      </c>
      <c r="H89" s="99">
        <v>10</v>
      </c>
      <c r="I89" s="99">
        <v>76</v>
      </c>
      <c r="J89" s="99">
        <v>283</v>
      </c>
      <c r="K89" s="99">
        <v>78</v>
      </c>
      <c r="L89" s="99">
        <v>1448</v>
      </c>
      <c r="M89" s="99">
        <v>89</v>
      </c>
      <c r="N89" s="99">
        <v>74</v>
      </c>
      <c r="O89" s="99">
        <v>149</v>
      </c>
      <c r="P89" s="159">
        <v>149</v>
      </c>
      <c r="Q89" s="99">
        <v>12</v>
      </c>
      <c r="R89" s="99">
        <v>24</v>
      </c>
      <c r="S89" s="99">
        <v>26</v>
      </c>
      <c r="T89" s="99">
        <v>25</v>
      </c>
      <c r="U89" s="99">
        <v>7</v>
      </c>
      <c r="V89" s="99">
        <v>27</v>
      </c>
      <c r="W89" s="99">
        <v>37</v>
      </c>
      <c r="X89" s="99">
        <v>45</v>
      </c>
      <c r="Y89" s="99">
        <v>105</v>
      </c>
      <c r="Z89" s="99">
        <v>44</v>
      </c>
      <c r="AA89" s="99" t="s">
        <v>668</v>
      </c>
      <c r="AB89" s="99" t="s">
        <v>668</v>
      </c>
      <c r="AC89" s="99" t="s">
        <v>668</v>
      </c>
      <c r="AD89" s="98" t="s">
        <v>378</v>
      </c>
      <c r="AE89" s="100">
        <v>0.039576088756416626</v>
      </c>
      <c r="AF89" s="100">
        <v>0.23</v>
      </c>
      <c r="AG89" s="98">
        <v>104.87387536567864</v>
      </c>
      <c r="AH89" s="98">
        <v>55.196776508251915</v>
      </c>
      <c r="AI89" s="100">
        <v>0.004</v>
      </c>
      <c r="AJ89" s="100">
        <v>0.464696</v>
      </c>
      <c r="AK89" s="100">
        <v>0.264407</v>
      </c>
      <c r="AL89" s="100">
        <v>0.478361</v>
      </c>
      <c r="AM89" s="100">
        <v>0.171154</v>
      </c>
      <c r="AN89" s="100">
        <v>0.265233</v>
      </c>
      <c r="AO89" s="98">
        <v>822.4319699729535</v>
      </c>
      <c r="AP89" s="158">
        <v>0.9134159088</v>
      </c>
      <c r="AQ89" s="100">
        <v>0.08053691275167785</v>
      </c>
      <c r="AR89" s="100">
        <v>0.5</v>
      </c>
      <c r="AS89" s="98">
        <v>143.51161892145498</v>
      </c>
      <c r="AT89" s="98">
        <v>137.9919412706298</v>
      </c>
      <c r="AU89" s="98">
        <v>38.63774355577634</v>
      </c>
      <c r="AV89" s="98">
        <v>149.03129657228018</v>
      </c>
      <c r="AW89" s="98">
        <v>204.22807308053208</v>
      </c>
      <c r="AX89" s="98">
        <v>248.38549428713364</v>
      </c>
      <c r="AY89" s="98">
        <v>579.5661533366451</v>
      </c>
      <c r="AZ89" s="98">
        <v>242.86581663630844</v>
      </c>
      <c r="BA89" s="100" t="s">
        <v>668</v>
      </c>
      <c r="BB89" s="100" t="s">
        <v>668</v>
      </c>
      <c r="BC89" s="100" t="s">
        <v>668</v>
      </c>
      <c r="BD89" s="158">
        <v>0.7726416779</v>
      </c>
      <c r="BE89" s="158">
        <v>1.072419205</v>
      </c>
      <c r="BF89" s="162">
        <v>609</v>
      </c>
      <c r="BG89" s="162">
        <v>295</v>
      </c>
      <c r="BH89" s="162">
        <v>3027</v>
      </c>
      <c r="BI89" s="162">
        <v>520</v>
      </c>
      <c r="BJ89" s="162">
        <v>279</v>
      </c>
      <c r="BK89" s="97"/>
      <c r="BL89" s="97"/>
      <c r="BM89" s="97"/>
      <c r="BN89" s="97"/>
    </row>
    <row r="90" spans="1:66" ht="12.75">
      <c r="A90" s="79" t="s">
        <v>567</v>
      </c>
      <c r="B90" s="79" t="s">
        <v>284</v>
      </c>
      <c r="C90" s="79" t="s">
        <v>203</v>
      </c>
      <c r="D90" s="99">
        <v>7080</v>
      </c>
      <c r="E90" s="99">
        <v>485</v>
      </c>
      <c r="F90" s="99" t="s">
        <v>398</v>
      </c>
      <c r="G90" s="99">
        <v>7</v>
      </c>
      <c r="H90" s="99">
        <v>11</v>
      </c>
      <c r="I90" s="99">
        <v>54</v>
      </c>
      <c r="J90" s="99">
        <v>158</v>
      </c>
      <c r="K90" s="99">
        <v>97</v>
      </c>
      <c r="L90" s="99">
        <v>551</v>
      </c>
      <c r="M90" s="99">
        <v>40</v>
      </c>
      <c r="N90" s="99">
        <v>36</v>
      </c>
      <c r="O90" s="99">
        <v>93</v>
      </c>
      <c r="P90" s="159">
        <v>93</v>
      </c>
      <c r="Q90" s="99" t="s">
        <v>668</v>
      </c>
      <c r="R90" s="99">
        <v>10</v>
      </c>
      <c r="S90" s="99">
        <v>20</v>
      </c>
      <c r="T90" s="99">
        <v>15</v>
      </c>
      <c r="U90" s="99" t="s">
        <v>668</v>
      </c>
      <c r="V90" s="99">
        <v>13</v>
      </c>
      <c r="W90" s="99">
        <v>20</v>
      </c>
      <c r="X90" s="99">
        <v>24</v>
      </c>
      <c r="Y90" s="99">
        <v>39</v>
      </c>
      <c r="Z90" s="99">
        <v>33</v>
      </c>
      <c r="AA90" s="99" t="s">
        <v>668</v>
      </c>
      <c r="AB90" s="99" t="s">
        <v>668</v>
      </c>
      <c r="AC90" s="99" t="s">
        <v>668</v>
      </c>
      <c r="AD90" s="98" t="s">
        <v>378</v>
      </c>
      <c r="AE90" s="100">
        <v>0.06850282485875706</v>
      </c>
      <c r="AF90" s="100">
        <v>0.21</v>
      </c>
      <c r="AG90" s="98">
        <v>98.87005649717514</v>
      </c>
      <c r="AH90" s="98">
        <v>155.36723163841808</v>
      </c>
      <c r="AI90" s="100">
        <v>0.008</v>
      </c>
      <c r="AJ90" s="100">
        <v>0.658333</v>
      </c>
      <c r="AK90" s="100">
        <v>0.591463</v>
      </c>
      <c r="AL90" s="100">
        <v>0.554326</v>
      </c>
      <c r="AM90" s="100">
        <v>0.180995</v>
      </c>
      <c r="AN90" s="100">
        <v>0.310345</v>
      </c>
      <c r="AO90" s="98">
        <v>1313.5593220338983</v>
      </c>
      <c r="AP90" s="158">
        <v>1.240216675</v>
      </c>
      <c r="AQ90" s="100" t="s">
        <v>668</v>
      </c>
      <c r="AR90" s="100" t="s">
        <v>668</v>
      </c>
      <c r="AS90" s="98">
        <v>282.4858757062147</v>
      </c>
      <c r="AT90" s="98">
        <v>211.864406779661</v>
      </c>
      <c r="AU90" s="98" t="s">
        <v>668</v>
      </c>
      <c r="AV90" s="98">
        <v>183.61581920903956</v>
      </c>
      <c r="AW90" s="98">
        <v>282.4858757062147</v>
      </c>
      <c r="AX90" s="98">
        <v>338.9830508474576</v>
      </c>
      <c r="AY90" s="98">
        <v>550.8474576271186</v>
      </c>
      <c r="AZ90" s="98">
        <v>466.10169491525426</v>
      </c>
      <c r="BA90" s="100" t="s">
        <v>668</v>
      </c>
      <c r="BB90" s="100" t="s">
        <v>668</v>
      </c>
      <c r="BC90" s="100" t="s">
        <v>668</v>
      </c>
      <c r="BD90" s="158">
        <v>1.001014938</v>
      </c>
      <c r="BE90" s="158">
        <v>1.5193492130000001</v>
      </c>
      <c r="BF90" s="162">
        <v>240</v>
      </c>
      <c r="BG90" s="162">
        <v>164</v>
      </c>
      <c r="BH90" s="162">
        <v>994</v>
      </c>
      <c r="BI90" s="162">
        <v>221</v>
      </c>
      <c r="BJ90" s="162">
        <v>116</v>
      </c>
      <c r="BK90" s="97"/>
      <c r="BL90" s="97"/>
      <c r="BM90" s="97"/>
      <c r="BN90" s="97"/>
    </row>
    <row r="91" spans="1:66" ht="12.75">
      <c r="A91" s="79" t="s">
        <v>643</v>
      </c>
      <c r="B91" s="79" t="s">
        <v>362</v>
      </c>
      <c r="C91" s="79" t="s">
        <v>203</v>
      </c>
      <c r="D91" s="99">
        <v>3996</v>
      </c>
      <c r="E91" s="99">
        <v>499</v>
      </c>
      <c r="F91" s="99" t="s">
        <v>399</v>
      </c>
      <c r="G91" s="99">
        <v>24</v>
      </c>
      <c r="H91" s="99">
        <v>6</v>
      </c>
      <c r="I91" s="99">
        <v>56</v>
      </c>
      <c r="J91" s="99">
        <v>255</v>
      </c>
      <c r="K91" s="99">
        <v>33</v>
      </c>
      <c r="L91" s="99">
        <v>785</v>
      </c>
      <c r="M91" s="99">
        <v>164</v>
      </c>
      <c r="N91" s="99">
        <v>58</v>
      </c>
      <c r="O91" s="99">
        <v>67</v>
      </c>
      <c r="P91" s="159">
        <v>67</v>
      </c>
      <c r="Q91" s="99">
        <v>6</v>
      </c>
      <c r="R91" s="99">
        <v>15</v>
      </c>
      <c r="S91" s="99">
        <v>29</v>
      </c>
      <c r="T91" s="99">
        <v>12</v>
      </c>
      <c r="U91" s="99" t="s">
        <v>668</v>
      </c>
      <c r="V91" s="99" t="s">
        <v>668</v>
      </c>
      <c r="W91" s="99">
        <v>31</v>
      </c>
      <c r="X91" s="99">
        <v>19</v>
      </c>
      <c r="Y91" s="99">
        <v>52</v>
      </c>
      <c r="Z91" s="99">
        <v>22</v>
      </c>
      <c r="AA91" s="99" t="s">
        <v>668</v>
      </c>
      <c r="AB91" s="99" t="s">
        <v>668</v>
      </c>
      <c r="AC91" s="99" t="s">
        <v>668</v>
      </c>
      <c r="AD91" s="98" t="s">
        <v>378</v>
      </c>
      <c r="AE91" s="100">
        <v>0.12487487487487488</v>
      </c>
      <c r="AF91" s="100">
        <v>0.27</v>
      </c>
      <c r="AG91" s="98">
        <v>600.6006006006006</v>
      </c>
      <c r="AH91" s="98">
        <v>150.15015015015015</v>
      </c>
      <c r="AI91" s="100">
        <v>0.013999999999999999</v>
      </c>
      <c r="AJ91" s="100">
        <v>0.65051</v>
      </c>
      <c r="AK91" s="100">
        <v>0.634615</v>
      </c>
      <c r="AL91" s="100">
        <v>0.809278</v>
      </c>
      <c r="AM91" s="100">
        <v>0.483776</v>
      </c>
      <c r="AN91" s="100">
        <v>0.439394</v>
      </c>
      <c r="AO91" s="98">
        <v>1676.6766766766766</v>
      </c>
      <c r="AP91" s="158">
        <v>1.0296299740000001</v>
      </c>
      <c r="AQ91" s="100">
        <v>0.08955223880597014</v>
      </c>
      <c r="AR91" s="100">
        <v>0.4</v>
      </c>
      <c r="AS91" s="98">
        <v>725.7257257257257</v>
      </c>
      <c r="AT91" s="98">
        <v>300.3003003003003</v>
      </c>
      <c r="AU91" s="98" t="s">
        <v>668</v>
      </c>
      <c r="AV91" s="98" t="s">
        <v>668</v>
      </c>
      <c r="AW91" s="98">
        <v>775.7757757757757</v>
      </c>
      <c r="AX91" s="98">
        <v>475.4754754754755</v>
      </c>
      <c r="AY91" s="98">
        <v>1301.3013013013012</v>
      </c>
      <c r="AZ91" s="98">
        <v>550.5505505505505</v>
      </c>
      <c r="BA91" s="101" t="s">
        <v>668</v>
      </c>
      <c r="BB91" s="101" t="s">
        <v>668</v>
      </c>
      <c r="BC91" s="101" t="s">
        <v>668</v>
      </c>
      <c r="BD91" s="158">
        <v>0.7979490662000001</v>
      </c>
      <c r="BE91" s="158">
        <v>1.307593689</v>
      </c>
      <c r="BF91" s="162">
        <v>392</v>
      </c>
      <c r="BG91" s="162">
        <v>52</v>
      </c>
      <c r="BH91" s="162">
        <v>970</v>
      </c>
      <c r="BI91" s="162">
        <v>339</v>
      </c>
      <c r="BJ91" s="162">
        <v>132</v>
      </c>
      <c r="BK91" s="97"/>
      <c r="BL91" s="97"/>
      <c r="BM91" s="97"/>
      <c r="BN91" s="97"/>
    </row>
    <row r="92" spans="1:66" ht="12.75">
      <c r="A92" s="79" t="s">
        <v>600</v>
      </c>
      <c r="B92" s="79" t="s">
        <v>318</v>
      </c>
      <c r="C92" s="79" t="s">
        <v>203</v>
      </c>
      <c r="D92" s="99">
        <v>6630</v>
      </c>
      <c r="E92" s="99">
        <v>804</v>
      </c>
      <c r="F92" s="99" t="s">
        <v>399</v>
      </c>
      <c r="G92" s="99">
        <v>23</v>
      </c>
      <c r="H92" s="99">
        <v>22</v>
      </c>
      <c r="I92" s="99">
        <v>109</v>
      </c>
      <c r="J92" s="99">
        <v>485</v>
      </c>
      <c r="K92" s="99">
        <v>280</v>
      </c>
      <c r="L92" s="99">
        <v>1153</v>
      </c>
      <c r="M92" s="99">
        <v>157</v>
      </c>
      <c r="N92" s="99">
        <v>131</v>
      </c>
      <c r="O92" s="99">
        <v>107</v>
      </c>
      <c r="P92" s="159">
        <v>107</v>
      </c>
      <c r="Q92" s="99">
        <v>18</v>
      </c>
      <c r="R92" s="99">
        <v>31</v>
      </c>
      <c r="S92" s="99">
        <v>19</v>
      </c>
      <c r="T92" s="99">
        <v>31</v>
      </c>
      <c r="U92" s="99" t="s">
        <v>668</v>
      </c>
      <c r="V92" s="99" t="s">
        <v>668</v>
      </c>
      <c r="W92" s="99">
        <v>42</v>
      </c>
      <c r="X92" s="99">
        <v>30</v>
      </c>
      <c r="Y92" s="99">
        <v>97</v>
      </c>
      <c r="Z92" s="99">
        <v>50</v>
      </c>
      <c r="AA92" s="99" t="s">
        <v>668</v>
      </c>
      <c r="AB92" s="99" t="s">
        <v>668</v>
      </c>
      <c r="AC92" s="99" t="s">
        <v>668</v>
      </c>
      <c r="AD92" s="98" t="s">
        <v>378</v>
      </c>
      <c r="AE92" s="100">
        <v>0.12126696832579185</v>
      </c>
      <c r="AF92" s="100">
        <v>0.29</v>
      </c>
      <c r="AG92" s="98">
        <v>346.9079939668175</v>
      </c>
      <c r="AH92" s="98">
        <v>331.82503770739066</v>
      </c>
      <c r="AI92" s="100">
        <v>0.016</v>
      </c>
      <c r="AJ92" s="100">
        <v>0.625806</v>
      </c>
      <c r="AK92" s="100">
        <v>0.767123</v>
      </c>
      <c r="AL92" s="100">
        <v>0.748701</v>
      </c>
      <c r="AM92" s="100">
        <v>0.231222</v>
      </c>
      <c r="AN92" s="100">
        <v>0.380814</v>
      </c>
      <c r="AO92" s="98">
        <v>1613.8763197586727</v>
      </c>
      <c r="AP92" s="158">
        <v>0.9709351349</v>
      </c>
      <c r="AQ92" s="100">
        <v>0.16822429906542055</v>
      </c>
      <c r="AR92" s="100">
        <v>0.5806451612903226</v>
      </c>
      <c r="AS92" s="98">
        <v>286.5761689291101</v>
      </c>
      <c r="AT92" s="98">
        <v>467.57164404223226</v>
      </c>
      <c r="AU92" s="98" t="s">
        <v>668</v>
      </c>
      <c r="AV92" s="98" t="s">
        <v>668</v>
      </c>
      <c r="AW92" s="98">
        <v>633.4841628959276</v>
      </c>
      <c r="AX92" s="98">
        <v>452.4886877828054</v>
      </c>
      <c r="AY92" s="98">
        <v>1463.0467571644042</v>
      </c>
      <c r="AZ92" s="98">
        <v>754.1478129713424</v>
      </c>
      <c r="BA92" s="100" t="s">
        <v>668</v>
      </c>
      <c r="BB92" s="100" t="s">
        <v>668</v>
      </c>
      <c r="BC92" s="100" t="s">
        <v>668</v>
      </c>
      <c r="BD92" s="158">
        <v>0.7957048035</v>
      </c>
      <c r="BE92" s="158">
        <v>1.1732757569999999</v>
      </c>
      <c r="BF92" s="162">
        <v>775</v>
      </c>
      <c r="BG92" s="162">
        <v>365</v>
      </c>
      <c r="BH92" s="162">
        <v>1540</v>
      </c>
      <c r="BI92" s="162">
        <v>679</v>
      </c>
      <c r="BJ92" s="162">
        <v>344</v>
      </c>
      <c r="BK92" s="97"/>
      <c r="BL92" s="97"/>
      <c r="BM92" s="97"/>
      <c r="BN92" s="97"/>
    </row>
    <row r="93" spans="1:66" ht="12.75">
      <c r="A93" s="79" t="s">
        <v>642</v>
      </c>
      <c r="B93" s="79" t="s">
        <v>361</v>
      </c>
      <c r="C93" s="79" t="s">
        <v>203</v>
      </c>
      <c r="D93" s="99">
        <v>1417</v>
      </c>
      <c r="E93" s="99">
        <v>324</v>
      </c>
      <c r="F93" s="99" t="s">
        <v>398</v>
      </c>
      <c r="G93" s="99">
        <v>10</v>
      </c>
      <c r="H93" s="99" t="s">
        <v>668</v>
      </c>
      <c r="I93" s="99">
        <v>20</v>
      </c>
      <c r="J93" s="99">
        <v>82</v>
      </c>
      <c r="K93" s="99">
        <v>11</v>
      </c>
      <c r="L93" s="99">
        <v>184</v>
      </c>
      <c r="M93" s="99">
        <v>32</v>
      </c>
      <c r="N93" s="99">
        <v>25</v>
      </c>
      <c r="O93" s="99">
        <v>11</v>
      </c>
      <c r="P93" s="159">
        <v>11</v>
      </c>
      <c r="Q93" s="99" t="s">
        <v>668</v>
      </c>
      <c r="R93" s="99">
        <v>7</v>
      </c>
      <c r="S93" s="99" t="s">
        <v>668</v>
      </c>
      <c r="T93" s="99" t="s">
        <v>668</v>
      </c>
      <c r="U93" s="99" t="s">
        <v>668</v>
      </c>
      <c r="V93" s="99" t="s">
        <v>668</v>
      </c>
      <c r="W93" s="99" t="s">
        <v>668</v>
      </c>
      <c r="X93" s="99" t="s">
        <v>668</v>
      </c>
      <c r="Y93" s="99">
        <v>12</v>
      </c>
      <c r="Z93" s="99">
        <v>6</v>
      </c>
      <c r="AA93" s="99" t="s">
        <v>668</v>
      </c>
      <c r="AB93" s="99" t="s">
        <v>668</v>
      </c>
      <c r="AC93" s="99" t="s">
        <v>668</v>
      </c>
      <c r="AD93" s="98" t="s">
        <v>378</v>
      </c>
      <c r="AE93" s="100">
        <v>0.22865208186309105</v>
      </c>
      <c r="AF93" s="100">
        <v>0.18</v>
      </c>
      <c r="AG93" s="98">
        <v>705.7163020465773</v>
      </c>
      <c r="AH93" s="98" t="s">
        <v>668</v>
      </c>
      <c r="AI93" s="100">
        <v>0.013999999999999999</v>
      </c>
      <c r="AJ93" s="100">
        <v>0.59854</v>
      </c>
      <c r="AK93" s="100">
        <v>0.733333</v>
      </c>
      <c r="AL93" s="100">
        <v>0.684015</v>
      </c>
      <c r="AM93" s="100">
        <v>0.178771</v>
      </c>
      <c r="AN93" s="100">
        <v>0.268817</v>
      </c>
      <c r="AO93" s="98">
        <v>776.287932251235</v>
      </c>
      <c r="AP93" s="158">
        <v>0.3690413666</v>
      </c>
      <c r="AQ93" s="100" t="s">
        <v>668</v>
      </c>
      <c r="AR93" s="100" t="s">
        <v>668</v>
      </c>
      <c r="AS93" s="98" t="s">
        <v>668</v>
      </c>
      <c r="AT93" s="98" t="s">
        <v>668</v>
      </c>
      <c r="AU93" s="98" t="s">
        <v>668</v>
      </c>
      <c r="AV93" s="98" t="s">
        <v>668</v>
      </c>
      <c r="AW93" s="98" t="s">
        <v>668</v>
      </c>
      <c r="AX93" s="98" t="s">
        <v>668</v>
      </c>
      <c r="AY93" s="98">
        <v>846.8595624558927</v>
      </c>
      <c r="AZ93" s="98">
        <v>423.42978122794636</v>
      </c>
      <c r="BA93" s="100" t="s">
        <v>668</v>
      </c>
      <c r="BB93" s="100" t="s">
        <v>668</v>
      </c>
      <c r="BC93" s="100" t="s">
        <v>668</v>
      </c>
      <c r="BD93" s="158">
        <v>0.1842241287</v>
      </c>
      <c r="BE93" s="158">
        <v>0.6603170013</v>
      </c>
      <c r="BF93" s="162">
        <v>137</v>
      </c>
      <c r="BG93" s="162">
        <v>15</v>
      </c>
      <c r="BH93" s="162">
        <v>269</v>
      </c>
      <c r="BI93" s="162">
        <v>179</v>
      </c>
      <c r="BJ93" s="162">
        <v>93</v>
      </c>
      <c r="BK93" s="97"/>
      <c r="BL93" s="97"/>
      <c r="BM93" s="97"/>
      <c r="BN93" s="97"/>
    </row>
    <row r="94" spans="1:66" ht="12.75">
      <c r="A94" s="79" t="s">
        <v>575</v>
      </c>
      <c r="B94" s="79" t="s">
        <v>292</v>
      </c>
      <c r="C94" s="79" t="s">
        <v>203</v>
      </c>
      <c r="D94" s="99">
        <v>10368</v>
      </c>
      <c r="E94" s="99">
        <v>1319</v>
      </c>
      <c r="F94" s="99" t="s">
        <v>399</v>
      </c>
      <c r="G94" s="99">
        <v>56</v>
      </c>
      <c r="H94" s="99">
        <v>18</v>
      </c>
      <c r="I94" s="99">
        <v>153</v>
      </c>
      <c r="J94" s="99">
        <v>700</v>
      </c>
      <c r="K94" s="99">
        <v>72</v>
      </c>
      <c r="L94" s="99">
        <v>1859</v>
      </c>
      <c r="M94" s="99">
        <v>353</v>
      </c>
      <c r="N94" s="99">
        <v>157</v>
      </c>
      <c r="O94" s="99">
        <v>216</v>
      </c>
      <c r="P94" s="159">
        <v>216</v>
      </c>
      <c r="Q94" s="99">
        <v>12</v>
      </c>
      <c r="R94" s="99">
        <v>31</v>
      </c>
      <c r="S94" s="99">
        <v>39</v>
      </c>
      <c r="T94" s="99">
        <v>24</v>
      </c>
      <c r="U94" s="99">
        <v>6</v>
      </c>
      <c r="V94" s="99">
        <v>35</v>
      </c>
      <c r="W94" s="99">
        <v>88</v>
      </c>
      <c r="X94" s="99">
        <v>55</v>
      </c>
      <c r="Y94" s="99">
        <v>143</v>
      </c>
      <c r="Z94" s="99">
        <v>50</v>
      </c>
      <c r="AA94" s="99" t="s">
        <v>668</v>
      </c>
      <c r="AB94" s="99" t="s">
        <v>668</v>
      </c>
      <c r="AC94" s="99" t="s">
        <v>668</v>
      </c>
      <c r="AD94" s="98" t="s">
        <v>378</v>
      </c>
      <c r="AE94" s="100">
        <v>0.12721836419753085</v>
      </c>
      <c r="AF94" s="100">
        <v>0.28</v>
      </c>
      <c r="AG94" s="98">
        <v>540.1234567901234</v>
      </c>
      <c r="AH94" s="98">
        <v>173.61111111111111</v>
      </c>
      <c r="AI94" s="100">
        <v>0.015</v>
      </c>
      <c r="AJ94" s="100">
        <v>0.669216</v>
      </c>
      <c r="AK94" s="100">
        <v>0.742268</v>
      </c>
      <c r="AL94" s="100">
        <v>0.707382</v>
      </c>
      <c r="AM94" s="100">
        <v>0.407621</v>
      </c>
      <c r="AN94" s="100">
        <v>0.451149</v>
      </c>
      <c r="AO94" s="98">
        <v>2083.3333333333335</v>
      </c>
      <c r="AP94" s="158">
        <v>1.290599823</v>
      </c>
      <c r="AQ94" s="100">
        <v>0.05555555555555555</v>
      </c>
      <c r="AR94" s="100">
        <v>0.3870967741935484</v>
      </c>
      <c r="AS94" s="98">
        <v>376.1574074074074</v>
      </c>
      <c r="AT94" s="98">
        <v>231.4814814814815</v>
      </c>
      <c r="AU94" s="98">
        <v>57.870370370370374</v>
      </c>
      <c r="AV94" s="98">
        <v>337.57716049382714</v>
      </c>
      <c r="AW94" s="98">
        <v>848.7654320987655</v>
      </c>
      <c r="AX94" s="98">
        <v>530.4783950617284</v>
      </c>
      <c r="AY94" s="98">
        <v>1379.2438271604938</v>
      </c>
      <c r="AZ94" s="98">
        <v>482.25308641975306</v>
      </c>
      <c r="BA94" s="100" t="s">
        <v>668</v>
      </c>
      <c r="BB94" s="100" t="s">
        <v>668</v>
      </c>
      <c r="BC94" s="100" t="s">
        <v>668</v>
      </c>
      <c r="BD94" s="158">
        <v>1.1242143249999998</v>
      </c>
      <c r="BE94" s="158">
        <v>1.474673157</v>
      </c>
      <c r="BF94" s="162">
        <v>1046</v>
      </c>
      <c r="BG94" s="162">
        <v>97</v>
      </c>
      <c r="BH94" s="162">
        <v>2628</v>
      </c>
      <c r="BI94" s="162">
        <v>866</v>
      </c>
      <c r="BJ94" s="162">
        <v>348</v>
      </c>
      <c r="BK94" s="97"/>
      <c r="BL94" s="97"/>
      <c r="BM94" s="97"/>
      <c r="BN94" s="97"/>
    </row>
    <row r="95" spans="1:66" ht="12.75">
      <c r="A95" s="79" t="s">
        <v>621</v>
      </c>
      <c r="B95" s="79" t="s">
        <v>340</v>
      </c>
      <c r="C95" s="79" t="s">
        <v>203</v>
      </c>
      <c r="D95" s="99">
        <v>8312</v>
      </c>
      <c r="E95" s="99">
        <v>721</v>
      </c>
      <c r="F95" s="99" t="s">
        <v>399</v>
      </c>
      <c r="G95" s="99">
        <v>21</v>
      </c>
      <c r="H95" s="99">
        <v>8</v>
      </c>
      <c r="I95" s="99">
        <v>94</v>
      </c>
      <c r="J95" s="99">
        <v>253</v>
      </c>
      <c r="K95" s="99">
        <v>74</v>
      </c>
      <c r="L95" s="99">
        <v>1412</v>
      </c>
      <c r="M95" s="99">
        <v>166</v>
      </c>
      <c r="N95" s="99">
        <v>72</v>
      </c>
      <c r="O95" s="99">
        <v>178</v>
      </c>
      <c r="P95" s="159">
        <v>178</v>
      </c>
      <c r="Q95" s="99" t="s">
        <v>668</v>
      </c>
      <c r="R95" s="99">
        <v>13</v>
      </c>
      <c r="S95" s="99">
        <v>29</v>
      </c>
      <c r="T95" s="99">
        <v>22</v>
      </c>
      <c r="U95" s="99">
        <v>9</v>
      </c>
      <c r="V95" s="99">
        <v>21</v>
      </c>
      <c r="W95" s="99">
        <v>52</v>
      </c>
      <c r="X95" s="99">
        <v>41</v>
      </c>
      <c r="Y95" s="99">
        <v>93</v>
      </c>
      <c r="Z95" s="99">
        <v>37</v>
      </c>
      <c r="AA95" s="99" t="s">
        <v>668</v>
      </c>
      <c r="AB95" s="99" t="s">
        <v>668</v>
      </c>
      <c r="AC95" s="99" t="s">
        <v>668</v>
      </c>
      <c r="AD95" s="98" t="s">
        <v>378</v>
      </c>
      <c r="AE95" s="100">
        <v>0.08674205967276227</v>
      </c>
      <c r="AF95" s="100">
        <v>0.3</v>
      </c>
      <c r="AG95" s="98">
        <v>252.64677574590954</v>
      </c>
      <c r="AH95" s="98">
        <v>96.24639076034649</v>
      </c>
      <c r="AI95" s="100">
        <v>0.011000000000000001</v>
      </c>
      <c r="AJ95" s="100">
        <v>0.465074</v>
      </c>
      <c r="AK95" s="100">
        <v>0.496644</v>
      </c>
      <c r="AL95" s="100">
        <v>0.744333</v>
      </c>
      <c r="AM95" s="100">
        <v>0.352442</v>
      </c>
      <c r="AN95" s="100">
        <v>0.380952</v>
      </c>
      <c r="AO95" s="98">
        <v>2141.4821944177093</v>
      </c>
      <c r="AP95" s="158">
        <v>1.6764311219999999</v>
      </c>
      <c r="AQ95" s="100" t="s">
        <v>668</v>
      </c>
      <c r="AR95" s="100" t="s">
        <v>668</v>
      </c>
      <c r="AS95" s="98">
        <v>348.893166506256</v>
      </c>
      <c r="AT95" s="98">
        <v>264.6775745909528</v>
      </c>
      <c r="AU95" s="98">
        <v>108.2771896053898</v>
      </c>
      <c r="AV95" s="98">
        <v>252.64677574590954</v>
      </c>
      <c r="AW95" s="98">
        <v>625.6015399422522</v>
      </c>
      <c r="AX95" s="98">
        <v>493.26275264677577</v>
      </c>
      <c r="AY95" s="98">
        <v>1118.8642925890279</v>
      </c>
      <c r="AZ95" s="98">
        <v>445.1395572666025</v>
      </c>
      <c r="BA95" s="100" t="s">
        <v>668</v>
      </c>
      <c r="BB95" s="100" t="s">
        <v>668</v>
      </c>
      <c r="BC95" s="100" t="s">
        <v>668</v>
      </c>
      <c r="BD95" s="158">
        <v>1.439192352</v>
      </c>
      <c r="BE95" s="158">
        <v>1.941613007</v>
      </c>
      <c r="BF95" s="162">
        <v>544</v>
      </c>
      <c r="BG95" s="162">
        <v>149</v>
      </c>
      <c r="BH95" s="162">
        <v>1897</v>
      </c>
      <c r="BI95" s="162">
        <v>471</v>
      </c>
      <c r="BJ95" s="162">
        <v>189</v>
      </c>
      <c r="BK95" s="97"/>
      <c r="BL95" s="97"/>
      <c r="BM95" s="97"/>
      <c r="BN95" s="97"/>
    </row>
    <row r="96" spans="1:66" ht="12.75">
      <c r="A96" s="79" t="s">
        <v>604</v>
      </c>
      <c r="B96" s="79" t="s">
        <v>322</v>
      </c>
      <c r="C96" s="79" t="s">
        <v>203</v>
      </c>
      <c r="D96" s="99">
        <v>6080</v>
      </c>
      <c r="E96" s="99">
        <v>829</v>
      </c>
      <c r="F96" s="99" t="s">
        <v>399</v>
      </c>
      <c r="G96" s="99">
        <v>35</v>
      </c>
      <c r="H96" s="99">
        <v>18</v>
      </c>
      <c r="I96" s="99">
        <v>74</v>
      </c>
      <c r="J96" s="99">
        <v>320</v>
      </c>
      <c r="K96" s="99" t="s">
        <v>668</v>
      </c>
      <c r="L96" s="99">
        <v>946</v>
      </c>
      <c r="M96" s="99">
        <v>121</v>
      </c>
      <c r="N96" s="99">
        <v>90</v>
      </c>
      <c r="O96" s="99">
        <v>71</v>
      </c>
      <c r="P96" s="159">
        <v>71</v>
      </c>
      <c r="Q96" s="99">
        <v>11</v>
      </c>
      <c r="R96" s="99">
        <v>32</v>
      </c>
      <c r="S96" s="99">
        <v>9</v>
      </c>
      <c r="T96" s="99">
        <v>10</v>
      </c>
      <c r="U96" s="99">
        <v>6</v>
      </c>
      <c r="V96" s="99">
        <v>9</v>
      </c>
      <c r="W96" s="99">
        <v>24</v>
      </c>
      <c r="X96" s="99">
        <v>21</v>
      </c>
      <c r="Y96" s="99">
        <v>61</v>
      </c>
      <c r="Z96" s="99">
        <v>50</v>
      </c>
      <c r="AA96" s="99" t="s">
        <v>668</v>
      </c>
      <c r="AB96" s="99" t="s">
        <v>668</v>
      </c>
      <c r="AC96" s="99" t="s">
        <v>668</v>
      </c>
      <c r="AD96" s="98" t="s">
        <v>378</v>
      </c>
      <c r="AE96" s="100">
        <v>0.13634868421052632</v>
      </c>
      <c r="AF96" s="100">
        <v>0.37</v>
      </c>
      <c r="AG96" s="98">
        <v>575.6578947368421</v>
      </c>
      <c r="AH96" s="98">
        <v>296.05263157894734</v>
      </c>
      <c r="AI96" s="100">
        <v>0.012</v>
      </c>
      <c r="AJ96" s="100">
        <v>0.573477</v>
      </c>
      <c r="AK96" s="100" t="s">
        <v>668</v>
      </c>
      <c r="AL96" s="100">
        <v>0.695077</v>
      </c>
      <c r="AM96" s="100">
        <v>0.241036</v>
      </c>
      <c r="AN96" s="100">
        <v>0.342205</v>
      </c>
      <c r="AO96" s="98">
        <v>1167.7631578947369</v>
      </c>
      <c r="AP96" s="158">
        <v>0.7320018005</v>
      </c>
      <c r="AQ96" s="100">
        <v>0.15492957746478872</v>
      </c>
      <c r="AR96" s="100">
        <v>0.34375</v>
      </c>
      <c r="AS96" s="98">
        <v>148.02631578947367</v>
      </c>
      <c r="AT96" s="98">
        <v>164.47368421052633</v>
      </c>
      <c r="AU96" s="98">
        <v>98.6842105263158</v>
      </c>
      <c r="AV96" s="98">
        <v>148.02631578947367</v>
      </c>
      <c r="AW96" s="98">
        <v>394.7368421052632</v>
      </c>
      <c r="AX96" s="98">
        <v>345.39473684210526</v>
      </c>
      <c r="AY96" s="98">
        <v>1003.2894736842105</v>
      </c>
      <c r="AZ96" s="98">
        <v>822.3684210526316</v>
      </c>
      <c r="BA96" s="100" t="s">
        <v>668</v>
      </c>
      <c r="BB96" s="100" t="s">
        <v>668</v>
      </c>
      <c r="BC96" s="100" t="s">
        <v>668</v>
      </c>
      <c r="BD96" s="158">
        <v>0.5716994858000001</v>
      </c>
      <c r="BE96" s="158">
        <v>0.9233206939999999</v>
      </c>
      <c r="BF96" s="162">
        <v>558</v>
      </c>
      <c r="BG96" s="162" t="s">
        <v>668</v>
      </c>
      <c r="BH96" s="162">
        <v>1361</v>
      </c>
      <c r="BI96" s="162">
        <v>502</v>
      </c>
      <c r="BJ96" s="162">
        <v>263</v>
      </c>
      <c r="BK96" s="97"/>
      <c r="BL96" s="97"/>
      <c r="BM96" s="97"/>
      <c r="BN96" s="97"/>
    </row>
    <row r="97" spans="1:66" ht="12.75">
      <c r="A97" s="79" t="s">
        <v>583</v>
      </c>
      <c r="B97" s="79" t="s">
        <v>300</v>
      </c>
      <c r="C97" s="79" t="s">
        <v>203</v>
      </c>
      <c r="D97" s="99">
        <v>7358</v>
      </c>
      <c r="E97" s="99">
        <v>775</v>
      </c>
      <c r="F97" s="99" t="s">
        <v>399</v>
      </c>
      <c r="G97" s="99">
        <v>27</v>
      </c>
      <c r="H97" s="99">
        <v>11</v>
      </c>
      <c r="I97" s="99">
        <v>109</v>
      </c>
      <c r="J97" s="99">
        <v>372</v>
      </c>
      <c r="K97" s="99">
        <v>91</v>
      </c>
      <c r="L97" s="99">
        <v>1257</v>
      </c>
      <c r="M97" s="99">
        <v>120</v>
      </c>
      <c r="N97" s="99">
        <v>100</v>
      </c>
      <c r="O97" s="99">
        <v>61</v>
      </c>
      <c r="P97" s="159">
        <v>61</v>
      </c>
      <c r="Q97" s="99">
        <v>10</v>
      </c>
      <c r="R97" s="99">
        <v>27</v>
      </c>
      <c r="S97" s="99">
        <v>13</v>
      </c>
      <c r="T97" s="99">
        <v>9</v>
      </c>
      <c r="U97" s="99" t="s">
        <v>668</v>
      </c>
      <c r="V97" s="99">
        <v>14</v>
      </c>
      <c r="W97" s="99">
        <v>33</v>
      </c>
      <c r="X97" s="99">
        <v>25</v>
      </c>
      <c r="Y97" s="99">
        <v>65</v>
      </c>
      <c r="Z97" s="99">
        <v>42</v>
      </c>
      <c r="AA97" s="99" t="s">
        <v>668</v>
      </c>
      <c r="AB97" s="99" t="s">
        <v>668</v>
      </c>
      <c r="AC97" s="99" t="s">
        <v>668</v>
      </c>
      <c r="AD97" s="98" t="s">
        <v>378</v>
      </c>
      <c r="AE97" s="100">
        <v>0.10532753465615656</v>
      </c>
      <c r="AF97" s="100">
        <v>0.24</v>
      </c>
      <c r="AG97" s="98">
        <v>366.94754009241643</v>
      </c>
      <c r="AH97" s="98">
        <v>149.49714596357705</v>
      </c>
      <c r="AI97" s="100">
        <v>0.015</v>
      </c>
      <c r="AJ97" s="100">
        <v>0.67148</v>
      </c>
      <c r="AK97" s="100">
        <v>0.491892</v>
      </c>
      <c r="AL97" s="100">
        <v>0.745552</v>
      </c>
      <c r="AM97" s="100">
        <v>0.23301</v>
      </c>
      <c r="AN97" s="100">
        <v>0.367647</v>
      </c>
      <c r="AO97" s="98">
        <v>829.0296276162001</v>
      </c>
      <c r="AP97" s="158">
        <v>0.5830086517</v>
      </c>
      <c r="AQ97" s="100">
        <v>0.16393442622950818</v>
      </c>
      <c r="AR97" s="100">
        <v>0.37037037037037035</v>
      </c>
      <c r="AS97" s="98">
        <v>176.67844522968198</v>
      </c>
      <c r="AT97" s="98">
        <v>122.31584669747214</v>
      </c>
      <c r="AU97" s="98" t="s">
        <v>668</v>
      </c>
      <c r="AV97" s="98">
        <v>190.26909486273445</v>
      </c>
      <c r="AW97" s="98">
        <v>448.49143789073116</v>
      </c>
      <c r="AX97" s="98">
        <v>339.7662408263115</v>
      </c>
      <c r="AY97" s="98">
        <v>883.3922261484099</v>
      </c>
      <c r="AZ97" s="98">
        <v>570.8072845882033</v>
      </c>
      <c r="BA97" s="100" t="s">
        <v>668</v>
      </c>
      <c r="BB97" s="100" t="s">
        <v>668</v>
      </c>
      <c r="BC97" s="100" t="s">
        <v>668</v>
      </c>
      <c r="BD97" s="158">
        <v>0.44595542909999997</v>
      </c>
      <c r="BE97" s="158">
        <v>0.7488990020999999</v>
      </c>
      <c r="BF97" s="162">
        <v>554</v>
      </c>
      <c r="BG97" s="162">
        <v>185</v>
      </c>
      <c r="BH97" s="162">
        <v>1686</v>
      </c>
      <c r="BI97" s="162">
        <v>515</v>
      </c>
      <c r="BJ97" s="162">
        <v>272</v>
      </c>
      <c r="BK97" s="97"/>
      <c r="BL97" s="97"/>
      <c r="BM97" s="97"/>
      <c r="BN97" s="97"/>
    </row>
    <row r="98" spans="1:66" ht="12.75">
      <c r="A98" s="79" t="s">
        <v>606</v>
      </c>
      <c r="B98" s="79" t="s">
        <v>324</v>
      </c>
      <c r="C98" s="79" t="s">
        <v>203</v>
      </c>
      <c r="D98" s="99">
        <v>6732</v>
      </c>
      <c r="E98" s="99">
        <v>937</v>
      </c>
      <c r="F98" s="99" t="s">
        <v>399</v>
      </c>
      <c r="G98" s="99">
        <v>37</v>
      </c>
      <c r="H98" s="99">
        <v>19</v>
      </c>
      <c r="I98" s="99">
        <v>94</v>
      </c>
      <c r="J98" s="99">
        <v>451</v>
      </c>
      <c r="K98" s="99">
        <v>438</v>
      </c>
      <c r="L98" s="99">
        <v>1056</v>
      </c>
      <c r="M98" s="99">
        <v>234</v>
      </c>
      <c r="N98" s="99">
        <v>111</v>
      </c>
      <c r="O98" s="99">
        <v>76</v>
      </c>
      <c r="P98" s="159">
        <v>76</v>
      </c>
      <c r="Q98" s="99" t="s">
        <v>668</v>
      </c>
      <c r="R98" s="99">
        <v>19</v>
      </c>
      <c r="S98" s="99">
        <v>20</v>
      </c>
      <c r="T98" s="99">
        <v>19</v>
      </c>
      <c r="U98" s="99" t="s">
        <v>668</v>
      </c>
      <c r="V98" s="99" t="s">
        <v>668</v>
      </c>
      <c r="W98" s="99">
        <v>48</v>
      </c>
      <c r="X98" s="99">
        <v>36</v>
      </c>
      <c r="Y98" s="99">
        <v>84</v>
      </c>
      <c r="Z98" s="99">
        <v>47</v>
      </c>
      <c r="AA98" s="99" t="s">
        <v>668</v>
      </c>
      <c r="AB98" s="99" t="s">
        <v>668</v>
      </c>
      <c r="AC98" s="99" t="s">
        <v>668</v>
      </c>
      <c r="AD98" s="98" t="s">
        <v>378</v>
      </c>
      <c r="AE98" s="100">
        <v>0.13918597742127153</v>
      </c>
      <c r="AF98" s="100">
        <v>0.38</v>
      </c>
      <c r="AG98" s="98">
        <v>549.6137849079025</v>
      </c>
      <c r="AH98" s="98">
        <v>282.2341057635175</v>
      </c>
      <c r="AI98" s="100">
        <v>0.013999999999999999</v>
      </c>
      <c r="AJ98" s="100">
        <v>0.643367</v>
      </c>
      <c r="AK98" s="100">
        <v>0.642229</v>
      </c>
      <c r="AL98" s="100">
        <v>0.697951</v>
      </c>
      <c r="AM98" s="100">
        <v>0.375602</v>
      </c>
      <c r="AN98" s="100">
        <v>0.437008</v>
      </c>
      <c r="AO98" s="98">
        <v>1128.93642305407</v>
      </c>
      <c r="AP98" s="158">
        <v>0.6696928406000001</v>
      </c>
      <c r="AQ98" s="100" t="s">
        <v>668</v>
      </c>
      <c r="AR98" s="100" t="s">
        <v>668</v>
      </c>
      <c r="AS98" s="98">
        <v>297.08853238265004</v>
      </c>
      <c r="AT98" s="98">
        <v>282.2341057635175</v>
      </c>
      <c r="AU98" s="98" t="s">
        <v>668</v>
      </c>
      <c r="AV98" s="98" t="s">
        <v>668</v>
      </c>
      <c r="AW98" s="98">
        <v>713.0124777183601</v>
      </c>
      <c r="AX98" s="98">
        <v>534.75935828877</v>
      </c>
      <c r="AY98" s="98">
        <v>1247.77183600713</v>
      </c>
      <c r="AZ98" s="98">
        <v>698.1580510992276</v>
      </c>
      <c r="BA98" s="100" t="s">
        <v>668</v>
      </c>
      <c r="BB98" s="100" t="s">
        <v>668</v>
      </c>
      <c r="BC98" s="100" t="s">
        <v>668</v>
      </c>
      <c r="BD98" s="158">
        <v>0.5276417542</v>
      </c>
      <c r="BE98" s="158">
        <v>0.8382204437</v>
      </c>
      <c r="BF98" s="162">
        <v>701</v>
      </c>
      <c r="BG98" s="162">
        <v>682</v>
      </c>
      <c r="BH98" s="162">
        <v>1513</v>
      </c>
      <c r="BI98" s="162">
        <v>623</v>
      </c>
      <c r="BJ98" s="162">
        <v>254</v>
      </c>
      <c r="BK98" s="97"/>
      <c r="BL98" s="97"/>
      <c r="BM98" s="97"/>
      <c r="BN98" s="97"/>
    </row>
    <row r="99" spans="1:66" ht="12.75">
      <c r="A99" s="79" t="s">
        <v>619</v>
      </c>
      <c r="B99" s="79" t="s">
        <v>338</v>
      </c>
      <c r="C99" s="79" t="s">
        <v>203</v>
      </c>
      <c r="D99" s="99">
        <v>3958</v>
      </c>
      <c r="E99" s="99">
        <v>535</v>
      </c>
      <c r="F99" s="99" t="s">
        <v>401</v>
      </c>
      <c r="G99" s="99">
        <v>14</v>
      </c>
      <c r="H99" s="99" t="s">
        <v>668</v>
      </c>
      <c r="I99" s="99">
        <v>41</v>
      </c>
      <c r="J99" s="99">
        <v>300</v>
      </c>
      <c r="K99" s="99">
        <v>35</v>
      </c>
      <c r="L99" s="99">
        <v>969</v>
      </c>
      <c r="M99" s="99">
        <v>104</v>
      </c>
      <c r="N99" s="99">
        <v>84</v>
      </c>
      <c r="O99" s="99">
        <v>36</v>
      </c>
      <c r="P99" s="159">
        <v>36</v>
      </c>
      <c r="Q99" s="99" t="s">
        <v>668</v>
      </c>
      <c r="R99" s="99" t="s">
        <v>668</v>
      </c>
      <c r="S99" s="99" t="s">
        <v>668</v>
      </c>
      <c r="T99" s="99" t="s">
        <v>668</v>
      </c>
      <c r="U99" s="99" t="s">
        <v>668</v>
      </c>
      <c r="V99" s="99">
        <v>9</v>
      </c>
      <c r="W99" s="99">
        <v>20</v>
      </c>
      <c r="X99" s="99">
        <v>30</v>
      </c>
      <c r="Y99" s="99">
        <v>42</v>
      </c>
      <c r="Z99" s="99">
        <v>9</v>
      </c>
      <c r="AA99" s="99" t="s">
        <v>668</v>
      </c>
      <c r="AB99" s="99" t="s">
        <v>668</v>
      </c>
      <c r="AC99" s="99" t="s">
        <v>668</v>
      </c>
      <c r="AD99" s="98" t="s">
        <v>378</v>
      </c>
      <c r="AE99" s="100">
        <v>0.13516927741283477</v>
      </c>
      <c r="AF99" s="100">
        <v>0.17</v>
      </c>
      <c r="AG99" s="98">
        <v>353.71399696816576</v>
      </c>
      <c r="AH99" s="98" t="s">
        <v>668</v>
      </c>
      <c r="AI99" s="100">
        <v>0.01</v>
      </c>
      <c r="AJ99" s="100">
        <v>0.678733</v>
      </c>
      <c r="AK99" s="100">
        <v>0.614035</v>
      </c>
      <c r="AL99" s="100">
        <v>0.800165</v>
      </c>
      <c r="AM99" s="100">
        <v>0.339869</v>
      </c>
      <c r="AN99" s="100">
        <v>0.5</v>
      </c>
      <c r="AO99" s="98">
        <v>909.5502779181405</v>
      </c>
      <c r="AP99" s="158">
        <v>0.5100046921</v>
      </c>
      <c r="AQ99" s="100" t="s">
        <v>668</v>
      </c>
      <c r="AR99" s="100" t="s">
        <v>668</v>
      </c>
      <c r="AS99" s="98" t="s">
        <v>668</v>
      </c>
      <c r="AT99" s="98" t="s">
        <v>668</v>
      </c>
      <c r="AU99" s="98" t="s">
        <v>668</v>
      </c>
      <c r="AV99" s="98">
        <v>227.38756947953513</v>
      </c>
      <c r="AW99" s="98">
        <v>505.3057099545225</v>
      </c>
      <c r="AX99" s="98">
        <v>757.9585649317837</v>
      </c>
      <c r="AY99" s="98">
        <v>1061.1419909044973</v>
      </c>
      <c r="AZ99" s="98">
        <v>227.38756947953513</v>
      </c>
      <c r="BA99" s="100" t="s">
        <v>668</v>
      </c>
      <c r="BB99" s="100" t="s">
        <v>668</v>
      </c>
      <c r="BC99" s="100" t="s">
        <v>668</v>
      </c>
      <c r="BD99" s="158">
        <v>0.35720104220000004</v>
      </c>
      <c r="BE99" s="158">
        <v>0.7060614777</v>
      </c>
      <c r="BF99" s="162">
        <v>442</v>
      </c>
      <c r="BG99" s="162">
        <v>57</v>
      </c>
      <c r="BH99" s="162">
        <v>1211</v>
      </c>
      <c r="BI99" s="162">
        <v>306</v>
      </c>
      <c r="BJ99" s="162">
        <v>168</v>
      </c>
      <c r="BK99" s="97"/>
      <c r="BL99" s="97"/>
      <c r="BM99" s="97"/>
      <c r="BN99" s="97"/>
    </row>
    <row r="100" spans="1:66" ht="12.75">
      <c r="A100" s="79" t="s">
        <v>627</v>
      </c>
      <c r="B100" s="79" t="s">
        <v>346</v>
      </c>
      <c r="C100" s="79" t="s">
        <v>203</v>
      </c>
      <c r="D100" s="99">
        <v>3940</v>
      </c>
      <c r="E100" s="99">
        <v>372</v>
      </c>
      <c r="F100" s="99" t="s">
        <v>398</v>
      </c>
      <c r="G100" s="99">
        <v>7</v>
      </c>
      <c r="H100" s="99" t="s">
        <v>668</v>
      </c>
      <c r="I100" s="99">
        <v>35</v>
      </c>
      <c r="J100" s="99">
        <v>176</v>
      </c>
      <c r="K100" s="99">
        <v>68</v>
      </c>
      <c r="L100" s="99">
        <v>614</v>
      </c>
      <c r="M100" s="99">
        <v>45</v>
      </c>
      <c r="N100" s="99">
        <v>48</v>
      </c>
      <c r="O100" s="99">
        <v>33</v>
      </c>
      <c r="P100" s="159">
        <v>33</v>
      </c>
      <c r="Q100" s="99" t="s">
        <v>668</v>
      </c>
      <c r="R100" s="99">
        <v>10</v>
      </c>
      <c r="S100" s="99">
        <v>10</v>
      </c>
      <c r="T100" s="99" t="s">
        <v>668</v>
      </c>
      <c r="U100" s="99" t="s">
        <v>668</v>
      </c>
      <c r="V100" s="99" t="s">
        <v>668</v>
      </c>
      <c r="W100" s="99">
        <v>15</v>
      </c>
      <c r="X100" s="99">
        <v>10</v>
      </c>
      <c r="Y100" s="99">
        <v>37</v>
      </c>
      <c r="Z100" s="99">
        <v>16</v>
      </c>
      <c r="AA100" s="99" t="s">
        <v>668</v>
      </c>
      <c r="AB100" s="99" t="s">
        <v>668</v>
      </c>
      <c r="AC100" s="99" t="s">
        <v>668</v>
      </c>
      <c r="AD100" s="98" t="s">
        <v>378</v>
      </c>
      <c r="AE100" s="100">
        <v>0.09441624365482233</v>
      </c>
      <c r="AF100" s="100">
        <v>0.22</v>
      </c>
      <c r="AG100" s="98">
        <v>177.66497461928935</v>
      </c>
      <c r="AH100" s="98" t="s">
        <v>668</v>
      </c>
      <c r="AI100" s="100">
        <v>0.009000000000000001</v>
      </c>
      <c r="AJ100" s="100">
        <v>0.564103</v>
      </c>
      <c r="AK100" s="100">
        <v>0.511278</v>
      </c>
      <c r="AL100" s="100">
        <v>0.705747</v>
      </c>
      <c r="AM100" s="100">
        <v>0.178571</v>
      </c>
      <c r="AN100" s="100">
        <v>0.342857</v>
      </c>
      <c r="AO100" s="98">
        <v>837.5634517766498</v>
      </c>
      <c r="AP100" s="158">
        <v>0.6287315369</v>
      </c>
      <c r="AQ100" s="100" t="s">
        <v>668</v>
      </c>
      <c r="AR100" s="100" t="s">
        <v>668</v>
      </c>
      <c r="AS100" s="98">
        <v>253.80710659898477</v>
      </c>
      <c r="AT100" s="98" t="s">
        <v>668</v>
      </c>
      <c r="AU100" s="98" t="s">
        <v>668</v>
      </c>
      <c r="AV100" s="98" t="s">
        <v>668</v>
      </c>
      <c r="AW100" s="98">
        <v>380.71065989847716</v>
      </c>
      <c r="AX100" s="98">
        <v>253.80710659898477</v>
      </c>
      <c r="AY100" s="98">
        <v>939.0862944162436</v>
      </c>
      <c r="AZ100" s="98">
        <v>406.0913705583756</v>
      </c>
      <c r="BA100" s="100" t="s">
        <v>668</v>
      </c>
      <c r="BB100" s="100" t="s">
        <v>668</v>
      </c>
      <c r="BC100" s="100" t="s">
        <v>668</v>
      </c>
      <c r="BD100" s="158">
        <v>0.4327898788</v>
      </c>
      <c r="BE100" s="158">
        <v>0.8829728699</v>
      </c>
      <c r="BF100" s="162">
        <v>312</v>
      </c>
      <c r="BG100" s="162">
        <v>133</v>
      </c>
      <c r="BH100" s="162">
        <v>870</v>
      </c>
      <c r="BI100" s="162">
        <v>252</v>
      </c>
      <c r="BJ100" s="162">
        <v>140</v>
      </c>
      <c r="BK100" s="97"/>
      <c r="BL100" s="97"/>
      <c r="BM100" s="97"/>
      <c r="BN100" s="97"/>
    </row>
    <row r="101" spans="1:66" ht="12.75">
      <c r="A101" s="79" t="s">
        <v>647</v>
      </c>
      <c r="B101" s="79" t="s">
        <v>366</v>
      </c>
      <c r="C101" s="79" t="s">
        <v>203</v>
      </c>
      <c r="D101" s="99">
        <v>2771</v>
      </c>
      <c r="E101" s="99">
        <v>419</v>
      </c>
      <c r="F101" s="99" t="s">
        <v>401</v>
      </c>
      <c r="G101" s="99">
        <v>14</v>
      </c>
      <c r="H101" s="99">
        <v>6</v>
      </c>
      <c r="I101" s="99">
        <v>50</v>
      </c>
      <c r="J101" s="99">
        <v>183</v>
      </c>
      <c r="K101" s="99">
        <v>7</v>
      </c>
      <c r="L101" s="99">
        <v>565</v>
      </c>
      <c r="M101" s="99">
        <v>85</v>
      </c>
      <c r="N101" s="99">
        <v>80</v>
      </c>
      <c r="O101" s="99">
        <v>32</v>
      </c>
      <c r="P101" s="159">
        <v>32</v>
      </c>
      <c r="Q101" s="99">
        <v>6</v>
      </c>
      <c r="R101" s="99">
        <v>13</v>
      </c>
      <c r="S101" s="99" t="s">
        <v>668</v>
      </c>
      <c r="T101" s="99">
        <v>8</v>
      </c>
      <c r="U101" s="99" t="s">
        <v>668</v>
      </c>
      <c r="V101" s="99">
        <v>7</v>
      </c>
      <c r="W101" s="99">
        <v>18</v>
      </c>
      <c r="X101" s="99">
        <v>13</v>
      </c>
      <c r="Y101" s="99">
        <v>33</v>
      </c>
      <c r="Z101" s="99">
        <v>14</v>
      </c>
      <c r="AA101" s="99" t="s">
        <v>668</v>
      </c>
      <c r="AB101" s="99" t="s">
        <v>668</v>
      </c>
      <c r="AC101" s="99" t="s">
        <v>668</v>
      </c>
      <c r="AD101" s="98" t="s">
        <v>378</v>
      </c>
      <c r="AE101" s="100">
        <v>0.15120894983760375</v>
      </c>
      <c r="AF101" s="100">
        <v>0.15</v>
      </c>
      <c r="AG101" s="98">
        <v>505.2327679538073</v>
      </c>
      <c r="AH101" s="98">
        <v>216.52832912306027</v>
      </c>
      <c r="AI101" s="100">
        <v>0.018000000000000002</v>
      </c>
      <c r="AJ101" s="100">
        <v>0.616162</v>
      </c>
      <c r="AK101" s="100">
        <v>0.777778</v>
      </c>
      <c r="AL101" s="100">
        <v>0.782548</v>
      </c>
      <c r="AM101" s="100">
        <v>0.305755</v>
      </c>
      <c r="AN101" s="100">
        <v>0.516129</v>
      </c>
      <c r="AO101" s="98">
        <v>1154.817755322988</v>
      </c>
      <c r="AP101" s="158">
        <v>0.6558144378999999</v>
      </c>
      <c r="AQ101" s="100">
        <v>0.1875</v>
      </c>
      <c r="AR101" s="100">
        <v>0.46153846153846156</v>
      </c>
      <c r="AS101" s="98" t="s">
        <v>668</v>
      </c>
      <c r="AT101" s="98">
        <v>288.704438830747</v>
      </c>
      <c r="AU101" s="98" t="s">
        <v>668</v>
      </c>
      <c r="AV101" s="98">
        <v>252.61638397690365</v>
      </c>
      <c r="AW101" s="98">
        <v>649.5849873691808</v>
      </c>
      <c r="AX101" s="98">
        <v>469.1447130999639</v>
      </c>
      <c r="AY101" s="98">
        <v>1190.9058101768314</v>
      </c>
      <c r="AZ101" s="98">
        <v>505.2327679538073</v>
      </c>
      <c r="BA101" s="100" t="s">
        <v>668</v>
      </c>
      <c r="BB101" s="100" t="s">
        <v>668</v>
      </c>
      <c r="BC101" s="100" t="s">
        <v>668</v>
      </c>
      <c r="BD101" s="158">
        <v>0.4485765839</v>
      </c>
      <c r="BE101" s="158">
        <v>0.9258142853</v>
      </c>
      <c r="BF101" s="162">
        <v>297</v>
      </c>
      <c r="BG101" s="162">
        <v>9</v>
      </c>
      <c r="BH101" s="162">
        <v>722</v>
      </c>
      <c r="BI101" s="162">
        <v>278</v>
      </c>
      <c r="BJ101" s="162">
        <v>155</v>
      </c>
      <c r="BK101" s="97"/>
      <c r="BL101" s="97"/>
      <c r="BM101" s="97"/>
      <c r="BN101" s="97"/>
    </row>
    <row r="102" spans="1:66" ht="12.75">
      <c r="A102" s="79" t="s">
        <v>204</v>
      </c>
      <c r="B102" s="94" t="s">
        <v>203</v>
      </c>
      <c r="C102" s="94" t="s">
        <v>7</v>
      </c>
      <c r="D102" s="99">
        <v>545543</v>
      </c>
      <c r="E102" s="99">
        <v>56402</v>
      </c>
      <c r="F102" s="99">
        <v>139921.95</v>
      </c>
      <c r="G102" s="99">
        <v>1899</v>
      </c>
      <c r="H102" s="99">
        <v>1061</v>
      </c>
      <c r="I102" s="99">
        <v>5907</v>
      </c>
      <c r="J102" s="99">
        <v>26602</v>
      </c>
      <c r="K102" s="99">
        <v>10393</v>
      </c>
      <c r="L102" s="99">
        <v>89491</v>
      </c>
      <c r="M102" s="99">
        <v>10984</v>
      </c>
      <c r="N102" s="99">
        <v>7045</v>
      </c>
      <c r="O102" s="99">
        <v>6841</v>
      </c>
      <c r="P102" s="99">
        <v>6841</v>
      </c>
      <c r="Q102" s="99">
        <v>648</v>
      </c>
      <c r="R102" s="99">
        <v>1619</v>
      </c>
      <c r="S102" s="99">
        <v>1382</v>
      </c>
      <c r="T102" s="99">
        <v>1034</v>
      </c>
      <c r="U102" s="99">
        <v>269</v>
      </c>
      <c r="V102" s="99">
        <v>1136</v>
      </c>
      <c r="W102" s="99">
        <v>2594</v>
      </c>
      <c r="X102" s="99">
        <v>2284</v>
      </c>
      <c r="Y102" s="99">
        <v>5162</v>
      </c>
      <c r="Z102" s="99">
        <v>3215</v>
      </c>
      <c r="AA102" s="99">
        <v>0</v>
      </c>
      <c r="AB102" s="99">
        <v>0</v>
      </c>
      <c r="AC102" s="99">
        <v>0</v>
      </c>
      <c r="AD102" s="98">
        <v>0</v>
      </c>
      <c r="AE102" s="101">
        <v>0.10338690075759381</v>
      </c>
      <c r="AF102" s="101">
        <v>0.25648198217189117</v>
      </c>
      <c r="AG102" s="98">
        <v>348.09355082917386</v>
      </c>
      <c r="AH102" s="98">
        <v>194.48512766179752</v>
      </c>
      <c r="AI102" s="101">
        <v>0.010827744100831649</v>
      </c>
      <c r="AJ102" s="101">
        <v>0.6120889993327351</v>
      </c>
      <c r="AK102" s="101">
        <v>0.623904430303758</v>
      </c>
      <c r="AL102" s="101">
        <v>0.6967316495904831</v>
      </c>
      <c r="AM102" s="101">
        <v>0.2961684687356756</v>
      </c>
      <c r="AN102" s="101">
        <v>0.40684915684915685</v>
      </c>
      <c r="AO102" s="98">
        <v>1253.9799795799781</v>
      </c>
      <c r="AP102" s="98">
        <v>0</v>
      </c>
      <c r="AQ102" s="101">
        <v>0.09472299371436925</v>
      </c>
      <c r="AR102" s="101">
        <v>0.4002470660901791</v>
      </c>
      <c r="AS102" s="98">
        <v>253.32558570085217</v>
      </c>
      <c r="AT102" s="98">
        <v>189.53593025664338</v>
      </c>
      <c r="AU102" s="98">
        <v>49.30867044394301</v>
      </c>
      <c r="AV102" s="98">
        <v>208.2328982316701</v>
      </c>
      <c r="AW102" s="98">
        <v>475.48955810999314</v>
      </c>
      <c r="AX102" s="98">
        <v>418.6654397545198</v>
      </c>
      <c r="AY102" s="98">
        <v>946.2132224224305</v>
      </c>
      <c r="AZ102" s="98">
        <v>589.3210984285382</v>
      </c>
      <c r="BA102" s="101">
        <v>0</v>
      </c>
      <c r="BB102" s="101">
        <v>0</v>
      </c>
      <c r="BC102" s="101">
        <v>0</v>
      </c>
      <c r="BD102" s="98">
        <v>0</v>
      </c>
      <c r="BE102" s="98">
        <v>0</v>
      </c>
      <c r="BF102" s="99">
        <v>43461</v>
      </c>
      <c r="BG102" s="99">
        <v>16658</v>
      </c>
      <c r="BH102" s="99">
        <v>128444</v>
      </c>
      <c r="BI102" s="99">
        <v>37087</v>
      </c>
      <c r="BJ102" s="99">
        <v>17316</v>
      </c>
      <c r="BK102" s="97"/>
      <c r="BL102" s="97"/>
      <c r="BM102" s="97"/>
      <c r="BN102" s="97"/>
    </row>
    <row r="103" spans="1:66" ht="12.75">
      <c r="A103" s="79" t="s">
        <v>24</v>
      </c>
      <c r="B103" s="94" t="s">
        <v>7</v>
      </c>
      <c r="C103" s="94" t="s">
        <v>7</v>
      </c>
      <c r="D103" s="99">
        <v>54615830</v>
      </c>
      <c r="E103" s="99">
        <v>8737890</v>
      </c>
      <c r="F103" s="99">
        <v>8198344.169999988</v>
      </c>
      <c r="G103" s="99">
        <v>243379</v>
      </c>
      <c r="H103" s="99">
        <v>127868</v>
      </c>
      <c r="I103" s="99">
        <v>870616</v>
      </c>
      <c r="J103" s="99">
        <v>4592627</v>
      </c>
      <c r="K103" s="99">
        <v>1679592</v>
      </c>
      <c r="L103" s="99">
        <v>10150944</v>
      </c>
      <c r="M103" s="99">
        <v>2959539</v>
      </c>
      <c r="N103" s="99">
        <v>1629320</v>
      </c>
      <c r="O103" s="99">
        <v>989730</v>
      </c>
      <c r="P103" s="99">
        <v>989730</v>
      </c>
      <c r="Q103" s="99">
        <v>108072</v>
      </c>
      <c r="R103" s="99">
        <v>238330</v>
      </c>
      <c r="S103" s="99">
        <v>206300</v>
      </c>
      <c r="T103" s="99">
        <v>154264</v>
      </c>
      <c r="U103" s="99">
        <v>38486</v>
      </c>
      <c r="V103" s="99">
        <v>176535</v>
      </c>
      <c r="W103" s="99">
        <v>307276</v>
      </c>
      <c r="X103" s="99">
        <v>221506</v>
      </c>
      <c r="Y103" s="99">
        <v>578574</v>
      </c>
      <c r="Z103" s="99">
        <v>318377</v>
      </c>
      <c r="AA103" s="99">
        <v>0</v>
      </c>
      <c r="AB103" s="99">
        <v>0</v>
      </c>
      <c r="AC103" s="99">
        <v>0</v>
      </c>
      <c r="AD103" s="98">
        <v>0</v>
      </c>
      <c r="AE103" s="101">
        <v>0.1599882305185145</v>
      </c>
      <c r="AF103" s="101">
        <v>0.15010930292554353</v>
      </c>
      <c r="AG103" s="98">
        <v>445.6198871279627</v>
      </c>
      <c r="AH103" s="98">
        <v>234.12259778895606</v>
      </c>
      <c r="AI103" s="101">
        <v>0.015940726342527432</v>
      </c>
      <c r="AJ103" s="101">
        <v>0.7248631360507991</v>
      </c>
      <c r="AK103" s="101">
        <v>0.7467412166569077</v>
      </c>
      <c r="AL103" s="101">
        <v>0.7559681673907895</v>
      </c>
      <c r="AM103" s="101">
        <v>0.5147293797466616</v>
      </c>
      <c r="AN103" s="101">
        <v>0.5752927626212945</v>
      </c>
      <c r="AO103" s="98">
        <v>1812.1669120472948</v>
      </c>
      <c r="AP103" s="98">
        <v>1</v>
      </c>
      <c r="AQ103" s="101">
        <v>0.10919341638628717</v>
      </c>
      <c r="AR103" s="101">
        <v>0.4534552930810221</v>
      </c>
      <c r="AS103" s="98">
        <v>377.7293140102421</v>
      </c>
      <c r="AT103" s="98">
        <v>282.45290788403287</v>
      </c>
      <c r="AU103" s="98">
        <v>70.46674929228394</v>
      </c>
      <c r="AV103" s="98">
        <v>323.23046266988894</v>
      </c>
      <c r="AW103" s="98">
        <v>562.6134400960308</v>
      </c>
      <c r="AX103" s="98">
        <v>405.57105879375996</v>
      </c>
      <c r="AY103" s="98">
        <v>1059.3522061277838</v>
      </c>
      <c r="AZ103" s="98">
        <v>582.9390489900089</v>
      </c>
      <c r="BA103" s="101">
        <v>0</v>
      </c>
      <c r="BB103" s="101">
        <v>0</v>
      </c>
      <c r="BC103" s="101">
        <v>0</v>
      </c>
      <c r="BD103" s="98">
        <v>0</v>
      </c>
      <c r="BE103" s="98">
        <v>0</v>
      </c>
      <c r="BF103" s="99">
        <v>6335854</v>
      </c>
      <c r="BG103" s="99">
        <v>2249229</v>
      </c>
      <c r="BH103" s="99">
        <v>13427740</v>
      </c>
      <c r="BI103" s="99">
        <v>5749699</v>
      </c>
      <c r="BJ103" s="99">
        <v>2832158</v>
      </c>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428</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383</v>
      </c>
      <c r="O4" s="75" t="s">
        <v>382</v>
      </c>
      <c r="P4" s="75" t="s">
        <v>510</v>
      </c>
      <c r="Q4" s="75" t="s">
        <v>511</v>
      </c>
      <c r="R4" s="75" t="s">
        <v>512</v>
      </c>
      <c r="S4" s="75" t="s">
        <v>513</v>
      </c>
      <c r="T4" s="39" t="s">
        <v>278</v>
      </c>
      <c r="U4" s="40" t="s">
        <v>279</v>
      </c>
      <c r="V4" s="41" t="s">
        <v>7</v>
      </c>
      <c r="W4" s="24" t="s">
        <v>2</v>
      </c>
      <c r="X4" s="24" t="s">
        <v>3</v>
      </c>
      <c r="Y4" s="75" t="s">
        <v>675</v>
      </c>
      <c r="Z4" s="75" t="s">
        <v>674</v>
      </c>
      <c r="AA4" s="26" t="s">
        <v>280</v>
      </c>
      <c r="AB4" s="24" t="s">
        <v>5</v>
      </c>
      <c r="AC4" s="75" t="s">
        <v>35</v>
      </c>
      <c r="AD4" s="24" t="s">
        <v>6</v>
      </c>
      <c r="AE4" s="24" t="s">
        <v>281</v>
      </c>
      <c r="AF4" s="24" t="s">
        <v>16</v>
      </c>
      <c r="AG4" s="24" t="s">
        <v>15</v>
      </c>
      <c r="AH4" s="24" t="s">
        <v>14</v>
      </c>
      <c r="AI4" s="25" t="s">
        <v>30</v>
      </c>
      <c r="AJ4" s="47" t="s">
        <v>10</v>
      </c>
      <c r="AK4" s="26" t="s">
        <v>21</v>
      </c>
      <c r="AL4" s="25" t="s">
        <v>22</v>
      </c>
      <c r="AQ4" s="102" t="s">
        <v>425</v>
      </c>
      <c r="AR4" s="102" t="s">
        <v>427</v>
      </c>
      <c r="AS4" s="102" t="s">
        <v>426</v>
      </c>
      <c r="AY4" s="102" t="s">
        <v>507</v>
      </c>
      <c r="AZ4" s="102" t="s">
        <v>508</v>
      </c>
      <c r="BA4" s="102" t="s">
        <v>509</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448</v>
      </c>
      <c r="BA5" s="103" t="s">
        <v>378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433</v>
      </c>
      <c r="BA6" s="103" t="s">
        <v>378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710</v>
      </c>
      <c r="E7" s="38">
        <f>IF(LEFT(VLOOKUP($B7,'Indicator chart'!$D$1:$J$36,5,FALSE),1)=" "," ",VLOOKUP($B7,'Indicator chart'!$D$1:$J$36,5,FALSE))</f>
        <v>0.08566602316602316</v>
      </c>
      <c r="F7" s="38">
        <f>IF(LEFT(VLOOKUP($B7,'Indicator chart'!$D$1:$J$36,6,FALSE),1)=" "," ",VLOOKUP($B7,'Indicator chart'!$D$1:$J$36,6,FALSE))</f>
        <v>0.07983089339420245</v>
      </c>
      <c r="G7" s="38">
        <f>IF(LEFT(VLOOKUP($B7,'Indicator chart'!$D$1:$J$36,7,FALSE),1)=" "," ",VLOOKUP($B7,'Indicator chart'!$D$1:$J$36,7,FALSE))</f>
        <v>0.09188507378008606</v>
      </c>
      <c r="H7" s="50">
        <f aca="true" t="shared" si="0" ref="H7:H31">IF(LEFT(F7,1)=" ",4,IF(AND(ABS(N7-E7)&gt;SQRT((E7-G7)^2+(N7-R7)^2),E7&lt;N7),1,IF(AND(ABS(N7-E7)&gt;SQRT((E7-F7)^2+(N7-S7)^2),E7&gt;N7),3,2)))</f>
        <v>1</v>
      </c>
      <c r="I7" s="38">
        <v>0.02244582027196884</v>
      </c>
      <c r="J7" s="38">
        <v>0.08081729710102081</v>
      </c>
      <c r="K7" s="38">
        <v>0.10545641928911209</v>
      </c>
      <c r="L7" s="38">
        <v>0.13042183220386505</v>
      </c>
      <c r="M7" s="38">
        <v>0.22865207493305206</v>
      </c>
      <c r="N7" s="80">
        <f>VLOOKUP('Hide - Control'!B$3,'All practice data'!A:CA,A7+29,FALSE)</f>
        <v>0.10338690075759381</v>
      </c>
      <c r="O7" s="80">
        <f>VLOOKUP('Hide - Control'!C$3,'All practice data'!A:CA,A7+29,FALSE)</f>
        <v>0.1599882305185145</v>
      </c>
      <c r="P7" s="38">
        <f>VLOOKUP('Hide - Control'!$B$4,'All practice data'!B:BC,A7+2,FALSE)</f>
        <v>56402</v>
      </c>
      <c r="Q7" s="38">
        <f>VLOOKUP('Hide - Control'!$B$4,'All practice data'!B:BC,3,FALSE)</f>
        <v>545543</v>
      </c>
      <c r="R7" s="38">
        <f>+((2*P7+1.96^2-1.96*SQRT(1.96^2+4*P7*(1-P7/Q7)))/(2*(Q7+1.96^2)))</f>
        <v>0.10258175577888115</v>
      </c>
      <c r="S7" s="38">
        <f>+((2*P7+1.96^2+1.96*SQRT(1.96^2+4*P7*(1-P7/Q7)))/(2*(Q7+1.96^2)))</f>
        <v>0.10419763143038757</v>
      </c>
      <c r="T7" s="53">
        <f>IF($C7=1,M7,I7)</f>
        <v>0.22865207493305206</v>
      </c>
      <c r="U7" s="51">
        <f aca="true" t="shared" si="1" ref="U7:U15">IF($C7=1,I7,M7)</f>
        <v>0.02244582027196884</v>
      </c>
      <c r="V7" s="7">
        <v>1</v>
      </c>
      <c r="W7" s="27">
        <f aca="true" t="shared" si="2" ref="W7:W31">IF((K7-I7)&gt;(M7-K7),I7,(K7-(M7-K7)))</f>
        <v>-0.01773923635482788</v>
      </c>
      <c r="X7" s="27">
        <f aca="true" t="shared" si="3" ref="X7:X31">IF(W7=I7,K7+(K7-I7),M7)</f>
        <v>0.22865207493305206</v>
      </c>
      <c r="Y7" s="27">
        <f aca="true" t="shared" si="4" ref="Y7:Y31">IF(C7=1,W7,X7)</f>
        <v>-0.01773923635482788</v>
      </c>
      <c r="Z7" s="27">
        <f aca="true" t="shared" si="5" ref="Z7:Z31">IF(C7=1,X7,W7)</f>
        <v>0.22865207493305206</v>
      </c>
      <c r="AA7" s="32">
        <f aca="true" t="shared" si="6" ref="AA7:AA31">IF(ISERROR(IF(C7=1,(I7-$Y7)/($Z7-$Y7),(U7-$Y7)/($Z7-$Y7))),"",IF(C7=1,(I7-$Y7)/($Z7-$Y7),(U7-$Y7)/($Z7-$Y7)))</f>
        <v>0.16309445498199854</v>
      </c>
      <c r="AB7" s="33">
        <f aca="true" t="shared" si="7" ref="AB7:AB31">IF(ISERROR(IF(C7=1,(J7-$Y7)/($Z7-$Y7),(L7-$Y7)/($Z7-$Y7))),"",IF(C7=1,(J7-$Y7)/($Z7-$Y7),(L7-$Y7)/($Z7-$Y7)))</f>
        <v>0.40000003628657466</v>
      </c>
      <c r="AC7" s="33">
        <v>0.5</v>
      </c>
      <c r="AD7" s="33">
        <f aca="true" t="shared" si="8" ref="AD7:AD31">IF(ISERROR(IF(C7=1,(L7-$Y7)/($Z7-$Y7),(J7-$Y7)/($Z7-$Y7))),"",IF(C7=1,(L7-$Y7)/($Z7-$Y7),(J7-$Y7)/($Z7-$Y7)))</f>
        <v>0.601324242256188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0.4196790015863582</v>
      </c>
      <c r="AI7" s="34">
        <f aca="true" t="shared" si="13" ref="AI7:AI31">IF(ISERROR((O7-$Y7)/($Z7-$Y7)),-999,(O7-$Y7)/($Z7-$Y7))</f>
        <v>0.7213219733454328</v>
      </c>
      <c r="AJ7" s="4">
        <v>2.7020512924389086</v>
      </c>
      <c r="AK7" s="32">
        <f aca="true" t="shared" si="14" ref="AK7:AK31">IF(H7=1,(E7-$Y7)/($Z7-$Y7),-999)</f>
        <v>0.4196790015863582</v>
      </c>
      <c r="AL7" s="34">
        <f aca="true" t="shared" si="15" ref="AL7:AL31">IF(H7=3,(E7-$Y7)/($Z7-$Y7),-999)</f>
        <v>-999</v>
      </c>
      <c r="AQ7" s="103">
        <v>2</v>
      </c>
      <c r="AR7" s="103">
        <v>0.2422</v>
      </c>
      <c r="AS7" s="103">
        <v>7.2247</v>
      </c>
      <c r="AY7" s="103" t="s">
        <v>68</v>
      </c>
      <c r="AZ7" s="103" t="s">
        <v>432</v>
      </c>
      <c r="BA7" s="103" t="s">
        <v>378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v>
      </c>
      <c r="F8" s="38">
        <f>IF(LEFT(VLOOKUP($B8,'Indicator chart'!$D$1:$J$36,6,FALSE),1)=" "," ",VLOOKUP($B8,'Indicator chart'!$D$1:$J$36,6,FALSE))</f>
        <v>0.2902285162445908</v>
      </c>
      <c r="G8" s="38">
        <f>IF(LEFT(VLOOKUP($B8,'Indicator chart'!$D$1:$J$36,7,FALSE),1)=" "," ",VLOOKUP($B8,'Indicator chart'!$D$1:$J$36,7,FALSE))</f>
        <v>0.3099568032627187</v>
      </c>
      <c r="H8" s="50">
        <f t="shared" si="0"/>
        <v>3</v>
      </c>
      <c r="I8" s="38">
        <v>0.07999999821186066</v>
      </c>
      <c r="J8" s="38">
        <v>0.2199999988079071</v>
      </c>
      <c r="K8" s="38">
        <v>0.2800000011920929</v>
      </c>
      <c r="L8" s="38">
        <v>0.3100000023841858</v>
      </c>
      <c r="M8" s="38">
        <v>0.38999998569488525</v>
      </c>
      <c r="N8" s="80">
        <f>VLOOKUP('Hide - Control'!B$3,'All practice data'!A:CA,A8+29,FALSE)</f>
        <v>0.25648198217189117</v>
      </c>
      <c r="O8" s="80">
        <f>VLOOKUP('Hide - Control'!C$3,'All practice data'!A:CA,A8+29,FALSE)</f>
        <v>0.15010930292554353</v>
      </c>
      <c r="P8" s="38">
        <f>VLOOKUP('Hide - Control'!$B$4,'All practice data'!B:BC,A8+2,FALSE)</f>
        <v>139921.95</v>
      </c>
      <c r="Q8" s="38">
        <f>VLOOKUP('Hide - Control'!$B$4,'All practice data'!B:BC,3,FALSE)</f>
        <v>545543</v>
      </c>
      <c r="R8" s="38">
        <f>+((2*P8+1.96^2-1.96*SQRT(1.96^2+4*P8*(1-P8/Q8)))/(2*(Q8+1.96^2)))</f>
        <v>0.2553248803749463</v>
      </c>
      <c r="S8" s="38">
        <f>+((2*P8+1.96^2+1.96*SQRT(1.96^2+4*P8*(1-P8/Q8)))/(2*(Q8+1.96^2)))</f>
        <v>0.2576425135508478</v>
      </c>
      <c r="T8" s="53">
        <f aca="true" t="shared" si="16" ref="T8:T15">IF($C8=1,M8,I8)</f>
        <v>0.38999998569488525</v>
      </c>
      <c r="U8" s="51">
        <f t="shared" si="1"/>
        <v>0.07999999821186066</v>
      </c>
      <c r="V8" s="7"/>
      <c r="W8" s="27">
        <f t="shared" si="2"/>
        <v>0.07999999821186066</v>
      </c>
      <c r="X8" s="27">
        <f t="shared" si="3"/>
        <v>0.48000000417232513</v>
      </c>
      <c r="Y8" s="27">
        <f t="shared" si="4"/>
        <v>0.07999999821186066</v>
      </c>
      <c r="Z8" s="27">
        <f t="shared" si="5"/>
        <v>0.48000000417232513</v>
      </c>
      <c r="AA8" s="32">
        <f t="shared" si="6"/>
        <v>0</v>
      </c>
      <c r="AB8" s="33">
        <f t="shared" si="7"/>
        <v>0.34999999627470973</v>
      </c>
      <c r="AC8" s="33">
        <v>0.5</v>
      </c>
      <c r="AD8" s="33">
        <f t="shared" si="8"/>
        <v>0.5750000018626451</v>
      </c>
      <c r="AE8" s="33">
        <f t="shared" si="9"/>
        <v>0.7749999571591623</v>
      </c>
      <c r="AF8" s="33">
        <f t="shared" si="10"/>
        <v>-999</v>
      </c>
      <c r="AG8" s="33">
        <f t="shared" si="11"/>
        <v>-999</v>
      </c>
      <c r="AH8" s="33">
        <f t="shared" si="12"/>
        <v>0.5499999962747097</v>
      </c>
      <c r="AI8" s="34">
        <f t="shared" si="13"/>
        <v>0.17527325917243208</v>
      </c>
      <c r="AJ8" s="4">
        <v>3.778046717820832</v>
      </c>
      <c r="AK8" s="32">
        <f t="shared" si="14"/>
        <v>-999</v>
      </c>
      <c r="AL8" s="34">
        <f t="shared" si="15"/>
        <v>0.5499999962747097</v>
      </c>
      <c r="AQ8" s="103">
        <v>3</v>
      </c>
      <c r="AR8" s="103">
        <v>0.6187</v>
      </c>
      <c r="AS8" s="103">
        <v>8.7673</v>
      </c>
      <c r="AY8" s="103" t="s">
        <v>118</v>
      </c>
      <c r="AZ8" s="103" t="s">
        <v>119</v>
      </c>
      <c r="BA8" s="103" t="s">
        <v>378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21</v>
      </c>
      <c r="E9" s="38">
        <f>IF(LEFT(VLOOKUP($B9,'Indicator chart'!$D$1:$J$36,5,FALSE),1)=" "," ",VLOOKUP($B9,'Indicator chart'!$D$1:$J$36,5,FALSE))</f>
        <v>253.3783783783784</v>
      </c>
      <c r="F9" s="38">
        <f>IF(LEFT(VLOOKUP($B9,'Indicator chart'!$D$1:$J$36,6,FALSE),1)=" "," ",VLOOKUP($B9,'Indicator chart'!$D$1:$J$36,6,FALSE))</f>
        <v>156.7842261372003</v>
      </c>
      <c r="G9" s="38">
        <f>IF(LEFT(VLOOKUP($B9,'Indicator chart'!$D$1:$J$36,7,FALSE),1)=" "," ",VLOOKUP($B9,'Indicator chart'!$D$1:$J$36,7,FALSE))</f>
        <v>387.33660236601986</v>
      </c>
      <c r="H9" s="50">
        <f t="shared" si="0"/>
        <v>2</v>
      </c>
      <c r="I9" s="38">
        <v>92.60600280761719</v>
      </c>
      <c r="J9" s="38">
        <v>233.63107299804688</v>
      </c>
      <c r="K9" s="38">
        <v>350.1324462890625</v>
      </c>
      <c r="L9" s="38">
        <v>485.5491027832031</v>
      </c>
      <c r="M9" s="38">
        <v>868.0555419921875</v>
      </c>
      <c r="N9" s="80">
        <f>VLOOKUP('Hide - Control'!B$3,'All practice data'!A:CA,A9+29,FALSE)</f>
        <v>348.09355082917386</v>
      </c>
      <c r="O9" s="80">
        <f>VLOOKUP('Hide - Control'!C$3,'All practice data'!A:CA,A9+29,FALSE)</f>
        <v>445.6198871279627</v>
      </c>
      <c r="P9" s="38">
        <f>VLOOKUP('Hide - Control'!$B$4,'All practice data'!B:BC,A9+2,FALSE)</f>
        <v>1899</v>
      </c>
      <c r="Q9" s="38">
        <f>VLOOKUP('Hide - Control'!$B$4,'All practice data'!B:BC,3,FALSE)</f>
        <v>545543</v>
      </c>
      <c r="R9" s="38">
        <f>100000*(P9*(1-1/(9*P9)-1.96/(3*SQRT(P9)))^3)/Q9</f>
        <v>332.6115093061757</v>
      </c>
      <c r="S9" s="38">
        <f>100000*((P9+1)*(1-1/(9*(P9+1))+1.96/(3*SQRT(P9+1)))^3)/Q9</f>
        <v>364.11024788500487</v>
      </c>
      <c r="T9" s="53">
        <f t="shared" si="16"/>
        <v>868.0555419921875</v>
      </c>
      <c r="U9" s="51">
        <f t="shared" si="1"/>
        <v>92.60600280761719</v>
      </c>
      <c r="V9" s="7"/>
      <c r="W9" s="27">
        <f t="shared" si="2"/>
        <v>-167.7906494140625</v>
      </c>
      <c r="X9" s="27">
        <f t="shared" si="3"/>
        <v>868.0555419921875</v>
      </c>
      <c r="Y9" s="27">
        <f t="shared" si="4"/>
        <v>-167.7906494140625</v>
      </c>
      <c r="Z9" s="27">
        <f t="shared" si="5"/>
        <v>868.0555419921875</v>
      </c>
      <c r="AA9" s="32">
        <f t="shared" si="6"/>
        <v>0.2513854415665408</v>
      </c>
      <c r="AB9" s="33">
        <f t="shared" si="7"/>
        <v>0.3875302392791974</v>
      </c>
      <c r="AC9" s="33">
        <v>0.5</v>
      </c>
      <c r="AD9" s="33">
        <f t="shared" si="8"/>
        <v>0.6307304671461899</v>
      </c>
      <c r="AE9" s="33">
        <f t="shared" si="9"/>
        <v>1</v>
      </c>
      <c r="AF9" s="33">
        <f t="shared" si="10"/>
        <v>-999</v>
      </c>
      <c r="AG9" s="33">
        <f t="shared" si="11"/>
        <v>0.40659417516481655</v>
      </c>
      <c r="AH9" s="33">
        <f t="shared" si="12"/>
        <v>-999</v>
      </c>
      <c r="AI9" s="34">
        <f t="shared" si="13"/>
        <v>0.592183030290692</v>
      </c>
      <c r="AJ9" s="4">
        <v>4.854042143202755</v>
      </c>
      <c r="AK9" s="32">
        <f t="shared" si="14"/>
        <v>-999</v>
      </c>
      <c r="AL9" s="34">
        <f t="shared" si="15"/>
        <v>-999</v>
      </c>
      <c r="AQ9" s="103">
        <v>4</v>
      </c>
      <c r="AR9" s="103">
        <v>1.0899</v>
      </c>
      <c r="AS9" s="103">
        <v>10.2416</v>
      </c>
      <c r="AY9" s="103" t="s">
        <v>90</v>
      </c>
      <c r="AZ9" s="103" t="s">
        <v>442</v>
      </c>
      <c r="BA9" s="103" t="s">
        <v>378</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120.65637065637065</v>
      </c>
      <c r="F10" s="38">
        <f>IF(LEFT(VLOOKUP($B10,'Indicator chart'!$D$1:$J$36,6,FALSE),1)=" "," ",VLOOKUP($B10,'Indicator chart'!$D$1:$J$36,6,FALSE))</f>
        <v>57.762792175839785</v>
      </c>
      <c r="G10" s="38">
        <f>IF(LEFT(VLOOKUP($B10,'Indicator chart'!$D$1:$J$36,7,FALSE),1)=" "," ",VLOOKUP($B10,'Indicator chart'!$D$1:$J$36,7,FALSE))</f>
        <v>221.9066949089107</v>
      </c>
      <c r="H10" s="50">
        <f t="shared" si="0"/>
        <v>2</v>
      </c>
      <c r="I10" s="38">
        <v>44.173431396484375</v>
      </c>
      <c r="J10" s="38">
        <v>111.61988067626953</v>
      </c>
      <c r="K10" s="38">
        <v>174.29461669921875</v>
      </c>
      <c r="L10" s="38">
        <v>277.61322021484375</v>
      </c>
      <c r="M10" s="38">
        <v>485.6988525390625</v>
      </c>
      <c r="N10" s="80">
        <f>VLOOKUP('Hide - Control'!B$3,'All practice data'!A:CA,A10+29,FALSE)</f>
        <v>194.48512766179752</v>
      </c>
      <c r="O10" s="80">
        <f>VLOOKUP('Hide - Control'!C$3,'All practice data'!A:CA,A10+29,FALSE)</f>
        <v>234.12259778895606</v>
      </c>
      <c r="P10" s="38">
        <f>VLOOKUP('Hide - Control'!$B$4,'All practice data'!B:BC,A10+2,FALSE)</f>
        <v>1061</v>
      </c>
      <c r="Q10" s="38">
        <f>VLOOKUP('Hide - Control'!$B$4,'All practice data'!B:BC,3,FALSE)</f>
        <v>545543</v>
      </c>
      <c r="R10" s="38">
        <f>100000*(P10*(1-1/(9*P10)-1.96/(3*SQRT(P10)))^3)/Q10</f>
        <v>182.95695119196455</v>
      </c>
      <c r="S10" s="38">
        <f>100000*((P10+1)*(1-1/(9*(P10+1))+1.96/(3*SQRT(P10+1)))^3)/Q10</f>
        <v>206.54933578350654</v>
      </c>
      <c r="T10" s="53">
        <f t="shared" si="16"/>
        <v>485.6988525390625</v>
      </c>
      <c r="U10" s="51">
        <f t="shared" si="1"/>
        <v>44.173431396484375</v>
      </c>
      <c r="V10" s="7"/>
      <c r="W10" s="27">
        <f t="shared" si="2"/>
        <v>-137.109619140625</v>
      </c>
      <c r="X10" s="27">
        <f t="shared" si="3"/>
        <v>485.6988525390625</v>
      </c>
      <c r="Y10" s="27">
        <f t="shared" si="4"/>
        <v>-137.109619140625</v>
      </c>
      <c r="Z10" s="27">
        <f t="shared" si="5"/>
        <v>485.6988525390625</v>
      </c>
      <c r="AA10" s="32">
        <f t="shared" si="6"/>
        <v>0.29107351421890076</v>
      </c>
      <c r="AB10" s="33">
        <f t="shared" si="7"/>
        <v>0.39936756021651704</v>
      </c>
      <c r="AC10" s="33">
        <v>0.5</v>
      </c>
      <c r="AD10" s="33">
        <f t="shared" si="8"/>
        <v>0.6658914549395566</v>
      </c>
      <c r="AE10" s="33">
        <f t="shared" si="9"/>
        <v>1</v>
      </c>
      <c r="AF10" s="33">
        <f t="shared" si="10"/>
        <v>-999</v>
      </c>
      <c r="AG10" s="33">
        <f t="shared" si="11"/>
        <v>0.4138768201110238</v>
      </c>
      <c r="AH10" s="33">
        <f t="shared" si="12"/>
        <v>-999</v>
      </c>
      <c r="AI10" s="34">
        <f t="shared" si="13"/>
        <v>0.5960616045064124</v>
      </c>
      <c r="AJ10" s="4">
        <v>5.930037568584676</v>
      </c>
      <c r="AK10" s="32">
        <f t="shared" si="14"/>
        <v>-999</v>
      </c>
      <c r="AL10" s="34">
        <f t="shared" si="15"/>
        <v>-999</v>
      </c>
      <c r="AY10" s="103" t="s">
        <v>96</v>
      </c>
      <c r="AZ10" s="103" t="s">
        <v>97</v>
      </c>
      <c r="BA10" s="103" t="s">
        <v>559</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57</v>
      </c>
      <c r="E11" s="38">
        <f>IF(LEFT(VLOOKUP($B11,'Indicator chart'!$D$1:$J$36,5,FALSE),1)=" "," ",VLOOKUP($B11,'Indicator chart'!$D$1:$J$36,5,FALSE))</f>
        <v>0.006999999999999999</v>
      </c>
      <c r="F11" s="38">
        <f>IF(LEFT(VLOOKUP($B11,'Indicator chart'!$D$1:$J$36,6,FALSE),1)=" "," ",VLOOKUP($B11,'Indicator chart'!$D$1:$J$36,6,FALSE))</f>
        <v>0.0053123938666880385</v>
      </c>
      <c r="G11" s="38">
        <f>IF(LEFT(VLOOKUP($B11,'Indicator chart'!$D$1:$J$36,7,FALSE),1)=" "," ",VLOOKUP($B11,'Indicator chart'!$D$1:$J$36,7,FALSE))</f>
        <v>0.00889935856235016</v>
      </c>
      <c r="H11" s="50">
        <f t="shared" si="0"/>
        <v>1</v>
      </c>
      <c r="I11" s="38">
        <v>0.003000000026077032</v>
      </c>
      <c r="J11" s="38">
        <v>0.00800000037997961</v>
      </c>
      <c r="K11" s="38">
        <v>0.010999999940395355</v>
      </c>
      <c r="L11" s="38">
        <v>0.014000000432133675</v>
      </c>
      <c r="M11" s="38">
        <v>0.01899999938905239</v>
      </c>
      <c r="N11" s="80">
        <f>VLOOKUP('Hide - Control'!B$3,'All practice data'!A:CA,A11+29,FALSE)</f>
        <v>0.010827744100831649</v>
      </c>
      <c r="O11" s="80">
        <f>VLOOKUP('Hide - Control'!C$3,'All practice data'!A:CA,A11+29,FALSE)</f>
        <v>0.015940726342527432</v>
      </c>
      <c r="P11" s="38">
        <f>VLOOKUP('Hide - Control'!$B$4,'All practice data'!B:BC,A11+2,FALSE)</f>
        <v>5907</v>
      </c>
      <c r="Q11" s="38">
        <f>VLOOKUP('Hide - Control'!$B$4,'All practice data'!B:BC,3,FALSE)</f>
        <v>545543</v>
      </c>
      <c r="R11" s="80">
        <f aca="true" t="shared" si="17" ref="R11:R16">+((2*P11+1.96^2-1.96*SQRT(1.96^2+4*P11*(1-P11/Q11)))/(2*(Q11+1.96^2)))</f>
        <v>0.010556539003909729</v>
      </c>
      <c r="S11" s="80">
        <f aca="true" t="shared" si="18" ref="S11:S16">+((2*P11+1.96^2+1.96*SQRT(1.96^2+4*P11*(1-P11/Q11)))/(2*(Q11+1.96^2)))</f>
        <v>0.011105838447200051</v>
      </c>
      <c r="T11" s="53">
        <f t="shared" si="16"/>
        <v>0.01899999938905239</v>
      </c>
      <c r="U11" s="51">
        <f t="shared" si="1"/>
        <v>0.003000000026077032</v>
      </c>
      <c r="V11" s="7"/>
      <c r="W11" s="27">
        <f t="shared" si="2"/>
        <v>0.003000000026077032</v>
      </c>
      <c r="X11" s="27">
        <f t="shared" si="3"/>
        <v>0.01899999985471368</v>
      </c>
      <c r="Y11" s="27">
        <f t="shared" si="4"/>
        <v>0.003000000026077032</v>
      </c>
      <c r="Z11" s="27">
        <f t="shared" si="5"/>
        <v>0.01899999985471368</v>
      </c>
      <c r="AA11" s="32">
        <f t="shared" si="6"/>
        <v>0</v>
      </c>
      <c r="AB11" s="33">
        <f t="shared" si="7"/>
        <v>0.3125000254658519</v>
      </c>
      <c r="AC11" s="33">
        <v>0.5</v>
      </c>
      <c r="AD11" s="33">
        <f t="shared" si="8"/>
        <v>0.6875000327418096</v>
      </c>
      <c r="AE11" s="33">
        <f t="shared" si="9"/>
        <v>0.9999999708961692</v>
      </c>
      <c r="AF11" s="33">
        <f t="shared" si="10"/>
        <v>-999</v>
      </c>
      <c r="AG11" s="33">
        <f t="shared" si="11"/>
        <v>-999</v>
      </c>
      <c r="AH11" s="33">
        <f t="shared" si="12"/>
        <v>0.25000000104773784</v>
      </c>
      <c r="AI11" s="34">
        <f t="shared" si="13"/>
        <v>0.8087954034405184</v>
      </c>
      <c r="AJ11" s="4">
        <v>7.0060329939666</v>
      </c>
      <c r="AK11" s="32">
        <f t="shared" si="14"/>
        <v>0.25000000104773784</v>
      </c>
      <c r="AL11" s="34">
        <f t="shared" si="15"/>
        <v>-999</v>
      </c>
      <c r="AY11" s="103" t="s">
        <v>214</v>
      </c>
      <c r="AZ11" s="103" t="s">
        <v>215</v>
      </c>
      <c r="BA11" s="103" t="s">
        <v>559</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286</v>
      </c>
      <c r="E12" s="38">
        <f>IF(LEFT(VLOOKUP($B12,'Indicator chart'!$D$1:$J$36,5,FALSE),1)=" "," ",VLOOKUP($B12,'Indicator chart'!$D$1:$J$36,5,FALSE))</f>
        <v>0.507092</v>
      </c>
      <c r="F12" s="38">
        <f>IF(LEFT(VLOOKUP($B12,'Indicator chart'!$D$1:$J$36,6,FALSE),1)=" "," ",VLOOKUP($B12,'Indicator chart'!$D$1:$J$36,6,FALSE))</f>
        <v>0.4659227059855385</v>
      </c>
      <c r="G12" s="38">
        <f>IF(LEFT(VLOOKUP($B12,'Indicator chart'!$D$1:$J$36,7,FALSE),1)=" "," ",VLOOKUP($B12,'Indicator chart'!$D$1:$J$36,7,FALSE))</f>
        <v>0.5481657299444814</v>
      </c>
      <c r="H12" s="50">
        <f t="shared" si="0"/>
        <v>1</v>
      </c>
      <c r="I12" s="38">
        <v>0.37179499864578247</v>
      </c>
      <c r="J12" s="38">
        <v>0.5563424825668335</v>
      </c>
      <c r="K12" s="38">
        <v>0.6140404939651489</v>
      </c>
      <c r="L12" s="38">
        <v>0.6504802703857422</v>
      </c>
      <c r="M12" s="38">
        <v>0.7608699798583984</v>
      </c>
      <c r="N12" s="80">
        <f>VLOOKUP('Hide - Control'!B$3,'All practice data'!A:CA,A12+29,FALSE)</f>
        <v>0.6120889993327351</v>
      </c>
      <c r="O12" s="80">
        <f>VLOOKUP('Hide - Control'!C$3,'All practice data'!A:CA,A12+29,FALSE)</f>
        <v>0.7248631360507991</v>
      </c>
      <c r="P12" s="38">
        <f>VLOOKUP('Hide - Control'!$B$4,'All practice data'!B:BC,A12+2,FALSE)</f>
        <v>26602</v>
      </c>
      <c r="Q12" s="38">
        <f>VLOOKUP('Hide - Control'!$B$4,'All practice data'!B:BJ,57,FALSE)</f>
        <v>43461</v>
      </c>
      <c r="R12" s="38">
        <f t="shared" si="17"/>
        <v>0.6074980810622999</v>
      </c>
      <c r="S12" s="38">
        <f t="shared" si="18"/>
        <v>0.6166601038371937</v>
      </c>
      <c r="T12" s="53">
        <f t="shared" si="16"/>
        <v>0.7608699798583984</v>
      </c>
      <c r="U12" s="51">
        <f t="shared" si="1"/>
        <v>0.37179499864578247</v>
      </c>
      <c r="V12" s="7"/>
      <c r="W12" s="27">
        <f t="shared" si="2"/>
        <v>0.37179499864578247</v>
      </c>
      <c r="X12" s="27">
        <f t="shared" si="3"/>
        <v>0.8562859892845154</v>
      </c>
      <c r="Y12" s="27">
        <f t="shared" si="4"/>
        <v>0.37179499864578247</v>
      </c>
      <c r="Z12" s="27">
        <f t="shared" si="5"/>
        <v>0.8562859892845154</v>
      </c>
      <c r="AA12" s="32">
        <f t="shared" si="6"/>
        <v>0</v>
      </c>
      <c r="AB12" s="33">
        <f t="shared" si="7"/>
        <v>0.3809100426774732</v>
      </c>
      <c r="AC12" s="33">
        <v>0.5</v>
      </c>
      <c r="AD12" s="33">
        <f t="shared" si="8"/>
        <v>0.575212495432686</v>
      </c>
      <c r="AE12" s="33">
        <f t="shared" si="9"/>
        <v>0.8030592698941121</v>
      </c>
      <c r="AF12" s="33">
        <f t="shared" si="10"/>
        <v>-999</v>
      </c>
      <c r="AG12" s="33">
        <f t="shared" si="11"/>
        <v>-999</v>
      </c>
      <c r="AH12" s="33">
        <f t="shared" si="12"/>
        <v>0.27925596960192706</v>
      </c>
      <c r="AI12" s="34">
        <f t="shared" si="13"/>
        <v>0.7287403568424382</v>
      </c>
      <c r="AJ12" s="4">
        <v>8.082028419348523</v>
      </c>
      <c r="AK12" s="32">
        <f t="shared" si="14"/>
        <v>0.27925596960192706</v>
      </c>
      <c r="AL12" s="34">
        <f t="shared" si="15"/>
        <v>-999</v>
      </c>
      <c r="AY12" s="103" t="s">
        <v>261</v>
      </c>
      <c r="AZ12" s="103" t="s">
        <v>495</v>
      </c>
      <c r="BA12" s="103" t="s">
        <v>378</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178</v>
      </c>
      <c r="E13" s="38">
        <f>IF(LEFT(VLOOKUP($B13,'Indicator chart'!$D$1:$J$36,5,FALSE),1)=" "," ",VLOOKUP($B13,'Indicator chart'!$D$1:$J$36,5,FALSE))</f>
        <v>0.439506</v>
      </c>
      <c r="F13" s="38">
        <f>IF(LEFT(VLOOKUP($B13,'Indicator chart'!$D$1:$J$36,6,FALSE),1)=" "," ",VLOOKUP($B13,'Indicator chart'!$D$1:$J$36,6,FALSE))</f>
        <v>0.39196000593258473</v>
      </c>
      <c r="G13" s="38">
        <f>IF(LEFT(VLOOKUP($B13,'Indicator chart'!$D$1:$J$36,7,FALSE),1)=" "," ",VLOOKUP($B13,'Indicator chart'!$D$1:$J$36,7,FALSE))</f>
        <v>0.4881891765380836</v>
      </c>
      <c r="H13" s="50">
        <f t="shared" si="0"/>
        <v>1</v>
      </c>
      <c r="I13" s="38">
        <v>0</v>
      </c>
      <c r="J13" s="38">
        <v>0.5</v>
      </c>
      <c r="K13" s="38">
        <v>0.6070690155029297</v>
      </c>
      <c r="L13" s="38">
        <v>0.6788694858551025</v>
      </c>
      <c r="M13" s="38">
        <v>0.8080229759216309</v>
      </c>
      <c r="N13" s="80">
        <f>VLOOKUP('Hide - Control'!B$3,'All practice data'!A:CA,A13+29,FALSE)</f>
        <v>0.623904430303758</v>
      </c>
      <c r="O13" s="80">
        <f>VLOOKUP('Hide - Control'!C$3,'All practice data'!A:CA,A13+29,FALSE)</f>
        <v>0.7467412166569077</v>
      </c>
      <c r="P13" s="38">
        <f>VLOOKUP('Hide - Control'!$B$4,'All practice data'!B:BC,A13+2,FALSE)</f>
        <v>10393</v>
      </c>
      <c r="Q13" s="38">
        <f>VLOOKUP('Hide - Control'!$B$4,'All practice data'!B:BJ,58,FALSE)</f>
        <v>16658</v>
      </c>
      <c r="R13" s="38">
        <f t="shared" si="17"/>
        <v>0.6165204677330309</v>
      </c>
      <c r="S13" s="38">
        <f t="shared" si="18"/>
        <v>0.6312312573823969</v>
      </c>
      <c r="T13" s="53">
        <f t="shared" si="16"/>
        <v>0.8080229759216309</v>
      </c>
      <c r="U13" s="51">
        <f t="shared" si="1"/>
        <v>0</v>
      </c>
      <c r="V13" s="7"/>
      <c r="W13" s="27">
        <f t="shared" si="2"/>
        <v>0</v>
      </c>
      <c r="X13" s="27">
        <f t="shared" si="3"/>
        <v>1.2141380310058594</v>
      </c>
      <c r="Y13" s="27">
        <f t="shared" si="4"/>
        <v>0</v>
      </c>
      <c r="Z13" s="27">
        <f t="shared" si="5"/>
        <v>1.2141380310058594</v>
      </c>
      <c r="AA13" s="32">
        <f t="shared" si="6"/>
        <v>0</v>
      </c>
      <c r="AB13" s="33">
        <f t="shared" si="7"/>
        <v>0.4118147914251333</v>
      </c>
      <c r="AC13" s="33">
        <v>0.5</v>
      </c>
      <c r="AD13" s="33">
        <f t="shared" si="8"/>
        <v>0.559136991444613</v>
      </c>
      <c r="AE13" s="33">
        <f t="shared" si="9"/>
        <v>0.6655116265917639</v>
      </c>
      <c r="AF13" s="33">
        <f t="shared" si="10"/>
        <v>-999</v>
      </c>
      <c r="AG13" s="33">
        <f t="shared" si="11"/>
        <v>-999</v>
      </c>
      <c r="AH13" s="33">
        <f t="shared" si="12"/>
        <v>0.36199014344018926</v>
      </c>
      <c r="AI13" s="34">
        <f t="shared" si="13"/>
        <v>0.6150381567722295</v>
      </c>
      <c r="AJ13" s="4">
        <v>9.158023844730446</v>
      </c>
      <c r="AK13" s="32">
        <f t="shared" si="14"/>
        <v>0.36199014344018926</v>
      </c>
      <c r="AL13" s="34">
        <f t="shared" si="15"/>
        <v>-999</v>
      </c>
      <c r="AY13" s="103" t="s">
        <v>260</v>
      </c>
      <c r="AZ13" s="103" t="s">
        <v>494</v>
      </c>
      <c r="BA13" s="103" t="s">
        <v>378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998</v>
      </c>
      <c r="E14" s="38">
        <f>IF(LEFT(VLOOKUP($B14,'Indicator chart'!$D$1:$J$36,5,FALSE),1)=" "," ",VLOOKUP($B14,'Indicator chart'!$D$1:$J$36,5,FALSE))</f>
        <v>0.563842</v>
      </c>
      <c r="F14" s="38">
        <f>IF(LEFT(VLOOKUP($B14,'Indicator chart'!$D$1:$J$36,6,FALSE),1)=" "," ",VLOOKUP($B14,'Indicator chart'!$D$1:$J$36,6,FALSE))</f>
        <v>0.540625071336097</v>
      </c>
      <c r="G14" s="38">
        <f>IF(LEFT(VLOOKUP($B14,'Indicator chart'!$D$1:$J$36,7,FALSE),1)=" "," ",VLOOKUP($B14,'Indicator chart'!$D$1:$J$36,7,FALSE))</f>
        <v>0.5867820207063943</v>
      </c>
      <c r="H14" s="50">
        <f t="shared" si="0"/>
        <v>1</v>
      </c>
      <c r="I14" s="38">
        <v>0.3479729890823364</v>
      </c>
      <c r="J14" s="38">
        <v>0.6711002588272095</v>
      </c>
      <c r="K14" s="38">
        <v>0.7027044892311096</v>
      </c>
      <c r="L14" s="38">
        <v>0.7400919795036316</v>
      </c>
      <c r="M14" s="38">
        <v>0.8167799711227417</v>
      </c>
      <c r="N14" s="80">
        <f>VLOOKUP('Hide - Control'!B$3,'All practice data'!A:CA,A14+29,FALSE)</f>
        <v>0.6967316495904831</v>
      </c>
      <c r="O14" s="80">
        <f>VLOOKUP('Hide - Control'!C$3,'All practice data'!A:CA,A14+29,FALSE)</f>
        <v>0.7559681673907895</v>
      </c>
      <c r="P14" s="38">
        <f>VLOOKUP('Hide - Control'!$B$4,'All practice data'!B:BC,A14+2,FALSE)</f>
        <v>89491</v>
      </c>
      <c r="Q14" s="38">
        <f>VLOOKUP('Hide - Control'!$B$4,'All practice data'!B:BJ,59,FALSE)</f>
        <v>128444</v>
      </c>
      <c r="R14" s="38">
        <f t="shared" si="17"/>
        <v>0.6942119110820709</v>
      </c>
      <c r="S14" s="38">
        <f t="shared" si="18"/>
        <v>0.6992396204538238</v>
      </c>
      <c r="T14" s="53">
        <f t="shared" si="16"/>
        <v>0.8167799711227417</v>
      </c>
      <c r="U14" s="51">
        <f t="shared" si="1"/>
        <v>0.3479729890823364</v>
      </c>
      <c r="V14" s="7"/>
      <c r="W14" s="27">
        <f t="shared" si="2"/>
        <v>0.3479729890823364</v>
      </c>
      <c r="X14" s="27">
        <f t="shared" si="3"/>
        <v>1.0574359893798828</v>
      </c>
      <c r="Y14" s="27">
        <f t="shared" si="4"/>
        <v>0.3479729890823364</v>
      </c>
      <c r="Z14" s="27">
        <f t="shared" si="5"/>
        <v>1.0574359893798828</v>
      </c>
      <c r="AA14" s="32">
        <f t="shared" si="6"/>
        <v>0</v>
      </c>
      <c r="AB14" s="33">
        <f t="shared" si="7"/>
        <v>0.4554533070919196</v>
      </c>
      <c r="AC14" s="33">
        <v>0.5</v>
      </c>
      <c r="AD14" s="33">
        <f t="shared" si="8"/>
        <v>0.5526982947057729</v>
      </c>
      <c r="AE14" s="33">
        <f t="shared" si="9"/>
        <v>0.6607913053165411</v>
      </c>
      <c r="AF14" s="33">
        <f t="shared" si="10"/>
        <v>-999</v>
      </c>
      <c r="AG14" s="33">
        <f t="shared" si="11"/>
        <v>-999</v>
      </c>
      <c r="AH14" s="33">
        <f t="shared" si="12"/>
        <v>0.3042709920420498</v>
      </c>
      <c r="AI14" s="34">
        <f t="shared" si="13"/>
        <v>0.575076047852166</v>
      </c>
      <c r="AJ14" s="4">
        <v>10.234019270112368</v>
      </c>
      <c r="AK14" s="32">
        <f t="shared" si="14"/>
        <v>0.3042709920420498</v>
      </c>
      <c r="AL14" s="34">
        <f t="shared" si="15"/>
        <v>-999</v>
      </c>
      <c r="AY14" s="103" t="s">
        <v>53</v>
      </c>
      <c r="AZ14" s="103" t="s">
        <v>502</v>
      </c>
      <c r="BA14" s="103" t="s">
        <v>559</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79</v>
      </c>
      <c r="E15" s="38">
        <f>IF(LEFT(VLOOKUP($B15,'Indicator chart'!$D$1:$J$36,5,FALSE),1)=" "," ",VLOOKUP($B15,'Indicator chart'!$D$1:$J$36,5,FALSE))</f>
        <v>0.167728</v>
      </c>
      <c r="F15" s="38">
        <f>IF(LEFT(VLOOKUP($B15,'Indicator chart'!$D$1:$J$36,6,FALSE),1)=" "," ",VLOOKUP($B15,'Indicator chart'!$D$1:$J$36,6,FALSE))</f>
        <v>0.1367030236355509</v>
      </c>
      <c r="G15" s="38">
        <f>IF(LEFT(VLOOKUP($B15,'Indicator chart'!$D$1:$J$36,7,FALSE),1)=" "," ",VLOOKUP($B15,'Indicator chart'!$D$1:$J$36,7,FALSE))</f>
        <v>0.2041297930342607</v>
      </c>
      <c r="H15" s="50">
        <f t="shared" si="0"/>
        <v>1</v>
      </c>
      <c r="I15" s="38">
        <v>0.11152400076389313</v>
      </c>
      <c r="J15" s="38">
        <v>0.20697450637817383</v>
      </c>
      <c r="K15" s="38">
        <v>0.25827500224113464</v>
      </c>
      <c r="L15" s="38">
        <v>0.34001076221466064</v>
      </c>
      <c r="M15" s="38">
        <v>0.5262010097503662</v>
      </c>
      <c r="N15" s="80">
        <f>VLOOKUP('Hide - Control'!B$3,'All practice data'!A:CA,A15+29,FALSE)</f>
        <v>0.2961684687356756</v>
      </c>
      <c r="O15" s="80">
        <f>VLOOKUP('Hide - Control'!C$3,'All practice data'!A:CA,A15+29,FALSE)</f>
        <v>0.5147293797466616</v>
      </c>
      <c r="P15" s="38">
        <f>VLOOKUP('Hide - Control'!$B$4,'All practice data'!B:BC,A15+2,FALSE)</f>
        <v>10984</v>
      </c>
      <c r="Q15" s="38">
        <f>VLOOKUP('Hide - Control'!$B$4,'All practice data'!B:BJ,60,FALSE)</f>
        <v>37087</v>
      </c>
      <c r="R15" s="38">
        <f t="shared" si="17"/>
        <v>0.2915430262220916</v>
      </c>
      <c r="S15" s="38">
        <f t="shared" si="18"/>
        <v>0.30083613402861564</v>
      </c>
      <c r="T15" s="53">
        <f t="shared" si="16"/>
        <v>0.5262010097503662</v>
      </c>
      <c r="U15" s="51">
        <f t="shared" si="1"/>
        <v>0.11152400076389313</v>
      </c>
      <c r="V15" s="7"/>
      <c r="W15" s="27">
        <f t="shared" si="2"/>
        <v>-0.009651005268096924</v>
      </c>
      <c r="X15" s="27">
        <f t="shared" si="3"/>
        <v>0.5262010097503662</v>
      </c>
      <c r="Y15" s="27">
        <f t="shared" si="4"/>
        <v>-0.009651005268096924</v>
      </c>
      <c r="Z15" s="27">
        <f t="shared" si="5"/>
        <v>0.5262010097503662</v>
      </c>
      <c r="AA15" s="32">
        <f t="shared" si="6"/>
        <v>0.2261352064297358</v>
      </c>
      <c r="AB15" s="33">
        <f t="shared" si="7"/>
        <v>0.4042636876877411</v>
      </c>
      <c r="AC15" s="33">
        <v>0.5</v>
      </c>
      <c r="AD15" s="33">
        <f t="shared" si="8"/>
        <v>0.6525342028819463</v>
      </c>
      <c r="AE15" s="33">
        <f t="shared" si="9"/>
        <v>1</v>
      </c>
      <c r="AF15" s="33">
        <f t="shared" si="10"/>
        <v>-999</v>
      </c>
      <c r="AG15" s="33">
        <f t="shared" si="11"/>
        <v>-999</v>
      </c>
      <c r="AH15" s="33">
        <f t="shared" si="12"/>
        <v>0.331022372402547</v>
      </c>
      <c r="AI15" s="34">
        <f t="shared" si="13"/>
        <v>0.9785917945959214</v>
      </c>
      <c r="AJ15" s="4">
        <v>11.310014695494289</v>
      </c>
      <c r="AK15" s="32">
        <f t="shared" si="14"/>
        <v>0.331022372402547</v>
      </c>
      <c r="AL15" s="34">
        <f t="shared" si="15"/>
        <v>-999</v>
      </c>
      <c r="AY15" s="103" t="s">
        <v>229</v>
      </c>
      <c r="AZ15" s="103" t="s">
        <v>230</v>
      </c>
      <c r="BA15" s="103" t="s">
        <v>378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66</v>
      </c>
      <c r="E16" s="38">
        <f>IF(LEFT(VLOOKUP($B16,'Indicator chart'!$D$1:$J$36,5,FALSE),1)=" "," ",VLOOKUP($B16,'Indicator chart'!$D$1:$J$36,5,FALSE))</f>
        <v>0.256809</v>
      </c>
      <c r="F16" s="38">
        <f>IF(LEFT(VLOOKUP($B16,'Indicator chart'!$D$1:$J$36,6,FALSE),1)=" "," ",VLOOKUP($B16,'Indicator chart'!$D$1:$J$36,6,FALSE))</f>
        <v>0.20725215960589427</v>
      </c>
      <c r="G16" s="38">
        <f>IF(LEFT(VLOOKUP($B16,'Indicator chart'!$D$1:$J$36,7,FALSE),1)=" "," ",VLOOKUP($B16,'Indicator chart'!$D$1:$J$36,7,FALSE))</f>
        <v>0.31352980155367544</v>
      </c>
      <c r="H16" s="50">
        <f t="shared" si="0"/>
        <v>1</v>
      </c>
      <c r="I16" s="38">
        <v>0.15000000596046448</v>
      </c>
      <c r="J16" s="38">
        <v>0.327908992767334</v>
      </c>
      <c r="K16" s="38">
        <v>0.38267651200294495</v>
      </c>
      <c r="L16" s="38">
        <v>0.464826762676239</v>
      </c>
      <c r="M16" s="38">
        <v>0.5519130229949951</v>
      </c>
      <c r="N16" s="80">
        <f>VLOOKUP('Hide - Control'!B$3,'All practice data'!A:CA,A16+29,FALSE)</f>
        <v>0.40684915684915685</v>
      </c>
      <c r="O16" s="80">
        <f>VLOOKUP('Hide - Control'!C$3,'All practice data'!A:CA,A16+29,FALSE)</f>
        <v>0.5752927626212945</v>
      </c>
      <c r="P16" s="38">
        <f>VLOOKUP('Hide - Control'!$B$4,'All practice data'!B:BC,A16+2,FALSE)</f>
        <v>7045</v>
      </c>
      <c r="Q16" s="38">
        <f>VLOOKUP('Hide - Control'!$B$4,'All practice data'!B:BJ,61,FALSE)</f>
        <v>17316</v>
      </c>
      <c r="R16" s="38">
        <f t="shared" si="17"/>
        <v>0.39955362539728556</v>
      </c>
      <c r="S16" s="38">
        <f t="shared" si="18"/>
        <v>0.414186010651118</v>
      </c>
      <c r="T16" s="53">
        <f aca="true" t="shared" si="19" ref="T16:T31">IF($C16=1,M16,I16)</f>
        <v>0.5519130229949951</v>
      </c>
      <c r="U16" s="51">
        <f aca="true" t="shared" si="20" ref="U16:U31">IF($C16=1,I16,M16)</f>
        <v>0.15000000596046448</v>
      </c>
      <c r="V16" s="7"/>
      <c r="W16" s="27">
        <f t="shared" si="2"/>
        <v>0.15000000596046448</v>
      </c>
      <c r="X16" s="27">
        <f t="shared" si="3"/>
        <v>0.6153530180454254</v>
      </c>
      <c r="Y16" s="27">
        <f t="shared" si="4"/>
        <v>0.15000000596046448</v>
      </c>
      <c r="Z16" s="27">
        <f t="shared" si="5"/>
        <v>0.6153530180454254</v>
      </c>
      <c r="AA16" s="32">
        <f t="shared" si="6"/>
        <v>0</v>
      </c>
      <c r="AB16" s="33">
        <f t="shared" si="7"/>
        <v>0.38230973516163275</v>
      </c>
      <c r="AC16" s="33">
        <v>0.5</v>
      </c>
      <c r="AD16" s="33">
        <f t="shared" si="8"/>
        <v>0.6765331877948512</v>
      </c>
      <c r="AE16" s="33">
        <f t="shared" si="9"/>
        <v>0.8636733976079909</v>
      </c>
      <c r="AF16" s="33">
        <f t="shared" si="10"/>
        <v>-999</v>
      </c>
      <c r="AG16" s="33">
        <f t="shared" si="11"/>
        <v>-999</v>
      </c>
      <c r="AH16" s="33">
        <f t="shared" si="12"/>
        <v>0.22952251573701019</v>
      </c>
      <c r="AI16" s="34">
        <f t="shared" si="13"/>
        <v>0.9139142664089664</v>
      </c>
      <c r="AJ16" s="4">
        <v>12.386010120876215</v>
      </c>
      <c r="AK16" s="32">
        <f t="shared" si="14"/>
        <v>0.22952251573701019</v>
      </c>
      <c r="AL16" s="34">
        <f t="shared" si="15"/>
        <v>-999</v>
      </c>
      <c r="AY16" s="103" t="s">
        <v>282</v>
      </c>
      <c r="AZ16" s="103" t="s">
        <v>397</v>
      </c>
      <c r="BA16" s="103" t="s">
        <v>559</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74</v>
      </c>
      <c r="E17" s="38">
        <f>IF(LEFT(VLOOKUP($B17,'Indicator chart'!$D$1:$J$36,5,FALSE),1)=" "," ",VLOOKUP($B17,'Indicator chart'!$D$1:$J$36,5,FALSE))</f>
        <v>892.8571428571429</v>
      </c>
      <c r="F17" s="38">
        <f>IF(LEFT(VLOOKUP($B17,'Indicator chart'!$D$1:$J$36,6,FALSE),1)=" "," ",VLOOKUP($B17,'Indicator chart'!$D$1:$J$36,6,FALSE))</f>
        <v>701.0544898581039</v>
      </c>
      <c r="G17" s="38">
        <f>IF(LEFT(VLOOKUP($B17,'Indicator chart'!$D$1:$J$36,7,FALSE),1)=" "," ",VLOOKUP($B17,'Indicator chart'!$D$1:$J$36,7,FALSE))</f>
        <v>1120.9198766020447</v>
      </c>
      <c r="H17" s="50">
        <f t="shared" si="0"/>
        <v>1</v>
      </c>
      <c r="I17" s="38">
        <v>277.5574951171875</v>
      </c>
      <c r="J17" s="38">
        <v>711.7998657226562</v>
      </c>
      <c r="K17" s="38">
        <v>1102.7529296875</v>
      </c>
      <c r="L17" s="38">
        <v>1485.0413818359375</v>
      </c>
      <c r="M17" s="38">
        <v>3019.744384765625</v>
      </c>
      <c r="N17" s="80">
        <f>VLOOKUP('Hide - Control'!B$3,'All practice data'!A:CA,A17+29,FALSE)</f>
        <v>1253.9799795799781</v>
      </c>
      <c r="O17" s="80">
        <f>VLOOKUP('Hide - Control'!C$3,'All practice data'!A:CA,A17+29,FALSE)</f>
        <v>1812.1669120472948</v>
      </c>
      <c r="P17" s="38">
        <f>VLOOKUP('Hide - Control'!$B$4,'All practice data'!B:BC,A17+2,FALSE)</f>
        <v>6841</v>
      </c>
      <c r="Q17" s="38">
        <f>VLOOKUP('Hide - Control'!$B$4,'All practice data'!B:BC,3,FALSE)</f>
        <v>545543</v>
      </c>
      <c r="R17" s="38">
        <f>100000*(P17*(1-1/(9*P17)-1.96/(3*SQRT(P17)))^3)/Q17</f>
        <v>1224.438186651523</v>
      </c>
      <c r="S17" s="38">
        <f>100000*((P17+1)*(1-1/(9*(P17+1))+1.96/(3*SQRT(P17+1)))^3)/Q17</f>
        <v>1284.0544926639943</v>
      </c>
      <c r="T17" s="53">
        <f t="shared" si="19"/>
        <v>3019.744384765625</v>
      </c>
      <c r="U17" s="51">
        <f t="shared" si="20"/>
        <v>277.5574951171875</v>
      </c>
      <c r="V17" s="7"/>
      <c r="W17" s="27">
        <f t="shared" si="2"/>
        <v>-814.238525390625</v>
      </c>
      <c r="X17" s="27">
        <f t="shared" si="3"/>
        <v>3019.744384765625</v>
      </c>
      <c r="Y17" s="27">
        <f t="shared" si="4"/>
        <v>-814.238525390625</v>
      </c>
      <c r="Z17" s="27">
        <f t="shared" si="5"/>
        <v>3019.744384765625</v>
      </c>
      <c r="AA17" s="32">
        <f t="shared" si="6"/>
        <v>0.28476809784822893</v>
      </c>
      <c r="AB17" s="33">
        <f t="shared" si="7"/>
        <v>0.3980295235721562</v>
      </c>
      <c r="AC17" s="33">
        <v>0.5</v>
      </c>
      <c r="AD17" s="33">
        <f t="shared" si="8"/>
        <v>0.599710525870043</v>
      </c>
      <c r="AE17" s="33">
        <f t="shared" si="9"/>
        <v>1</v>
      </c>
      <c r="AF17" s="33">
        <f t="shared" si="10"/>
        <v>-999</v>
      </c>
      <c r="AG17" s="33">
        <f t="shared" si="11"/>
        <v>-999</v>
      </c>
      <c r="AH17" s="33">
        <f t="shared" si="12"/>
        <v>0.4452538543470443</v>
      </c>
      <c r="AI17" s="34">
        <f t="shared" si="13"/>
        <v>0.68503316237549</v>
      </c>
      <c r="AJ17" s="4">
        <v>13.462005546258133</v>
      </c>
      <c r="AK17" s="32">
        <f t="shared" si="14"/>
        <v>0.4452538543470443</v>
      </c>
      <c r="AL17" s="34">
        <f t="shared" si="15"/>
        <v>-999</v>
      </c>
      <c r="AY17" s="103" t="s">
        <v>103</v>
      </c>
      <c r="AZ17" s="103" t="s">
        <v>104</v>
      </c>
      <c r="BA17" s="103" t="s">
        <v>378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74</v>
      </c>
      <c r="E18" s="80">
        <f>IF(LEFT(VLOOKUP($B18,'Indicator chart'!$D$1:$J$36,5,FALSE),1)=" "," ",VLOOKUP($B18,'Indicator chart'!$D$1:$J$36,5,FALSE))</f>
        <v>0.6896356964</v>
      </c>
      <c r="F18" s="81">
        <f>IF(LEFT(VLOOKUP($B18,'Indicator chart'!$D$1:$J$36,6,FALSE),1)=" "," ",VLOOKUP($B18,'Indicator chart'!$D$1:$J$36,6,FALSE))</f>
        <v>0.5415123367</v>
      </c>
      <c r="G18" s="38">
        <f>IF(LEFT(VLOOKUP($B18,'Indicator chart'!$D$1:$J$36,7,FALSE),1)=" "," ",VLOOKUP($B18,'Indicator chart'!$D$1:$J$36,7,FALSE))</f>
        <v>0.8657744597999999</v>
      </c>
      <c r="H18" s="50">
        <f>IF(LEFT(F18,1)=" ",4,IF(AND(ABS(N18-E18)&gt;SQRT((E18-G18)^2+(N18-R18)^2),E18&lt;N18),1,IF(AND(ABS(N18-E18)&gt;SQRT((E18-F18)^2+(N18-S18)^2),E18&gt;N18),3,2)))</f>
        <v>1</v>
      </c>
      <c r="I18" s="38">
        <v>0.21094204485416412</v>
      </c>
      <c r="J18" s="38"/>
      <c r="K18" s="38">
        <v>1</v>
      </c>
      <c r="L18" s="38"/>
      <c r="M18" s="38">
        <v>1.9399927854537964</v>
      </c>
      <c r="N18" s="80">
        <v>1</v>
      </c>
      <c r="O18" s="80">
        <f>VLOOKUP('Hide - Control'!C$3,'All practice data'!A:CA,A18+29,FALSE)</f>
        <v>1</v>
      </c>
      <c r="P18" s="38">
        <f>VLOOKUP('Hide - Control'!$B$4,'All practice data'!B:BC,A18+2,FALSE)</f>
        <v>6841</v>
      </c>
      <c r="Q18" s="38">
        <f>VLOOKUP('Hide - Control'!$B$4,'All practice data'!B:BC,14,FALSE)</f>
        <v>6841</v>
      </c>
      <c r="R18" s="81">
        <v>1</v>
      </c>
      <c r="S18" s="38">
        <v>1</v>
      </c>
      <c r="T18" s="53">
        <f t="shared" si="19"/>
        <v>1.9399927854537964</v>
      </c>
      <c r="U18" s="51">
        <f t="shared" si="20"/>
        <v>0.21094204485416412</v>
      </c>
      <c r="V18" s="7"/>
      <c r="W18" s="27">
        <f>IF((K18-I18)&gt;(M18-K18),I18,(K18-(M18-K18)))</f>
        <v>0.06000721454620361</v>
      </c>
      <c r="X18" s="27">
        <f t="shared" si="3"/>
        <v>1.9399927854537964</v>
      </c>
      <c r="Y18" s="27">
        <f t="shared" si="4"/>
        <v>0.06000721454620361</v>
      </c>
      <c r="Z18" s="27">
        <f t="shared" si="5"/>
        <v>1.9399927854537964</v>
      </c>
      <c r="AA18" s="32" t="s">
        <v>378</v>
      </c>
      <c r="AB18" s="33" t="s">
        <v>378</v>
      </c>
      <c r="AC18" s="33">
        <v>0.5</v>
      </c>
      <c r="AD18" s="33" t="s">
        <v>378</v>
      </c>
      <c r="AE18" s="33" t="s">
        <v>378</v>
      </c>
      <c r="AF18" s="33">
        <f t="shared" si="10"/>
        <v>-999</v>
      </c>
      <c r="AG18" s="33">
        <f t="shared" si="11"/>
        <v>-999</v>
      </c>
      <c r="AH18" s="33">
        <f t="shared" si="12"/>
        <v>0.33491133740448514</v>
      </c>
      <c r="AI18" s="34">
        <v>0.5</v>
      </c>
      <c r="AJ18" s="4">
        <v>14.538000971640056</v>
      </c>
      <c r="AK18" s="32">
        <f t="shared" si="14"/>
        <v>0.33491133740448514</v>
      </c>
      <c r="AL18" s="34">
        <f t="shared" si="15"/>
        <v>-999</v>
      </c>
      <c r="AY18" s="103" t="s">
        <v>105</v>
      </c>
      <c r="AZ18" s="103" t="s">
        <v>106</v>
      </c>
      <c r="BA18" s="103" t="s">
        <v>378</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0.10810810810810811</v>
      </c>
      <c r="F19" s="38">
        <f>IF(LEFT(VLOOKUP($B19,'Indicator chart'!$D$1:$J$36,6,FALSE),1)=" "," ",VLOOKUP($B19,'Indicator chart'!$D$1:$J$36,6,FALSE))</f>
        <v>0.05580666169650121</v>
      </c>
      <c r="G19" s="38">
        <f>IF(LEFT(VLOOKUP($B19,'Indicator chart'!$D$1:$J$36,7,FALSE),1)=" "," ",VLOOKUP($B19,'Indicator chart'!$D$1:$J$36,7,FALSE))</f>
        <v>0.1990904627202631</v>
      </c>
      <c r="H19" s="50">
        <f t="shared" si="0"/>
        <v>2</v>
      </c>
      <c r="I19" s="38">
        <v>0.02070442959666252</v>
      </c>
      <c r="J19" s="38">
        <v>0.06975904852151871</v>
      </c>
      <c r="K19" s="38">
        <v>0.09573931992053986</v>
      </c>
      <c r="L19" s="38">
        <v>0.14846684038639069</v>
      </c>
      <c r="M19" s="38">
        <v>0.24137930572032928</v>
      </c>
      <c r="N19" s="80">
        <f>VLOOKUP('Hide - Control'!B$3,'All practice data'!A:CA,A19+29,FALSE)</f>
        <v>0.09472299371436925</v>
      </c>
      <c r="O19" s="80">
        <f>VLOOKUP('Hide - Control'!C$3,'All practice data'!A:CA,A19+29,FALSE)</f>
        <v>0.10919341638628717</v>
      </c>
      <c r="P19" s="38">
        <f>VLOOKUP('Hide - Control'!$B$4,'All practice data'!B:BC,A19+2,FALSE)</f>
        <v>648</v>
      </c>
      <c r="Q19" s="38">
        <f>VLOOKUP('Hide - Control'!$B$4,'All practice data'!B:BC,15,FALSE)</f>
        <v>6841</v>
      </c>
      <c r="R19" s="38">
        <f>+((2*P19+1.96^2-1.96*SQRT(1.96^2+4*P19*(1-P19/Q19)))/(2*(Q19+1.96^2)))</f>
        <v>0.08800938607700395</v>
      </c>
      <c r="S19" s="38">
        <f>+((2*P19+1.96^2+1.96*SQRT(1.96^2+4*P19*(1-P19/Q19)))/(2*(Q19+1.96^2)))</f>
        <v>0.10189151681605935</v>
      </c>
      <c r="T19" s="53">
        <f t="shared" si="19"/>
        <v>0.24137930572032928</v>
      </c>
      <c r="U19" s="51">
        <f t="shared" si="20"/>
        <v>0.02070442959666252</v>
      </c>
      <c r="V19" s="7"/>
      <c r="W19" s="27">
        <f t="shared" si="2"/>
        <v>-0.04990066587924957</v>
      </c>
      <c r="X19" s="27">
        <f t="shared" si="3"/>
        <v>0.24137930572032928</v>
      </c>
      <c r="Y19" s="27">
        <f t="shared" si="4"/>
        <v>-0.04990066587924957</v>
      </c>
      <c r="Z19" s="27">
        <f t="shared" si="5"/>
        <v>0.24137930572032928</v>
      </c>
      <c r="AA19" s="32">
        <f t="shared" si="6"/>
        <v>0.24239598448249156</v>
      </c>
      <c r="AB19" s="33">
        <f t="shared" si="7"/>
        <v>0.41080653003243184</v>
      </c>
      <c r="AC19" s="33">
        <v>0.5</v>
      </c>
      <c r="AD19" s="33">
        <f t="shared" si="8"/>
        <v>0.6810200686861336</v>
      </c>
      <c r="AE19" s="33">
        <f t="shared" si="9"/>
        <v>1</v>
      </c>
      <c r="AF19" s="33">
        <f t="shared" si="10"/>
        <v>-999</v>
      </c>
      <c r="AG19" s="33">
        <f t="shared" si="11"/>
        <v>0.5424635724854148</v>
      </c>
      <c r="AH19" s="33">
        <f t="shared" si="12"/>
        <v>-999</v>
      </c>
      <c r="AI19" s="34">
        <f t="shared" si="13"/>
        <v>0.546189569409333</v>
      </c>
      <c r="AJ19" s="4">
        <v>15.61399639702198</v>
      </c>
      <c r="AK19" s="32">
        <f t="shared" si="14"/>
        <v>-999</v>
      </c>
      <c r="AL19" s="34">
        <f t="shared" si="15"/>
        <v>-999</v>
      </c>
      <c r="AY19" s="103" t="s">
        <v>270</v>
      </c>
      <c r="AZ19" s="103" t="s">
        <v>498</v>
      </c>
      <c r="BA19" s="103" t="s">
        <v>378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18</v>
      </c>
      <c r="E20" s="38">
        <f>IF(LEFT(VLOOKUP($B20,'Indicator chart'!$D$1:$J$36,5,FALSE),1)=" "," ",VLOOKUP($B20,'Indicator chart'!$D$1:$J$36,5,FALSE))</f>
        <v>0.4444444444444444</v>
      </c>
      <c r="F20" s="38">
        <f>IF(LEFT(VLOOKUP($B20,'Indicator chart'!$D$1:$J$36,6,FALSE),1)=" "," ",VLOOKUP($B20,'Indicator chart'!$D$1:$J$36,6,FALSE))</f>
        <v>0.24559231101389126</v>
      </c>
      <c r="G20" s="38">
        <f>IF(LEFT(VLOOKUP($B20,'Indicator chart'!$D$1:$J$36,7,FALSE),1)=" "," ",VLOOKUP($B20,'Indicator chart'!$D$1:$J$36,7,FALSE))</f>
        <v>0.6628393057174837</v>
      </c>
      <c r="H20" s="50">
        <f t="shared" si="0"/>
        <v>2</v>
      </c>
      <c r="I20" s="38">
        <v>0.09238772839307785</v>
      </c>
      <c r="J20" s="38">
        <v>0.2823660671710968</v>
      </c>
      <c r="K20" s="38">
        <v>0.37268519401550293</v>
      </c>
      <c r="L20" s="38">
        <v>0.5</v>
      </c>
      <c r="M20" s="38">
        <v>1</v>
      </c>
      <c r="N20" s="80">
        <f>VLOOKUP('Hide - Control'!B$3,'All practice data'!A:CA,A20+29,FALSE)</f>
        <v>0.4002470660901791</v>
      </c>
      <c r="O20" s="80">
        <f>VLOOKUP('Hide - Control'!C$3,'All practice data'!A:CA,A20+29,FALSE)</f>
        <v>0.4534552930810221</v>
      </c>
      <c r="P20" s="38">
        <f>VLOOKUP('Hide - Control'!$B$4,'All practice data'!B:BC,A20+1,FALSE)</f>
        <v>648</v>
      </c>
      <c r="Q20" s="38">
        <f>VLOOKUP('Hide - Control'!$B$4,'All practice data'!B:BC,A20+2,FALSE)</f>
        <v>1619</v>
      </c>
      <c r="R20" s="38">
        <f>+((2*P20+1.96^2-1.96*SQRT(1.96^2+4*P20*(1-P20/Q20)))/(2*(Q20+1.96^2)))</f>
        <v>0.37664411685081284</v>
      </c>
      <c r="S20" s="38">
        <f>+((2*P20+1.96^2+1.96*SQRT(1.96^2+4*P20*(1-P20/Q20)))/(2*(Q20+1.96^2)))</f>
        <v>0.42432228677108097</v>
      </c>
      <c r="T20" s="53">
        <f t="shared" si="19"/>
        <v>1</v>
      </c>
      <c r="U20" s="51">
        <f t="shared" si="20"/>
        <v>0.09238772839307785</v>
      </c>
      <c r="V20" s="7"/>
      <c r="W20" s="27">
        <f t="shared" si="2"/>
        <v>-0.25462961196899414</v>
      </c>
      <c r="X20" s="27">
        <f t="shared" si="3"/>
        <v>1</v>
      </c>
      <c r="Y20" s="27">
        <f t="shared" si="4"/>
        <v>-0.25462961196899414</v>
      </c>
      <c r="Z20" s="27">
        <f t="shared" si="5"/>
        <v>1</v>
      </c>
      <c r="AA20" s="32">
        <f t="shared" si="6"/>
        <v>0.27658947075023116</v>
      </c>
      <c r="AB20" s="33">
        <f t="shared" si="7"/>
        <v>0.4280113222398275</v>
      </c>
      <c r="AC20" s="33">
        <v>0.5</v>
      </c>
      <c r="AD20" s="33">
        <f t="shared" si="8"/>
        <v>0.601476009150375</v>
      </c>
      <c r="AE20" s="33">
        <f t="shared" si="9"/>
        <v>1</v>
      </c>
      <c r="AF20" s="33">
        <f t="shared" si="10"/>
        <v>-999</v>
      </c>
      <c r="AG20" s="33">
        <f t="shared" si="11"/>
        <v>0.5571955657226388</v>
      </c>
      <c r="AH20" s="33">
        <f t="shared" si="12"/>
        <v>-999</v>
      </c>
      <c r="AI20" s="34">
        <f t="shared" si="13"/>
        <v>0.5643776444418205</v>
      </c>
      <c r="AJ20" s="4">
        <v>16.689991822403904</v>
      </c>
      <c r="AK20" s="32">
        <f t="shared" si="14"/>
        <v>-999</v>
      </c>
      <c r="AL20" s="34">
        <f t="shared" si="15"/>
        <v>-999</v>
      </c>
      <c r="AY20" s="103" t="s">
        <v>211</v>
      </c>
      <c r="AZ20" s="103" t="s">
        <v>479</v>
      </c>
      <c r="BA20" s="103" t="s">
        <v>378</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v>
      </c>
      <c r="E21" s="38">
        <f>IF(LEFT(VLOOKUP($B21,'Indicator chart'!$D$1:$J$36,5,FALSE),1)=" "," ",VLOOKUP($B21,'Indicator chart'!$D$1:$J$36,5,FALSE))</f>
        <v>84.45945945945945</v>
      </c>
      <c r="F21" s="38">
        <f>IF(LEFT(VLOOKUP($B21,'Indicator chart'!$D$1:$J$36,6,FALSE),1)=" "," ",VLOOKUP($B21,'Indicator chart'!$D$1:$J$36,6,FALSE))</f>
        <v>33.83661800890949</v>
      </c>
      <c r="G21" s="38">
        <f>IF(LEFT(VLOOKUP($B21,'Indicator chart'!$D$1:$J$36,7,FALSE),1)=" "," ",VLOOKUP($B21,'Indicator chart'!$D$1:$J$36,7,FALSE))</f>
        <v>174.0276720353301</v>
      </c>
      <c r="H21" s="50">
        <f t="shared" si="0"/>
        <v>1</v>
      </c>
      <c r="I21" s="38">
        <v>61.46357345581055</v>
      </c>
      <c r="J21" s="38">
        <v>124.13902282714844</v>
      </c>
      <c r="K21" s="38">
        <v>229.64791870117188</v>
      </c>
      <c r="L21" s="38">
        <v>297.6725769042969</v>
      </c>
      <c r="M21" s="38">
        <v>725.7257080078125</v>
      </c>
      <c r="N21" s="80">
        <f>VLOOKUP('Hide - Control'!B$3,'All practice data'!A:CA,A21+29,FALSE)</f>
        <v>253.32558570085217</v>
      </c>
      <c r="O21" s="80">
        <f>VLOOKUP('Hide - Control'!C$3,'All practice data'!A:CA,A21+29,FALSE)</f>
        <v>377.7293140102421</v>
      </c>
      <c r="P21" s="38">
        <f>VLOOKUP('Hide - Control'!$B$4,'All practice data'!B:BC,A21+2,FALSE)</f>
        <v>1382</v>
      </c>
      <c r="Q21" s="38">
        <f>VLOOKUP('Hide - Control'!$B$4,'All practice data'!B:BC,3,FALSE)</f>
        <v>545543</v>
      </c>
      <c r="R21" s="38">
        <f aca="true" t="shared" si="21" ref="R21:R27">100000*(P21*(1-1/(9*P21)-1.96/(3*SQRT(P21)))^3)/Q21</f>
        <v>240.14382502404078</v>
      </c>
      <c r="S21" s="38">
        <f aca="true" t="shared" si="22" ref="S21:S27">100000*((P21+1)*(1-1/(9*(P21+1))+1.96/(3*SQRT(P21+1)))^3)/Q21</f>
        <v>267.0427040158682</v>
      </c>
      <c r="T21" s="53">
        <f t="shared" si="19"/>
        <v>725.7257080078125</v>
      </c>
      <c r="U21" s="51">
        <f t="shared" si="20"/>
        <v>61.46357345581055</v>
      </c>
      <c r="V21" s="7"/>
      <c r="W21" s="27">
        <f t="shared" si="2"/>
        <v>-266.42987060546875</v>
      </c>
      <c r="X21" s="27">
        <f t="shared" si="3"/>
        <v>725.7257080078125</v>
      </c>
      <c r="Y21" s="27">
        <f t="shared" si="4"/>
        <v>-266.42987060546875</v>
      </c>
      <c r="Z21" s="27">
        <f t="shared" si="5"/>
        <v>725.7257080078125</v>
      </c>
      <c r="AA21" s="32">
        <f t="shared" si="6"/>
        <v>0.33048591483965684</v>
      </c>
      <c r="AB21" s="33">
        <f t="shared" si="7"/>
        <v>0.39365690406993287</v>
      </c>
      <c r="AC21" s="33">
        <v>0.5</v>
      </c>
      <c r="AD21" s="33">
        <f t="shared" si="8"/>
        <v>0.5685624912760173</v>
      </c>
      <c r="AE21" s="33">
        <f t="shared" si="9"/>
        <v>1</v>
      </c>
      <c r="AF21" s="33">
        <f t="shared" si="10"/>
        <v>-999</v>
      </c>
      <c r="AG21" s="33">
        <f t="shared" si="11"/>
        <v>-999</v>
      </c>
      <c r="AH21" s="33">
        <f t="shared" si="12"/>
        <v>0.3536636165019202</v>
      </c>
      <c r="AI21" s="34">
        <f t="shared" si="13"/>
        <v>0.6492521923991407</v>
      </c>
      <c r="AJ21" s="4">
        <v>17.765987247785823</v>
      </c>
      <c r="AK21" s="32">
        <f t="shared" si="14"/>
        <v>0.3536636165019202</v>
      </c>
      <c r="AL21" s="34">
        <f t="shared" si="15"/>
        <v>-999</v>
      </c>
      <c r="AY21" s="103" t="s">
        <v>123</v>
      </c>
      <c r="AZ21" s="103" t="s">
        <v>453</v>
      </c>
      <c r="BA21" s="103" t="s">
        <v>378</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205.1158301158301</v>
      </c>
      <c r="F22" s="38">
        <f>IF(LEFT(VLOOKUP($B22,'Indicator chart'!$D$1:$J$36,6,FALSE),1)=" "," ",VLOOKUP($B22,'Indicator chart'!$D$1:$J$36,6,FALSE))</f>
        <v>119.41811742491197</v>
      </c>
      <c r="G22" s="38">
        <f>IF(LEFT(VLOOKUP($B22,'Indicator chart'!$D$1:$J$36,7,FALSE),1)=" "," ",VLOOKUP($B22,'Indicator chart'!$D$1:$J$36,7,FALSE))</f>
        <v>328.43038993261223</v>
      </c>
      <c r="H22" s="50">
        <f t="shared" si="0"/>
        <v>2</v>
      </c>
      <c r="I22" s="38">
        <v>18.07059669494629</v>
      </c>
      <c r="J22" s="38">
        <v>83.43551635742188</v>
      </c>
      <c r="K22" s="38">
        <v>161.30490112304688</v>
      </c>
      <c r="L22" s="38">
        <v>235.38685607910156</v>
      </c>
      <c r="M22" s="38">
        <v>967.8668212890625</v>
      </c>
      <c r="N22" s="80">
        <f>VLOOKUP('Hide - Control'!B$3,'All practice data'!A:CA,A22+29,FALSE)</f>
        <v>189.53593025664338</v>
      </c>
      <c r="O22" s="80">
        <f>VLOOKUP('Hide - Control'!C$3,'All practice data'!A:CA,A22+29,FALSE)</f>
        <v>282.45290788403287</v>
      </c>
      <c r="P22" s="38">
        <f>VLOOKUP('Hide - Control'!$B$4,'All practice data'!B:BC,A22+2,FALSE)</f>
        <v>1034</v>
      </c>
      <c r="Q22" s="38">
        <f>VLOOKUP('Hide - Control'!$B$4,'All practice data'!B:BC,3,FALSE)</f>
        <v>545543</v>
      </c>
      <c r="R22" s="38">
        <f t="shared" si="21"/>
        <v>178.1576272035707</v>
      </c>
      <c r="S22" s="38">
        <f t="shared" si="22"/>
        <v>201.45033551739778</v>
      </c>
      <c r="T22" s="53">
        <f t="shared" si="19"/>
        <v>967.8668212890625</v>
      </c>
      <c r="U22" s="51">
        <f t="shared" si="20"/>
        <v>18.07059669494629</v>
      </c>
      <c r="V22" s="7"/>
      <c r="W22" s="27">
        <f t="shared" si="2"/>
        <v>-645.2570190429688</v>
      </c>
      <c r="X22" s="27">
        <f t="shared" si="3"/>
        <v>967.8668212890625</v>
      </c>
      <c r="Y22" s="27">
        <f t="shared" si="4"/>
        <v>-645.2570190429688</v>
      </c>
      <c r="Z22" s="27">
        <f t="shared" si="5"/>
        <v>967.8668212890625</v>
      </c>
      <c r="AA22" s="32">
        <f t="shared" si="6"/>
        <v>0.41120687646732784</v>
      </c>
      <c r="AB22" s="33">
        <f t="shared" si="7"/>
        <v>0.4517275841949016</v>
      </c>
      <c r="AC22" s="33">
        <v>0.5</v>
      </c>
      <c r="AD22" s="33">
        <f t="shared" si="8"/>
        <v>0.5459245304692827</v>
      </c>
      <c r="AE22" s="33">
        <f t="shared" si="9"/>
        <v>1</v>
      </c>
      <c r="AF22" s="33">
        <f t="shared" si="10"/>
        <v>-999</v>
      </c>
      <c r="AG22" s="33">
        <f t="shared" si="11"/>
        <v>0.5271590611318259</v>
      </c>
      <c r="AH22" s="33">
        <f t="shared" si="12"/>
        <v>-999</v>
      </c>
      <c r="AI22" s="34">
        <f t="shared" si="13"/>
        <v>0.5751014917342303</v>
      </c>
      <c r="AJ22" s="4">
        <v>18.841982673167745</v>
      </c>
      <c r="AK22" s="32">
        <f t="shared" si="14"/>
        <v>-999</v>
      </c>
      <c r="AL22" s="34">
        <f t="shared" si="15"/>
        <v>-999</v>
      </c>
      <c r="AY22" s="103" t="s">
        <v>149</v>
      </c>
      <c r="AZ22" s="103" t="s">
        <v>463</v>
      </c>
      <c r="BA22" s="103" t="s">
        <v>378</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3.170577049255371</v>
      </c>
      <c r="K23" s="38">
        <v>43.41360855102539</v>
      </c>
      <c r="L23" s="38">
        <v>63.7213020324707</v>
      </c>
      <c r="M23" s="38">
        <v>196.27085876464844</v>
      </c>
      <c r="N23" s="80">
        <f>VLOOKUP('Hide - Control'!B$3,'All practice data'!A:CA,A23+29,FALSE)</f>
        <v>49.30867044394301</v>
      </c>
      <c r="O23" s="80">
        <f>VLOOKUP('Hide - Control'!C$3,'All practice data'!A:CA,A23+29,FALSE)</f>
        <v>70.46674929228394</v>
      </c>
      <c r="P23" s="38">
        <f>VLOOKUP('Hide - Control'!$B$4,'All practice data'!B:BC,A23+2,FALSE)</f>
        <v>269</v>
      </c>
      <c r="Q23" s="38">
        <f>VLOOKUP('Hide - Control'!$B$4,'All practice data'!B:BC,3,FALSE)</f>
        <v>545543</v>
      </c>
      <c r="R23" s="38">
        <f t="shared" si="21"/>
        <v>43.591424742173935</v>
      </c>
      <c r="S23" s="38">
        <f t="shared" si="22"/>
        <v>55.567272707525426</v>
      </c>
      <c r="T23" s="53">
        <f t="shared" si="19"/>
        <v>196.27085876464844</v>
      </c>
      <c r="U23" s="51">
        <f t="shared" si="20"/>
        <v>3.248678207397461</v>
      </c>
      <c r="V23" s="7"/>
      <c r="W23" s="27">
        <f t="shared" si="2"/>
        <v>-109.44364166259766</v>
      </c>
      <c r="X23" s="27">
        <f t="shared" si="3"/>
        <v>196.27085876464844</v>
      </c>
      <c r="Y23" s="27">
        <f t="shared" si="4"/>
        <v>-109.44364166259766</v>
      </c>
      <c r="Z23" s="27">
        <f t="shared" si="5"/>
        <v>196.27085876464844</v>
      </c>
      <c r="AA23" s="32">
        <f t="shared" si="6"/>
        <v>0.36861947899920966</v>
      </c>
      <c r="AB23" s="33">
        <f t="shared" si="7"/>
        <v>0.3683640081006002</v>
      </c>
      <c r="AC23" s="33">
        <v>0.5</v>
      </c>
      <c r="AD23" s="33">
        <f t="shared" si="8"/>
        <v>0.5664269880985843</v>
      </c>
      <c r="AE23" s="33">
        <f t="shared" si="9"/>
        <v>1</v>
      </c>
      <c r="AF23" s="33">
        <f t="shared" si="10"/>
        <v>-999</v>
      </c>
      <c r="AG23" s="33">
        <f t="shared" si="11"/>
        <v>-999</v>
      </c>
      <c r="AH23" s="33">
        <f t="shared" si="12"/>
        <v>-999</v>
      </c>
      <c r="AI23" s="34">
        <f t="shared" si="13"/>
        <v>0.5884915197134938</v>
      </c>
      <c r="AJ23" s="4">
        <v>19.917978098549675</v>
      </c>
      <c r="AK23" s="32">
        <f t="shared" si="14"/>
        <v>-999</v>
      </c>
      <c r="AL23" s="34">
        <f t="shared" si="15"/>
        <v>-999</v>
      </c>
      <c r="AY23" s="103" t="s">
        <v>264</v>
      </c>
      <c r="AZ23" s="103" t="s">
        <v>265</v>
      </c>
      <c r="BA23" s="103" t="s">
        <v>378</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v>
      </c>
      <c r="E24" s="38">
        <f>IF(LEFT(VLOOKUP($B24,'Indicator chart'!$D$1:$J$36,5,FALSE),1)=" "," ",VLOOKUP($B24,'Indicator chart'!$D$1:$J$36,5,FALSE))</f>
        <v>72.39382239382239</v>
      </c>
      <c r="F24" s="38">
        <f>IF(LEFT(VLOOKUP($B24,'Indicator chart'!$D$1:$J$36,6,FALSE),1)=" "," ",VLOOKUP($B24,'Indicator chart'!$D$1:$J$36,6,FALSE))</f>
        <v>26.43509580940733</v>
      </c>
      <c r="G24" s="38">
        <f>IF(LEFT(VLOOKUP($B24,'Indicator chart'!$D$1:$J$36,7,FALSE),1)=" "," ",VLOOKUP($B24,'Indicator chart'!$D$1:$J$36,7,FALSE))</f>
        <v>157.57595642709651</v>
      </c>
      <c r="H24" s="50">
        <f t="shared" si="0"/>
        <v>1</v>
      </c>
      <c r="I24" s="38">
        <v>27.3076171875</v>
      </c>
      <c r="J24" s="38">
        <v>85.23905181884766</v>
      </c>
      <c r="K24" s="38">
        <v>150.1405487060547</v>
      </c>
      <c r="L24" s="38">
        <v>250.78042602539062</v>
      </c>
      <c r="M24" s="38">
        <v>534.0250244140625</v>
      </c>
      <c r="N24" s="80">
        <f>VLOOKUP('Hide - Control'!B$3,'All practice data'!A:CA,A24+29,FALSE)</f>
        <v>208.2328982316701</v>
      </c>
      <c r="O24" s="80">
        <f>VLOOKUP('Hide - Control'!C$3,'All practice data'!A:CA,A24+29,FALSE)</f>
        <v>323.23046266988894</v>
      </c>
      <c r="P24" s="38">
        <f>VLOOKUP('Hide - Control'!$B$4,'All practice data'!B:BC,A24+2,FALSE)</f>
        <v>1136</v>
      </c>
      <c r="Q24" s="38">
        <f>VLOOKUP('Hide - Control'!$B$4,'All practice data'!B:BC,3,FALSE)</f>
        <v>545543</v>
      </c>
      <c r="R24" s="38">
        <f t="shared" si="21"/>
        <v>196.29813621264213</v>
      </c>
      <c r="S24" s="38">
        <f t="shared" si="22"/>
        <v>220.7035092283952</v>
      </c>
      <c r="T24" s="53">
        <f t="shared" si="19"/>
        <v>534.0250244140625</v>
      </c>
      <c r="U24" s="51">
        <f t="shared" si="20"/>
        <v>27.3076171875</v>
      </c>
      <c r="V24" s="7"/>
      <c r="W24" s="27">
        <f t="shared" si="2"/>
        <v>-233.74392700195312</v>
      </c>
      <c r="X24" s="27">
        <f t="shared" si="3"/>
        <v>534.0250244140625</v>
      </c>
      <c r="Y24" s="27">
        <f t="shared" si="4"/>
        <v>-233.74392700195312</v>
      </c>
      <c r="Z24" s="27">
        <f t="shared" si="5"/>
        <v>534.0250244140625</v>
      </c>
      <c r="AA24" s="32">
        <f t="shared" si="6"/>
        <v>0.3400131559214386</v>
      </c>
      <c r="AB24" s="33">
        <f t="shared" si="7"/>
        <v>0.4154674114295615</v>
      </c>
      <c r="AC24" s="33">
        <v>0.5</v>
      </c>
      <c r="AD24" s="33">
        <f t="shared" si="8"/>
        <v>0.6310809419080092</v>
      </c>
      <c r="AE24" s="33">
        <f t="shared" si="9"/>
        <v>1</v>
      </c>
      <c r="AF24" s="33">
        <f t="shared" si="10"/>
        <v>-999</v>
      </c>
      <c r="AG24" s="33">
        <f t="shared" si="11"/>
        <v>-999</v>
      </c>
      <c r="AH24" s="33">
        <f t="shared" si="12"/>
        <v>0.39873681897549773</v>
      </c>
      <c r="AI24" s="34">
        <f t="shared" si="13"/>
        <v>0.7254453161261604</v>
      </c>
      <c r="AJ24" s="4">
        <v>20.99397352393159</v>
      </c>
      <c r="AK24" s="32">
        <f t="shared" si="14"/>
        <v>0.39873681897549773</v>
      </c>
      <c r="AL24" s="34">
        <f t="shared" si="15"/>
        <v>-999</v>
      </c>
      <c r="AY24" s="103" t="s">
        <v>65</v>
      </c>
      <c r="AZ24" s="103" t="s">
        <v>66</v>
      </c>
      <c r="BA24" s="103" t="s">
        <v>559</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27</v>
      </c>
      <c r="E25" s="38">
        <f>IF(LEFT(VLOOKUP($B25,'Indicator chart'!$D$1:$J$36,5,FALSE),1)=" "," ",VLOOKUP($B25,'Indicator chart'!$D$1:$J$36,5,FALSE))</f>
        <v>325.7722007722008</v>
      </c>
      <c r="F25" s="38">
        <f>IF(LEFT(VLOOKUP($B25,'Indicator chart'!$D$1:$J$36,6,FALSE),1)=" "," ",VLOOKUP($B25,'Indicator chart'!$D$1:$J$36,6,FALSE))</f>
        <v>214.63347941694826</v>
      </c>
      <c r="G25" s="38">
        <f>IF(LEFT(VLOOKUP($B25,'Indicator chart'!$D$1:$J$36,7,FALSE),1)=" "," ",VLOOKUP($B25,'Indicator chart'!$D$1:$J$36,7,FALSE))</f>
        <v>474.0026244302418</v>
      </c>
      <c r="H25" s="50">
        <f t="shared" si="0"/>
        <v>1</v>
      </c>
      <c r="I25" s="38">
        <v>119.20980834960938</v>
      </c>
      <c r="J25" s="38">
        <v>306.6403503417969</v>
      </c>
      <c r="K25" s="38">
        <v>445.81146240234375</v>
      </c>
      <c r="L25" s="38">
        <v>617.0529174804688</v>
      </c>
      <c r="M25" s="38">
        <v>1088.012451171875</v>
      </c>
      <c r="N25" s="80">
        <f>VLOOKUP('Hide - Control'!B$3,'All practice data'!A:CA,A25+29,FALSE)</f>
        <v>475.48955810999314</v>
      </c>
      <c r="O25" s="80">
        <f>VLOOKUP('Hide - Control'!C$3,'All practice data'!A:CA,A25+29,FALSE)</f>
        <v>562.6134400960308</v>
      </c>
      <c r="P25" s="38">
        <f>VLOOKUP('Hide - Control'!$B$4,'All practice data'!B:BC,A25+2,FALSE)</f>
        <v>2594</v>
      </c>
      <c r="Q25" s="38">
        <f>VLOOKUP('Hide - Control'!$B$4,'All practice data'!B:BC,3,FALSE)</f>
        <v>545543</v>
      </c>
      <c r="R25" s="38">
        <f t="shared" si="21"/>
        <v>457.36538385531225</v>
      </c>
      <c r="S25" s="38">
        <f t="shared" si="22"/>
        <v>494.1477982779459</v>
      </c>
      <c r="T25" s="53">
        <f t="shared" si="19"/>
        <v>1088.012451171875</v>
      </c>
      <c r="U25" s="51">
        <f t="shared" si="20"/>
        <v>119.20980834960938</v>
      </c>
      <c r="V25" s="7"/>
      <c r="W25" s="27">
        <f t="shared" si="2"/>
        <v>-196.3895263671875</v>
      </c>
      <c r="X25" s="27">
        <f t="shared" si="3"/>
        <v>1088.012451171875</v>
      </c>
      <c r="Y25" s="27">
        <f t="shared" si="4"/>
        <v>-196.3895263671875</v>
      </c>
      <c r="Z25" s="27">
        <f t="shared" si="5"/>
        <v>1088.012451171875</v>
      </c>
      <c r="AA25" s="32">
        <f t="shared" si="6"/>
        <v>0.2457169486156436</v>
      </c>
      <c r="AB25" s="33">
        <f t="shared" si="7"/>
        <v>0.39164520571106465</v>
      </c>
      <c r="AC25" s="33">
        <v>0.5</v>
      </c>
      <c r="AD25" s="33">
        <f t="shared" si="8"/>
        <v>0.6333238799633638</v>
      </c>
      <c r="AE25" s="33">
        <f t="shared" si="9"/>
        <v>1</v>
      </c>
      <c r="AF25" s="33">
        <f t="shared" si="10"/>
        <v>-999</v>
      </c>
      <c r="AG25" s="33">
        <f t="shared" si="11"/>
        <v>-999</v>
      </c>
      <c r="AH25" s="33">
        <f t="shared" si="12"/>
        <v>0.40654073745655517</v>
      </c>
      <c r="AI25" s="34">
        <f t="shared" si="13"/>
        <v>0.5909388024436725</v>
      </c>
      <c r="AJ25" s="4">
        <v>22.06996894931352</v>
      </c>
      <c r="AK25" s="32">
        <f t="shared" si="14"/>
        <v>0.40654073745655517</v>
      </c>
      <c r="AL25" s="34">
        <f t="shared" si="15"/>
        <v>-999</v>
      </c>
      <c r="AY25" s="103" t="s">
        <v>257</v>
      </c>
      <c r="AZ25" s="103" t="s">
        <v>258</v>
      </c>
      <c r="BA25" s="103" t="s">
        <v>559</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29</v>
      </c>
      <c r="E26" s="38">
        <f>IF(LEFT(VLOOKUP($B26,'Indicator chart'!$D$1:$J$36,5,FALSE),1)=" "," ",VLOOKUP($B26,'Indicator chart'!$D$1:$J$36,5,FALSE))</f>
        <v>349.9034749034749</v>
      </c>
      <c r="F26" s="38">
        <f>IF(LEFT(VLOOKUP($B26,'Indicator chart'!$D$1:$J$36,6,FALSE),1)=" "," ",VLOOKUP($B26,'Indicator chart'!$D$1:$J$36,6,FALSE))</f>
        <v>234.28555435891528</v>
      </c>
      <c r="G26" s="38">
        <f>IF(LEFT(VLOOKUP($B26,'Indicator chart'!$D$1:$J$36,7,FALSE),1)=" "," ",VLOOKUP($B26,'Indicator chart'!$D$1:$J$36,7,FALSE))</f>
        <v>502.54094220068873</v>
      </c>
      <c r="H26" s="50">
        <f t="shared" si="0"/>
        <v>2</v>
      </c>
      <c r="I26" s="38">
        <v>112.1823501586914</v>
      </c>
      <c r="J26" s="38">
        <v>314.4147644042969</v>
      </c>
      <c r="K26" s="38">
        <v>409.1228942871094</v>
      </c>
      <c r="L26" s="38">
        <v>513.83984375</v>
      </c>
      <c r="M26" s="38">
        <v>757.9585571289062</v>
      </c>
      <c r="N26" s="80">
        <f>VLOOKUP('Hide - Control'!B$3,'All practice data'!A:CA,A26+29,FALSE)</f>
        <v>418.6654397545198</v>
      </c>
      <c r="O26" s="80">
        <f>VLOOKUP('Hide - Control'!C$3,'All practice data'!A:CA,A26+29,FALSE)</f>
        <v>405.57105879375996</v>
      </c>
      <c r="P26" s="38">
        <f>VLOOKUP('Hide - Control'!$B$4,'All practice data'!B:BC,A26+2,FALSE)</f>
        <v>2284</v>
      </c>
      <c r="Q26" s="38">
        <f>VLOOKUP('Hide - Control'!$B$4,'All practice data'!B:BC,3,FALSE)</f>
        <v>545543</v>
      </c>
      <c r="R26" s="38">
        <f t="shared" si="21"/>
        <v>401.66946611854297</v>
      </c>
      <c r="S26" s="38">
        <f t="shared" si="22"/>
        <v>436.19570898162925</v>
      </c>
      <c r="T26" s="53">
        <f t="shared" si="19"/>
        <v>757.9585571289062</v>
      </c>
      <c r="U26" s="51">
        <f t="shared" si="20"/>
        <v>112.1823501586914</v>
      </c>
      <c r="V26" s="7"/>
      <c r="W26" s="27">
        <f t="shared" si="2"/>
        <v>60.2872314453125</v>
      </c>
      <c r="X26" s="27">
        <f t="shared" si="3"/>
        <v>757.9585571289062</v>
      </c>
      <c r="Y26" s="27">
        <f t="shared" si="4"/>
        <v>60.2872314453125</v>
      </c>
      <c r="Z26" s="27">
        <f t="shared" si="5"/>
        <v>757.9585571289062</v>
      </c>
      <c r="AA26" s="32">
        <f t="shared" si="6"/>
        <v>0.07438333324439116</v>
      </c>
      <c r="AB26" s="33">
        <f t="shared" si="7"/>
        <v>0.3642510787009694</v>
      </c>
      <c r="AC26" s="33">
        <v>0.5</v>
      </c>
      <c r="AD26" s="33">
        <f t="shared" si="8"/>
        <v>0.6500949596291443</v>
      </c>
      <c r="AE26" s="33">
        <f t="shared" si="9"/>
        <v>1</v>
      </c>
      <c r="AF26" s="33">
        <f t="shared" si="10"/>
        <v>-999</v>
      </c>
      <c r="AG26" s="33">
        <f t="shared" si="11"/>
        <v>0.4151184559210456</v>
      </c>
      <c r="AH26" s="33">
        <f t="shared" si="12"/>
        <v>-999</v>
      </c>
      <c r="AI26" s="34">
        <f t="shared" si="13"/>
        <v>0.4949090132235702</v>
      </c>
      <c r="AJ26" s="4">
        <v>23.145964374695435</v>
      </c>
      <c r="AK26" s="32">
        <f t="shared" si="14"/>
        <v>-999</v>
      </c>
      <c r="AL26" s="34">
        <f t="shared" si="15"/>
        <v>-999</v>
      </c>
      <c r="AY26" s="103" t="s">
        <v>120</v>
      </c>
      <c r="AZ26" s="103" t="s">
        <v>452</v>
      </c>
      <c r="BA26" s="103" t="s">
        <v>378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66</v>
      </c>
      <c r="E27" s="38">
        <f>IF(LEFT(VLOOKUP($B27,'Indicator chart'!$D$1:$J$36,5,FALSE),1)=" "," ",VLOOKUP($B27,'Indicator chart'!$D$1:$J$36,5,FALSE))</f>
        <v>796.3320463320464</v>
      </c>
      <c r="F27" s="38">
        <f>IF(LEFT(VLOOKUP($B27,'Indicator chart'!$D$1:$J$36,6,FALSE),1)=" "," ",VLOOKUP($B27,'Indicator chart'!$D$1:$J$36,6,FALSE))</f>
        <v>615.8510028861652</v>
      </c>
      <c r="G27" s="38">
        <f>IF(LEFT(VLOOKUP($B27,'Indicator chart'!$D$1:$J$36,7,FALSE),1)=" "," ",VLOOKUP($B27,'Indicator chart'!$D$1:$J$36,7,FALSE))</f>
        <v>1013.149402243474</v>
      </c>
      <c r="H27" s="50">
        <f t="shared" si="0"/>
        <v>2</v>
      </c>
      <c r="I27" s="38">
        <v>247.6780242919922</v>
      </c>
      <c r="J27" s="38">
        <v>654.3203125</v>
      </c>
      <c r="K27" s="38">
        <v>911.1864624023438</v>
      </c>
      <c r="L27" s="38">
        <v>1119.3802490234375</v>
      </c>
      <c r="M27" s="38">
        <v>2214.882568359375</v>
      </c>
      <c r="N27" s="80">
        <f>VLOOKUP('Hide - Control'!B$3,'All practice data'!A:CA,A27+29,FALSE)</f>
        <v>946.2132224224305</v>
      </c>
      <c r="O27" s="80">
        <f>VLOOKUP('Hide - Control'!C$3,'All practice data'!A:CA,A27+29,FALSE)</f>
        <v>1059.3522061277838</v>
      </c>
      <c r="P27" s="38">
        <f>VLOOKUP('Hide - Control'!$B$4,'All practice data'!B:BC,A27+2,FALSE)</f>
        <v>5162</v>
      </c>
      <c r="Q27" s="38">
        <f>VLOOKUP('Hide - Control'!$B$4,'All practice data'!B:BC,3,FALSE)</f>
        <v>545543</v>
      </c>
      <c r="R27" s="38">
        <f t="shared" si="21"/>
        <v>920.5743860999719</v>
      </c>
      <c r="S27" s="38">
        <f t="shared" si="22"/>
        <v>972.3851054273404</v>
      </c>
      <c r="T27" s="53">
        <f t="shared" si="19"/>
        <v>2214.882568359375</v>
      </c>
      <c r="U27" s="51">
        <f t="shared" si="20"/>
        <v>247.6780242919922</v>
      </c>
      <c r="V27" s="7"/>
      <c r="W27" s="27">
        <f t="shared" si="2"/>
        <v>-392.5096435546875</v>
      </c>
      <c r="X27" s="27">
        <f t="shared" si="3"/>
        <v>2214.882568359375</v>
      </c>
      <c r="Y27" s="27">
        <f t="shared" si="4"/>
        <v>-392.5096435546875</v>
      </c>
      <c r="Z27" s="27">
        <f t="shared" si="5"/>
        <v>2214.882568359375</v>
      </c>
      <c r="AA27" s="32">
        <f t="shared" si="6"/>
        <v>0.24552795123090584</v>
      </c>
      <c r="AB27" s="33">
        <f t="shared" si="7"/>
        <v>0.40148541952045613</v>
      </c>
      <c r="AC27" s="33">
        <v>0.5</v>
      </c>
      <c r="AD27" s="33">
        <f t="shared" si="8"/>
        <v>0.5798475141828626</v>
      </c>
      <c r="AE27" s="33">
        <f t="shared" si="9"/>
        <v>1</v>
      </c>
      <c r="AF27" s="33">
        <f t="shared" si="10"/>
        <v>-999</v>
      </c>
      <c r="AG27" s="33">
        <f t="shared" si="11"/>
        <v>0.4559504643967684</v>
      </c>
      <c r="AH27" s="33">
        <f t="shared" si="12"/>
        <v>-999</v>
      </c>
      <c r="AI27" s="34">
        <f t="shared" si="13"/>
        <v>0.5568252612891994</v>
      </c>
      <c r="AJ27" s="4">
        <v>24.221959800077364</v>
      </c>
      <c r="AK27" s="32">
        <f t="shared" si="14"/>
        <v>-999</v>
      </c>
      <c r="AL27" s="34">
        <f t="shared" si="15"/>
        <v>-999</v>
      </c>
      <c r="AY27" s="103" t="s">
        <v>115</v>
      </c>
      <c r="AZ27" s="103" t="s">
        <v>451</v>
      </c>
      <c r="BA27" s="103" t="s">
        <v>559</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27</v>
      </c>
      <c r="E28" s="38">
        <f>IF(LEFT(VLOOKUP($B28,'Indicator chart'!$D$1:$J$36,5,FALSE),1)=" "," ",VLOOKUP($B28,'Indicator chart'!$D$1:$J$36,5,FALSE))</f>
        <v>325.7722007722008</v>
      </c>
      <c r="F28" s="38">
        <f>IF(LEFT(VLOOKUP($B28,'Indicator chart'!$D$1:$J$36,6,FALSE),1)=" "," ",VLOOKUP($B28,'Indicator chart'!$D$1:$J$36,6,FALSE))</f>
        <v>214.63347941694826</v>
      </c>
      <c r="G28" s="38">
        <f>IF(LEFT(VLOOKUP($B28,'Indicator chart'!$D$1:$J$36,7,FALSE),1)=" "," ",VLOOKUP($B28,'Indicator chart'!$D$1:$J$36,7,FALSE))</f>
        <v>474.0026244302418</v>
      </c>
      <c r="H28" s="50">
        <f t="shared" si="0"/>
        <v>1</v>
      </c>
      <c r="I28" s="38">
        <v>155.9251708984375</v>
      </c>
      <c r="J28" s="38">
        <v>415.5188903808594</v>
      </c>
      <c r="K28" s="38">
        <v>571.9822387695312</v>
      </c>
      <c r="L28" s="38">
        <v>714.682861328125</v>
      </c>
      <c r="M28" s="38">
        <v>1780.875</v>
      </c>
      <c r="N28" s="80">
        <f>VLOOKUP('Hide - Control'!B$3,'All practice data'!A:CA,A28+29,FALSE)</f>
        <v>589.3210984285382</v>
      </c>
      <c r="O28" s="80">
        <f>VLOOKUP('Hide - Control'!C$3,'All practice data'!A:CA,A28+29,FALSE)</f>
        <v>582.9390489900089</v>
      </c>
      <c r="P28" s="38">
        <f>VLOOKUP('Hide - Control'!$B$4,'All practice data'!B:BC,A28+2,FALSE)</f>
        <v>3215</v>
      </c>
      <c r="Q28" s="38">
        <f>VLOOKUP('Hide - Control'!$B$4,'All practice data'!B:BC,3,FALSE)</f>
        <v>545543</v>
      </c>
      <c r="R28" s="38">
        <f>100000*(P28*(1-1/(9*P28)-1.96/(3*SQRT(P28)))^3)/Q28</f>
        <v>569.1239790905095</v>
      </c>
      <c r="S28" s="38">
        <f>100000*((P28+1)*(1-1/(9*(P28+1))+1.96/(3*SQRT(P28+1)))^3)/Q28</f>
        <v>610.0519277178965</v>
      </c>
      <c r="T28" s="53">
        <f t="shared" si="19"/>
        <v>1780.875</v>
      </c>
      <c r="U28" s="51">
        <f t="shared" si="20"/>
        <v>155.9251708984375</v>
      </c>
      <c r="V28" s="7"/>
      <c r="W28" s="27">
        <f t="shared" si="2"/>
        <v>-636.9105224609375</v>
      </c>
      <c r="X28" s="27">
        <f t="shared" si="3"/>
        <v>1780.875</v>
      </c>
      <c r="Y28" s="27">
        <f t="shared" si="4"/>
        <v>-636.9105224609375</v>
      </c>
      <c r="Z28" s="27">
        <f t="shared" si="5"/>
        <v>1780.875</v>
      </c>
      <c r="AA28" s="32">
        <f t="shared" si="6"/>
        <v>0.32791812424800565</v>
      </c>
      <c r="AB28" s="33">
        <f t="shared" si="7"/>
        <v>0.4352865062119257</v>
      </c>
      <c r="AC28" s="33">
        <v>0.5</v>
      </c>
      <c r="AD28" s="33">
        <f t="shared" si="8"/>
        <v>0.5590212081398132</v>
      </c>
      <c r="AE28" s="33">
        <f t="shared" si="9"/>
        <v>1</v>
      </c>
      <c r="AF28" s="33">
        <f t="shared" si="10"/>
        <v>-999</v>
      </c>
      <c r="AG28" s="33">
        <f t="shared" si="11"/>
        <v>-999</v>
      </c>
      <c r="AH28" s="33">
        <f t="shared" si="12"/>
        <v>0.3981671303305985</v>
      </c>
      <c r="AI28" s="34">
        <f t="shared" si="13"/>
        <v>0.5045317544168786</v>
      </c>
      <c r="AJ28" s="4">
        <v>25.297955225459287</v>
      </c>
      <c r="AK28" s="32">
        <f t="shared" si="14"/>
        <v>0.3981671303305985</v>
      </c>
      <c r="AL28" s="34">
        <f t="shared" si="15"/>
        <v>-999</v>
      </c>
      <c r="AY28" s="103" t="s">
        <v>241</v>
      </c>
      <c r="AZ28" s="103" t="s">
        <v>242</v>
      </c>
      <c r="BA28" s="103" t="s">
        <v>559</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454</v>
      </c>
      <c r="BA29" s="103" t="s">
        <v>378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378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475</v>
      </c>
      <c r="BA31" s="103" t="s">
        <v>378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434</v>
      </c>
      <c r="BA32" s="103" t="s">
        <v>378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499</v>
      </c>
      <c r="BA33" s="103" t="s">
        <v>559</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378</v>
      </c>
      <c r="BB34" s="10">
        <v>532801</v>
      </c>
      <c r="BE34" s="77"/>
      <c r="BF34" s="253"/>
    </row>
    <row r="35" spans="2:58" ht="12.75">
      <c r="B35" s="17" t="s">
        <v>41</v>
      </c>
      <c r="C35" s="18"/>
      <c r="H35" s="290" t="s">
        <v>670</v>
      </c>
      <c r="I35" s="291"/>
      <c r="Y35" s="43"/>
      <c r="Z35" s="44"/>
      <c r="AA35" s="44"/>
      <c r="AB35" s="43"/>
      <c r="AC35" s="43"/>
      <c r="AY35" s="103" t="s">
        <v>159</v>
      </c>
      <c r="AZ35" s="103" t="s">
        <v>467</v>
      </c>
      <c r="BA35" s="103" t="s">
        <v>378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456</v>
      </c>
      <c r="BA36" s="103" t="s">
        <v>378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473</v>
      </c>
      <c r="BA37" s="103" t="s">
        <v>378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378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378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378</v>
      </c>
      <c r="BB40" s="10">
        <v>714731</v>
      </c>
      <c r="BF40" s="252"/>
    </row>
    <row r="41" spans="1:58" ht="12.75">
      <c r="A41" s="3"/>
      <c r="B41" s="71"/>
      <c r="C41" s="3"/>
      <c r="T41" s="13"/>
      <c r="U41" s="2"/>
      <c r="W41" s="2"/>
      <c r="X41" s="10"/>
      <c r="Y41" s="44"/>
      <c r="Z41" s="44"/>
      <c r="AA41" s="44"/>
      <c r="AB41" s="44"/>
      <c r="AC41" s="44"/>
      <c r="AD41" s="2"/>
      <c r="AE41" s="2"/>
      <c r="AY41" s="103" t="s">
        <v>272</v>
      </c>
      <c r="AZ41" s="103" t="s">
        <v>500</v>
      </c>
      <c r="BA41" s="103" t="s">
        <v>559</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378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497</v>
      </c>
      <c r="BA43" s="103" t="s">
        <v>378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485</v>
      </c>
      <c r="BA44" s="103" t="s">
        <v>378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378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476</v>
      </c>
      <c r="BA46" s="103" t="s">
        <v>559</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378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480</v>
      </c>
      <c r="BA48" s="103" t="s">
        <v>559</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491</v>
      </c>
      <c r="BA49" s="103" t="s">
        <v>559</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378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457</v>
      </c>
      <c r="BA51" s="103" t="s">
        <v>378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378</v>
      </c>
      <c r="BB52" s="10">
        <v>611636</v>
      </c>
      <c r="BF52" s="252"/>
    </row>
    <row r="53" spans="1:58" ht="12.75">
      <c r="A53" s="3"/>
      <c r="B53" s="12"/>
      <c r="C53" s="3"/>
      <c r="I53" s="11"/>
      <c r="J53" s="11"/>
      <c r="K53" s="11"/>
      <c r="L53" s="11"/>
      <c r="S53" s="11"/>
      <c r="U53" s="2"/>
      <c r="X53" s="2"/>
      <c r="Y53" s="2"/>
      <c r="Z53" s="2"/>
      <c r="AA53" s="2"/>
      <c r="AB53" s="2"/>
      <c r="AY53" s="103" t="s">
        <v>244</v>
      </c>
      <c r="AZ53" s="103" t="s">
        <v>490</v>
      </c>
      <c r="BA53" s="103" t="s">
        <v>378</v>
      </c>
      <c r="BB53" s="10">
        <v>230998</v>
      </c>
      <c r="BF53" s="252"/>
    </row>
    <row r="54" spans="1:58" ht="12.75">
      <c r="A54" s="3"/>
      <c r="B54" s="12"/>
      <c r="C54" s="3"/>
      <c r="I54" s="11"/>
      <c r="J54" s="11"/>
      <c r="K54" s="11"/>
      <c r="L54" s="11"/>
      <c r="S54" s="11"/>
      <c r="U54" s="2"/>
      <c r="X54" s="2"/>
      <c r="Y54" s="2"/>
      <c r="Z54" s="2"/>
      <c r="AA54" s="2"/>
      <c r="AB54" s="2"/>
      <c r="AY54" s="103" t="s">
        <v>67</v>
      </c>
      <c r="AZ54" s="103" t="s">
        <v>431</v>
      </c>
      <c r="BA54" s="103" t="s">
        <v>378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477</v>
      </c>
      <c r="BA55" s="103" t="s">
        <v>378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447</v>
      </c>
      <c r="BA56" s="103" t="s">
        <v>378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492</v>
      </c>
      <c r="BA57" s="103" t="s">
        <v>378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437</v>
      </c>
      <c r="BA58" s="103" t="s">
        <v>378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378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378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481</v>
      </c>
      <c r="BA61" s="103" t="s">
        <v>559</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559</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470</v>
      </c>
      <c r="BA63" s="103" t="s">
        <v>378</v>
      </c>
      <c r="BB63" s="10">
        <v>318405</v>
      </c>
      <c r="BE63" s="70"/>
      <c r="BF63" s="239"/>
    </row>
    <row r="64" spans="1:58" ht="12.75">
      <c r="A64" s="3"/>
      <c r="B64" s="12"/>
      <c r="C64" s="3"/>
      <c r="I64" s="11"/>
      <c r="V64" s="3"/>
      <c r="AY64" s="103" t="s">
        <v>78</v>
      </c>
      <c r="AZ64" s="103" t="s">
        <v>438</v>
      </c>
      <c r="BA64" s="103" t="s">
        <v>559</v>
      </c>
      <c r="BB64" s="10">
        <v>181285</v>
      </c>
      <c r="BE64" s="70"/>
      <c r="BF64" s="241"/>
    </row>
    <row r="65" spans="1:58" ht="12.75">
      <c r="A65" s="3"/>
      <c r="B65" s="12"/>
      <c r="C65" s="3"/>
      <c r="AY65" s="103" t="s">
        <v>548</v>
      </c>
      <c r="AZ65" s="103" t="s">
        <v>549</v>
      </c>
      <c r="BA65" s="103" t="s">
        <v>378</v>
      </c>
      <c r="BB65" s="10">
        <v>1169302</v>
      </c>
      <c r="BE65" s="70"/>
      <c r="BF65" s="241"/>
    </row>
    <row r="66" spans="1:58" ht="12.75">
      <c r="A66" s="3"/>
      <c r="B66" s="12"/>
      <c r="C66" s="3"/>
      <c r="E66" s="2"/>
      <c r="F66" s="2"/>
      <c r="G66" s="2"/>
      <c r="V66" s="2"/>
      <c r="AY66" s="103" t="s">
        <v>200</v>
      </c>
      <c r="AZ66" s="103" t="s">
        <v>478</v>
      </c>
      <c r="BA66" s="103" t="s">
        <v>378</v>
      </c>
      <c r="BB66" s="10">
        <v>217916</v>
      </c>
      <c r="BE66" s="70"/>
      <c r="BF66" s="239"/>
    </row>
    <row r="67" spans="1:58" ht="12.75">
      <c r="A67" s="3"/>
      <c r="B67" s="12"/>
      <c r="C67" s="3"/>
      <c r="AY67" s="103" t="s">
        <v>69</v>
      </c>
      <c r="AZ67" s="103" t="s">
        <v>70</v>
      </c>
      <c r="BA67" s="103" t="s">
        <v>378</v>
      </c>
      <c r="BB67" s="10">
        <v>270842</v>
      </c>
      <c r="BE67" s="70"/>
      <c r="BF67" s="239"/>
    </row>
    <row r="68" spans="1:58" ht="12.75">
      <c r="A68" s="3"/>
      <c r="B68" s="12"/>
      <c r="C68" s="3"/>
      <c r="AY68" s="103" t="s">
        <v>109</v>
      </c>
      <c r="AZ68" s="103" t="s">
        <v>110</v>
      </c>
      <c r="BA68" s="103" t="s">
        <v>378</v>
      </c>
      <c r="BB68" s="10">
        <v>251613</v>
      </c>
      <c r="BF68" s="252"/>
    </row>
    <row r="69" spans="1:58" ht="12.75">
      <c r="A69" s="3"/>
      <c r="B69" s="12"/>
      <c r="C69" s="3"/>
      <c r="AY69" s="103" t="s">
        <v>209</v>
      </c>
      <c r="AZ69" s="103" t="s">
        <v>210</v>
      </c>
      <c r="BA69" s="103" t="s">
        <v>378</v>
      </c>
      <c r="BB69" s="10">
        <v>283547</v>
      </c>
      <c r="BE69" s="70"/>
      <c r="BF69" s="241"/>
    </row>
    <row r="70" spans="1:58" ht="12.75">
      <c r="A70" s="3"/>
      <c r="B70" s="12"/>
      <c r="C70" s="3"/>
      <c r="AY70" s="103" t="s">
        <v>275</v>
      </c>
      <c r="AZ70" s="103" t="s">
        <v>501</v>
      </c>
      <c r="BA70" s="103" t="s">
        <v>558</v>
      </c>
      <c r="BB70" s="10">
        <v>141474</v>
      </c>
      <c r="BE70" s="70"/>
      <c r="BF70" s="239"/>
    </row>
    <row r="71" spans="1:58" ht="12.75">
      <c r="A71" s="3"/>
      <c r="B71" s="12"/>
      <c r="C71" s="3"/>
      <c r="AY71" s="103" t="s">
        <v>127</v>
      </c>
      <c r="AZ71" s="103" t="s">
        <v>455</v>
      </c>
      <c r="BA71" s="103" t="s">
        <v>378</v>
      </c>
      <c r="BB71" s="10">
        <v>213326</v>
      </c>
      <c r="BE71" s="70"/>
      <c r="BF71" s="239"/>
    </row>
    <row r="72" spans="1:58" ht="12.75">
      <c r="A72" s="3"/>
      <c r="B72" s="12"/>
      <c r="C72" s="3"/>
      <c r="AY72" s="103" t="s">
        <v>136</v>
      </c>
      <c r="AZ72" s="103" t="s">
        <v>137</v>
      </c>
      <c r="BA72" s="103" t="s">
        <v>378</v>
      </c>
      <c r="BB72" s="10">
        <v>183220</v>
      </c>
      <c r="BE72" s="250"/>
      <c r="BF72" s="239"/>
    </row>
    <row r="73" spans="1:58" ht="12.75">
      <c r="A73" s="3"/>
      <c r="B73" s="12"/>
      <c r="C73" s="3"/>
      <c r="AY73" s="103" t="s">
        <v>64</v>
      </c>
      <c r="AZ73" s="103" t="s">
        <v>430</v>
      </c>
      <c r="BA73" s="103" t="s">
        <v>378</v>
      </c>
      <c r="BB73" s="10">
        <v>190143</v>
      </c>
      <c r="BE73" s="70"/>
      <c r="BF73" s="239"/>
    </row>
    <row r="74" spans="1:58" ht="12.75">
      <c r="A74" s="3"/>
      <c r="B74" s="12"/>
      <c r="C74" s="3"/>
      <c r="AY74" s="103" t="s">
        <v>165</v>
      </c>
      <c r="AZ74" s="103" t="s">
        <v>166</v>
      </c>
      <c r="BA74" s="103" t="s">
        <v>559</v>
      </c>
      <c r="BB74" s="10">
        <v>419928</v>
      </c>
      <c r="BE74" s="70"/>
      <c r="BF74" s="241"/>
    </row>
    <row r="75" spans="1:58" ht="12.75">
      <c r="A75" s="3"/>
      <c r="B75" s="12"/>
      <c r="C75" s="3"/>
      <c r="AY75" s="103" t="s">
        <v>113</v>
      </c>
      <c r="AZ75" s="103" t="s">
        <v>449</v>
      </c>
      <c r="BA75" s="103" t="s">
        <v>378</v>
      </c>
      <c r="BB75" s="10">
        <v>158106</v>
      </c>
      <c r="BE75" s="70"/>
      <c r="BF75" s="241"/>
    </row>
    <row r="76" spans="1:58" ht="12.75">
      <c r="A76" s="3"/>
      <c r="B76" s="12"/>
      <c r="C76" s="3"/>
      <c r="AY76" s="103" t="s">
        <v>140</v>
      </c>
      <c r="AZ76" s="103" t="s">
        <v>141</v>
      </c>
      <c r="BA76" s="103" t="s">
        <v>378</v>
      </c>
      <c r="BB76" s="10">
        <v>377807</v>
      </c>
      <c r="BE76" s="70"/>
      <c r="BF76" s="241"/>
    </row>
    <row r="77" spans="1:58" ht="12.75">
      <c r="A77" s="3"/>
      <c r="B77" s="12"/>
      <c r="C77" s="3"/>
      <c r="AY77" s="103" t="s">
        <v>163</v>
      </c>
      <c r="AZ77" s="103" t="s">
        <v>164</v>
      </c>
      <c r="BA77" s="103" t="s">
        <v>559</v>
      </c>
      <c r="BB77" s="10">
        <v>799634</v>
      </c>
      <c r="BE77" s="70"/>
      <c r="BF77" s="249"/>
    </row>
    <row r="78" spans="1:58" ht="12.75">
      <c r="A78" s="3"/>
      <c r="B78" s="12"/>
      <c r="C78" s="3"/>
      <c r="AY78" s="103" t="s">
        <v>224</v>
      </c>
      <c r="AZ78" s="103" t="s">
        <v>225</v>
      </c>
      <c r="BA78" s="103" t="s">
        <v>378</v>
      </c>
      <c r="BB78" s="10">
        <v>362638</v>
      </c>
      <c r="BE78" s="70"/>
      <c r="BF78" s="239"/>
    </row>
    <row r="79" spans="1:58" ht="12.75">
      <c r="A79" s="3"/>
      <c r="B79" s="12"/>
      <c r="C79" s="3"/>
      <c r="AY79" s="103" t="s">
        <v>223</v>
      </c>
      <c r="AZ79" s="103" t="s">
        <v>483</v>
      </c>
      <c r="BA79" s="103" t="s">
        <v>378</v>
      </c>
      <c r="BB79" s="10">
        <v>678998</v>
      </c>
      <c r="BF79" s="239"/>
    </row>
    <row r="80" spans="1:58" ht="12.75">
      <c r="A80" s="3"/>
      <c r="B80" s="12"/>
      <c r="C80" s="3"/>
      <c r="AY80" s="103" t="s">
        <v>144</v>
      </c>
      <c r="AZ80" s="103" t="s">
        <v>145</v>
      </c>
      <c r="BA80" s="103" t="s">
        <v>378</v>
      </c>
      <c r="BB80" s="10">
        <v>290986</v>
      </c>
      <c r="BF80" s="252"/>
    </row>
    <row r="81" spans="1:58" ht="12.75">
      <c r="A81" s="3"/>
      <c r="B81" s="12"/>
      <c r="C81" s="3"/>
      <c r="AY81" s="103" t="s">
        <v>178</v>
      </c>
      <c r="AZ81" s="103" t="s">
        <v>472</v>
      </c>
      <c r="BA81" s="103" t="s">
        <v>559</v>
      </c>
      <c r="BB81" s="10">
        <v>747976</v>
      </c>
      <c r="BF81" s="252"/>
    </row>
    <row r="82" spans="1:58" ht="12.75">
      <c r="A82" s="3"/>
      <c r="B82" s="12"/>
      <c r="C82" s="3"/>
      <c r="AY82" s="103" t="s">
        <v>193</v>
      </c>
      <c r="AZ82" s="103" t="s">
        <v>194</v>
      </c>
      <c r="BA82" s="103" t="s">
        <v>378</v>
      </c>
      <c r="BB82" s="10">
        <v>489140</v>
      </c>
      <c r="BF82" s="252"/>
    </row>
    <row r="83" spans="1:58" ht="12.75">
      <c r="A83" s="3"/>
      <c r="B83" s="12"/>
      <c r="C83" s="3"/>
      <c r="AY83" s="103" t="s">
        <v>98</v>
      </c>
      <c r="AZ83" s="103" t="s">
        <v>446</v>
      </c>
      <c r="BA83" s="103" t="s">
        <v>559</v>
      </c>
      <c r="BB83" s="10">
        <v>208442</v>
      </c>
      <c r="BE83" s="70"/>
      <c r="BF83" s="241"/>
    </row>
    <row r="84" spans="1:58" ht="12.75">
      <c r="A84" s="3"/>
      <c r="B84" s="12"/>
      <c r="C84" s="3"/>
      <c r="AY84" s="103" t="s">
        <v>203</v>
      </c>
      <c r="AZ84" s="103" t="s">
        <v>204</v>
      </c>
      <c r="BA84" s="103" t="s">
        <v>559</v>
      </c>
      <c r="BB84" s="10">
        <v>545543</v>
      </c>
      <c r="BE84" s="70"/>
      <c r="BF84" s="241"/>
    </row>
    <row r="85" spans="1:58" ht="12.75">
      <c r="A85" s="3"/>
      <c r="B85" s="12"/>
      <c r="C85" s="3"/>
      <c r="AY85" s="103" t="s">
        <v>135</v>
      </c>
      <c r="AZ85" s="103" t="s">
        <v>461</v>
      </c>
      <c r="BA85" s="103" t="s">
        <v>559</v>
      </c>
      <c r="BB85" s="10">
        <v>274067</v>
      </c>
      <c r="BE85" s="70"/>
      <c r="BF85" s="241"/>
    </row>
    <row r="86" spans="1:58" ht="12.75">
      <c r="A86" s="3"/>
      <c r="B86" s="12"/>
      <c r="C86" s="3"/>
      <c r="AY86" s="103" t="s">
        <v>251</v>
      </c>
      <c r="AZ86" s="103" t="s">
        <v>252</v>
      </c>
      <c r="BA86" s="103" t="s">
        <v>559</v>
      </c>
      <c r="BB86" s="10">
        <v>374861</v>
      </c>
      <c r="BE86" s="70"/>
      <c r="BF86" s="249"/>
    </row>
    <row r="87" spans="1:58" ht="12.75">
      <c r="A87" s="3"/>
      <c r="B87" s="12"/>
      <c r="C87" s="3"/>
      <c r="AY87" s="103" t="s">
        <v>132</v>
      </c>
      <c r="AZ87" s="103" t="s">
        <v>133</v>
      </c>
      <c r="BA87" s="103" t="s">
        <v>378</v>
      </c>
      <c r="BB87" s="10">
        <v>153833</v>
      </c>
      <c r="BE87" s="70"/>
      <c r="BF87" s="249"/>
    </row>
    <row r="88" spans="1:58" ht="12.75">
      <c r="A88" s="3"/>
      <c r="B88" s="12"/>
      <c r="C88" s="3"/>
      <c r="AY88" s="103" t="s">
        <v>79</v>
      </c>
      <c r="AZ88" s="103" t="s">
        <v>80</v>
      </c>
      <c r="BA88" s="103" t="s">
        <v>559</v>
      </c>
      <c r="BB88" s="10">
        <v>258492</v>
      </c>
      <c r="BE88" s="70"/>
      <c r="BF88" s="241"/>
    </row>
    <row r="89" spans="1:58" ht="12.75">
      <c r="A89" s="3"/>
      <c r="B89" s="12"/>
      <c r="C89" s="3"/>
      <c r="AY89" s="103" t="s">
        <v>81</v>
      </c>
      <c r="AZ89" s="103" t="s">
        <v>439</v>
      </c>
      <c r="BA89" s="103" t="s">
        <v>378</v>
      </c>
      <c r="BB89" s="10">
        <v>283085</v>
      </c>
      <c r="BE89" s="70"/>
      <c r="BF89" s="241"/>
    </row>
    <row r="90" spans="1:58" ht="12.75">
      <c r="A90" s="3"/>
      <c r="B90" s="12"/>
      <c r="C90" s="3"/>
      <c r="AY90" s="103" t="s">
        <v>76</v>
      </c>
      <c r="AZ90" s="103" t="s">
        <v>436</v>
      </c>
      <c r="BA90" s="103" t="s">
        <v>378</v>
      </c>
      <c r="BB90" s="10">
        <v>357346</v>
      </c>
      <c r="BE90" s="70"/>
      <c r="BF90" s="241"/>
    </row>
    <row r="91" spans="1:58" ht="12.75">
      <c r="A91" s="3"/>
      <c r="B91" s="12"/>
      <c r="C91" s="3"/>
      <c r="AY91" s="103" t="s">
        <v>243</v>
      </c>
      <c r="AZ91" s="103" t="s">
        <v>489</v>
      </c>
      <c r="BA91" s="103" t="s">
        <v>559</v>
      </c>
      <c r="BB91" s="10">
        <v>748575</v>
      </c>
      <c r="BE91" s="247"/>
      <c r="BF91" s="249"/>
    </row>
    <row r="92" spans="1:58" ht="12.75">
      <c r="A92" s="3"/>
      <c r="B92" s="12"/>
      <c r="C92" s="3"/>
      <c r="AY92" s="103" t="s">
        <v>249</v>
      </c>
      <c r="AZ92" s="103" t="s">
        <v>250</v>
      </c>
      <c r="BA92" s="103" t="s">
        <v>559</v>
      </c>
      <c r="BB92" s="10">
        <v>322673</v>
      </c>
      <c r="BE92" s="247"/>
      <c r="BF92" s="249"/>
    </row>
    <row r="93" spans="1:58" ht="12.75">
      <c r="A93" s="3"/>
      <c r="B93" s="12"/>
      <c r="C93" s="3"/>
      <c r="AY93" s="103" t="s">
        <v>58</v>
      </c>
      <c r="AZ93" s="103" t="s">
        <v>59</v>
      </c>
      <c r="BA93" s="103" t="s">
        <v>378</v>
      </c>
      <c r="BB93" s="10">
        <v>165284</v>
      </c>
      <c r="BF93" s="252"/>
    </row>
    <row r="94" spans="1:58" ht="12.75">
      <c r="A94" s="3"/>
      <c r="B94" s="12"/>
      <c r="C94" s="3"/>
      <c r="AY94" s="103" t="s">
        <v>186</v>
      </c>
      <c r="AZ94" s="103" t="s">
        <v>474</v>
      </c>
      <c r="BA94" s="103" t="s">
        <v>378</v>
      </c>
      <c r="BB94" s="10">
        <v>339272</v>
      </c>
      <c r="BE94" s="70"/>
      <c r="BF94" s="241"/>
    </row>
    <row r="95" spans="1:58" ht="12.75">
      <c r="A95" s="3"/>
      <c r="B95" s="12"/>
      <c r="C95" s="3"/>
      <c r="AY95" s="103" t="s">
        <v>86</v>
      </c>
      <c r="AZ95" s="103" t="s">
        <v>87</v>
      </c>
      <c r="BA95" s="103" t="s">
        <v>378</v>
      </c>
      <c r="BB95" s="10">
        <v>165642</v>
      </c>
      <c r="BE95" s="247"/>
      <c r="BF95" s="249"/>
    </row>
    <row r="96" spans="1:58" ht="12.75">
      <c r="A96" s="3"/>
      <c r="B96" s="12"/>
      <c r="C96" s="3"/>
      <c r="AY96" s="103" t="s">
        <v>157</v>
      </c>
      <c r="AZ96" s="103" t="s">
        <v>158</v>
      </c>
      <c r="BA96" s="103" t="s">
        <v>378</v>
      </c>
      <c r="BB96" s="10">
        <v>208351</v>
      </c>
      <c r="BE96" s="243"/>
      <c r="BF96" s="238"/>
    </row>
    <row r="97" spans="1:58" ht="12.75">
      <c r="A97" s="3"/>
      <c r="B97" s="12"/>
      <c r="C97" s="3"/>
      <c r="AY97" s="103" t="s">
        <v>231</v>
      </c>
      <c r="AZ97" s="103" t="s">
        <v>232</v>
      </c>
      <c r="BA97" s="103" t="s">
        <v>378</v>
      </c>
      <c r="BB97" s="10">
        <v>203178</v>
      </c>
      <c r="BE97" s="243"/>
      <c r="BF97" s="238"/>
    </row>
    <row r="98" spans="1:58" ht="12.75">
      <c r="A98" s="3"/>
      <c r="B98" s="12"/>
      <c r="C98" s="3"/>
      <c r="AY98" s="103" t="s">
        <v>82</v>
      </c>
      <c r="AZ98" s="103" t="s">
        <v>440</v>
      </c>
      <c r="BA98" s="103" t="s">
        <v>378</v>
      </c>
      <c r="BB98" s="10">
        <v>214052</v>
      </c>
      <c r="BE98" s="248"/>
      <c r="BF98" s="241"/>
    </row>
    <row r="99" spans="1:58" ht="12.75">
      <c r="A99" s="3"/>
      <c r="B99" s="12"/>
      <c r="C99" s="3"/>
      <c r="AY99" s="103" t="s">
        <v>205</v>
      </c>
      <c r="AZ99" s="103" t="s">
        <v>206</v>
      </c>
      <c r="BA99" s="103" t="s">
        <v>559</v>
      </c>
      <c r="BB99" s="10">
        <v>795503</v>
      </c>
      <c r="BE99" s="70"/>
      <c r="BF99" s="249"/>
    </row>
    <row r="100" spans="1:58" ht="12.75">
      <c r="A100" s="3"/>
      <c r="B100" s="12"/>
      <c r="C100" s="3"/>
      <c r="AY100" s="103" t="s">
        <v>226</v>
      </c>
      <c r="AZ100" s="103" t="s">
        <v>484</v>
      </c>
      <c r="BA100" s="103" t="s">
        <v>378</v>
      </c>
      <c r="BB100" s="10">
        <v>648340</v>
      </c>
      <c r="BE100" s="70"/>
      <c r="BF100" s="249"/>
    </row>
    <row r="101" spans="51:58" ht="12.75">
      <c r="AY101" s="103" t="s">
        <v>51</v>
      </c>
      <c r="AZ101" s="103" t="s">
        <v>52</v>
      </c>
      <c r="BA101" s="103" t="s">
        <v>378</v>
      </c>
      <c r="BB101" s="10">
        <v>320818</v>
      </c>
      <c r="BE101" s="237"/>
      <c r="BF101" s="238"/>
    </row>
    <row r="102" spans="51:58" ht="12.75">
      <c r="AY102" s="103" t="s">
        <v>88</v>
      </c>
      <c r="AZ102" s="103" t="s">
        <v>89</v>
      </c>
      <c r="BA102" s="103" t="s">
        <v>378</v>
      </c>
      <c r="BB102" s="10">
        <v>339920</v>
      </c>
      <c r="BE102" s="237"/>
      <c r="BF102" s="238"/>
    </row>
    <row r="103" spans="51:58" ht="12.75">
      <c r="AY103" s="103" t="s">
        <v>177</v>
      </c>
      <c r="AZ103" s="103" t="s">
        <v>471</v>
      </c>
      <c r="BA103" s="103" t="s">
        <v>378</v>
      </c>
      <c r="BB103" s="10">
        <v>656875</v>
      </c>
      <c r="BE103" s="70"/>
      <c r="BF103" s="239"/>
    </row>
    <row r="104" spans="51:58" ht="12.75">
      <c r="AY104" s="103" t="s">
        <v>114</v>
      </c>
      <c r="AZ104" s="103" t="s">
        <v>450</v>
      </c>
      <c r="BA104" s="103" t="s">
        <v>378</v>
      </c>
      <c r="BB104" s="10">
        <v>236592</v>
      </c>
      <c r="BF104" s="252"/>
    </row>
    <row r="105" spans="51:58" ht="12.75">
      <c r="AY105" s="103" t="s">
        <v>259</v>
      </c>
      <c r="AZ105" s="103" t="s">
        <v>493</v>
      </c>
      <c r="BA105" s="103" t="s">
        <v>559</v>
      </c>
      <c r="BB105" s="10">
        <v>671572</v>
      </c>
      <c r="BE105" s="237"/>
      <c r="BF105" s="238"/>
    </row>
    <row r="106" spans="51:58" ht="12.75">
      <c r="AY106" s="103" t="s">
        <v>239</v>
      </c>
      <c r="AZ106" s="103" t="s">
        <v>240</v>
      </c>
      <c r="BA106" s="103" t="s">
        <v>559</v>
      </c>
      <c r="BB106" s="10">
        <v>177882</v>
      </c>
      <c r="BF106" s="252"/>
    </row>
    <row r="107" spans="51:58" ht="12.75">
      <c r="AY107" s="103" t="s">
        <v>91</v>
      </c>
      <c r="AZ107" s="103" t="s">
        <v>443</v>
      </c>
      <c r="BA107" s="103" t="s">
        <v>378</v>
      </c>
      <c r="BB107" s="10">
        <v>274443</v>
      </c>
      <c r="BF107" s="252"/>
    </row>
    <row r="108" spans="51:58" ht="12.75">
      <c r="AY108" s="103" t="s">
        <v>95</v>
      </c>
      <c r="AZ108" s="103" t="s">
        <v>445</v>
      </c>
      <c r="BA108" s="103" t="s">
        <v>378</v>
      </c>
      <c r="BB108" s="10">
        <v>213174</v>
      </c>
      <c r="BE108" s="70"/>
      <c r="BF108" s="239"/>
    </row>
    <row r="109" spans="51:58" ht="12.75">
      <c r="AY109" s="103" t="s">
        <v>179</v>
      </c>
      <c r="AZ109" s="103" t="s">
        <v>180</v>
      </c>
      <c r="BA109" s="103" t="s">
        <v>378</v>
      </c>
      <c r="BB109" s="10">
        <v>278950</v>
      </c>
      <c r="BE109" s="237"/>
      <c r="BF109" s="238"/>
    </row>
    <row r="110" spans="51:58" ht="12.75">
      <c r="AY110" s="103" t="s">
        <v>273</v>
      </c>
      <c r="AZ110" s="103" t="s">
        <v>274</v>
      </c>
      <c r="BA110" s="103" t="s">
        <v>378</v>
      </c>
      <c r="BB110" s="10">
        <v>133304</v>
      </c>
      <c r="BE110" s="70"/>
      <c r="BF110" s="249"/>
    </row>
    <row r="111" spans="51:58" ht="12.75">
      <c r="AY111" s="103" t="s">
        <v>155</v>
      </c>
      <c r="AZ111" s="103" t="s">
        <v>465</v>
      </c>
      <c r="BA111" s="103" t="s">
        <v>378</v>
      </c>
      <c r="BB111" s="10">
        <v>197060</v>
      </c>
      <c r="BE111" s="70"/>
      <c r="BF111" s="239"/>
    </row>
    <row r="112" spans="51:58" ht="12.75">
      <c r="AY112" s="103" t="s">
        <v>100</v>
      </c>
      <c r="AZ112" s="103" t="s">
        <v>101</v>
      </c>
      <c r="BA112" s="103" t="s">
        <v>378</v>
      </c>
      <c r="BB112" s="10">
        <v>253140</v>
      </c>
      <c r="BE112" s="250"/>
      <c r="BF112" s="249"/>
    </row>
    <row r="113" spans="51:58" ht="12.75">
      <c r="AY113" s="103" t="s">
        <v>92</v>
      </c>
      <c r="AZ113" s="103" t="s">
        <v>93</v>
      </c>
      <c r="BA113" s="103" t="s">
        <v>378</v>
      </c>
      <c r="BB113" s="10">
        <v>240983</v>
      </c>
      <c r="BE113" s="70"/>
      <c r="BF113" s="241"/>
    </row>
    <row r="114" spans="51:58" ht="12.75">
      <c r="AY114" s="103" t="s">
        <v>228</v>
      </c>
      <c r="AZ114" s="103" t="s">
        <v>486</v>
      </c>
      <c r="BA114" s="103" t="s">
        <v>378</v>
      </c>
      <c r="BB114" s="10">
        <v>340451</v>
      </c>
      <c r="BF114" s="241"/>
    </row>
    <row r="115" spans="51:58" ht="12.75">
      <c r="AY115" s="103" t="s">
        <v>189</v>
      </c>
      <c r="AZ115" s="103" t="s">
        <v>190</v>
      </c>
      <c r="BA115" s="103" t="s">
        <v>378</v>
      </c>
      <c r="BB115" s="10">
        <v>280673</v>
      </c>
      <c r="BE115" s="248"/>
      <c r="BF115" s="241"/>
    </row>
    <row r="116" spans="51:58" ht="12.75">
      <c r="AY116" s="103" t="s">
        <v>169</v>
      </c>
      <c r="AZ116" s="103" t="s">
        <v>170</v>
      </c>
      <c r="BA116" s="103" t="s">
        <v>378</v>
      </c>
      <c r="BB116" s="10">
        <v>565874</v>
      </c>
      <c r="BE116" s="70"/>
      <c r="BF116" s="239"/>
    </row>
    <row r="117" spans="51:58" ht="12.75">
      <c r="AY117" s="103" t="s">
        <v>152</v>
      </c>
      <c r="AZ117" s="103" t="s">
        <v>464</v>
      </c>
      <c r="BA117" s="103" t="s">
        <v>559</v>
      </c>
      <c r="BB117" s="10">
        <v>295379</v>
      </c>
      <c r="BE117" s="237"/>
      <c r="BF117" s="238"/>
    </row>
    <row r="118" spans="51:58" ht="12.75">
      <c r="AY118" s="103" t="s">
        <v>56</v>
      </c>
      <c r="AZ118" s="103" t="s">
        <v>57</v>
      </c>
      <c r="BA118" s="103" t="s">
        <v>378</v>
      </c>
      <c r="BB118" s="10">
        <v>217094</v>
      </c>
      <c r="BE118" s="70"/>
      <c r="BF118" s="239"/>
    </row>
    <row r="119" spans="51:58" ht="12.75">
      <c r="AY119" s="103" t="s">
        <v>268</v>
      </c>
      <c r="AZ119" s="103" t="s">
        <v>496</v>
      </c>
      <c r="BA119" s="103" t="s">
        <v>378</v>
      </c>
      <c r="BB119" s="10">
        <v>538131</v>
      </c>
      <c r="BE119" s="70"/>
      <c r="BF119" s="239"/>
    </row>
    <row r="120" spans="51:58" ht="12.75">
      <c r="AY120" s="103" t="s">
        <v>150</v>
      </c>
      <c r="AZ120" s="103" t="s">
        <v>151</v>
      </c>
      <c r="BA120" s="103" t="s">
        <v>559</v>
      </c>
      <c r="BB120" s="10">
        <v>389725</v>
      </c>
      <c r="BE120" s="70"/>
      <c r="BF120" s="239"/>
    </row>
    <row r="121" spans="51:58" ht="12.75">
      <c r="AY121" s="103" t="s">
        <v>212</v>
      </c>
      <c r="AZ121" s="103" t="s">
        <v>213</v>
      </c>
      <c r="BA121" s="103" t="s">
        <v>559</v>
      </c>
      <c r="BB121" s="10">
        <v>356812</v>
      </c>
      <c r="BE121" s="237"/>
      <c r="BF121" s="238"/>
    </row>
    <row r="122" spans="51:58" ht="12.75">
      <c r="AY122" s="103" t="s">
        <v>60</v>
      </c>
      <c r="AZ122" s="103" t="s">
        <v>61</v>
      </c>
      <c r="BA122" s="103" t="s">
        <v>378</v>
      </c>
      <c r="BB122" s="10">
        <v>256321</v>
      </c>
      <c r="BE122" s="70"/>
      <c r="BF122" s="249"/>
    </row>
    <row r="123" spans="51:58" ht="12.75">
      <c r="AY123" s="103" t="s">
        <v>234</v>
      </c>
      <c r="AZ123" s="103" t="s">
        <v>488</v>
      </c>
      <c r="BA123" s="103" t="s">
        <v>559</v>
      </c>
      <c r="BB123" s="10">
        <v>615835</v>
      </c>
      <c r="BF123" s="252"/>
    </row>
    <row r="124" spans="51:58" ht="12.75">
      <c r="AY124" s="103" t="s">
        <v>130</v>
      </c>
      <c r="AZ124" s="103" t="s">
        <v>458</v>
      </c>
      <c r="BA124" s="103" t="s">
        <v>378</v>
      </c>
      <c r="BB124" s="10">
        <v>150179</v>
      </c>
      <c r="BF124" s="252"/>
    </row>
    <row r="125" spans="51:58" ht="12.75">
      <c r="AY125" s="103" t="s">
        <v>253</v>
      </c>
      <c r="AZ125" s="103" t="s">
        <v>254</v>
      </c>
      <c r="BA125" s="103" t="s">
        <v>378</v>
      </c>
      <c r="BB125" s="10">
        <v>420503</v>
      </c>
      <c r="BE125" s="70"/>
      <c r="BF125" s="249"/>
    </row>
    <row r="126" spans="51:58" ht="12.75">
      <c r="AY126" s="103" t="s">
        <v>134</v>
      </c>
      <c r="AZ126" s="103" t="s">
        <v>460</v>
      </c>
      <c r="BA126" s="103" t="s">
        <v>378</v>
      </c>
      <c r="BB126" s="10">
        <v>263936</v>
      </c>
      <c r="BE126" s="70"/>
      <c r="BF126" s="239"/>
    </row>
    <row r="127" spans="51:58" ht="12.75">
      <c r="AY127" s="103" t="s">
        <v>142</v>
      </c>
      <c r="AZ127" s="103" t="s">
        <v>143</v>
      </c>
      <c r="BA127" s="103" t="s">
        <v>378</v>
      </c>
      <c r="BB127" s="10">
        <v>308593</v>
      </c>
      <c r="BF127" s="252"/>
    </row>
    <row r="128" spans="51:58" ht="12.75">
      <c r="AY128" s="103" t="s">
        <v>94</v>
      </c>
      <c r="AZ128" s="103" t="s">
        <v>444</v>
      </c>
      <c r="BA128" s="103" t="s">
        <v>559</v>
      </c>
      <c r="BB128" s="10">
        <v>298190</v>
      </c>
      <c r="BE128" s="250"/>
      <c r="BF128" s="249"/>
    </row>
    <row r="129" spans="51:58" ht="12.75">
      <c r="AY129" s="103" t="s">
        <v>85</v>
      </c>
      <c r="AZ129" s="103" t="s">
        <v>441</v>
      </c>
      <c r="BA129" s="103" t="s">
        <v>378</v>
      </c>
      <c r="BB129" s="10">
        <v>191885</v>
      </c>
      <c r="BE129" s="70"/>
      <c r="BF129" s="249"/>
    </row>
    <row r="130" spans="51:58" ht="12.75">
      <c r="AY130" s="103" t="s">
        <v>233</v>
      </c>
      <c r="AZ130" s="103" t="s">
        <v>487</v>
      </c>
      <c r="BA130" s="103" t="s">
        <v>378</v>
      </c>
      <c r="BB130" s="10">
        <v>268223</v>
      </c>
      <c r="BE130" s="70"/>
      <c r="BF130" s="249"/>
    </row>
    <row r="131" spans="51:58" ht="12.75">
      <c r="AY131" s="103" t="s">
        <v>245</v>
      </c>
      <c r="AZ131" s="103" t="s">
        <v>246</v>
      </c>
      <c r="BA131" s="103" t="s">
        <v>559</v>
      </c>
      <c r="BB131" s="10">
        <v>616983</v>
      </c>
      <c r="BE131" s="247"/>
      <c r="BF131" s="249"/>
    </row>
    <row r="132" spans="51:58" ht="12.75">
      <c r="AY132" s="103" t="s">
        <v>131</v>
      </c>
      <c r="AZ132" s="103" t="s">
        <v>459</v>
      </c>
      <c r="BA132" s="103" t="s">
        <v>378</v>
      </c>
      <c r="BB132" s="10">
        <v>283991</v>
      </c>
      <c r="BE132" s="247"/>
      <c r="BF132" s="249"/>
    </row>
    <row r="133" spans="51:58" ht="12.75">
      <c r="AY133" s="103" t="s">
        <v>216</v>
      </c>
      <c r="AZ133" s="103" t="s">
        <v>217</v>
      </c>
      <c r="BA133" s="103" t="s">
        <v>378</v>
      </c>
      <c r="BB133" s="10">
        <v>1156805</v>
      </c>
      <c r="BE133" s="247"/>
      <c r="BF133" s="251"/>
    </row>
    <row r="134" spans="51:58" ht="12.75">
      <c r="AY134" s="103" t="s">
        <v>156</v>
      </c>
      <c r="AZ134" s="103" t="s">
        <v>466</v>
      </c>
      <c r="BA134" s="103" t="s">
        <v>378</v>
      </c>
      <c r="BB134" s="10">
        <v>390971</v>
      </c>
      <c r="BE134" s="243"/>
      <c r="BF134" s="238"/>
    </row>
    <row r="135" spans="51:58" ht="12.75">
      <c r="AY135" s="103" t="s">
        <v>121</v>
      </c>
      <c r="AZ135" s="103" t="s">
        <v>122</v>
      </c>
      <c r="BA135" s="103" t="s">
        <v>558</v>
      </c>
      <c r="BB135" s="10">
        <v>218182</v>
      </c>
      <c r="BE135" s="250"/>
      <c r="BF135" s="249"/>
    </row>
    <row r="136" spans="51:58" ht="12.75">
      <c r="AY136" s="103" t="s">
        <v>148</v>
      </c>
      <c r="AZ136" s="103" t="s">
        <v>462</v>
      </c>
      <c r="BA136" s="103" t="s">
        <v>559</v>
      </c>
      <c r="BB136" s="10">
        <v>236598</v>
      </c>
      <c r="BE136" s="237"/>
      <c r="BF136" s="238"/>
    </row>
    <row r="137" spans="51:58" ht="12.75">
      <c r="AY137" s="103" t="s">
        <v>160</v>
      </c>
      <c r="AZ137" s="103" t="s">
        <v>468</v>
      </c>
      <c r="BA137" s="103" t="s">
        <v>559</v>
      </c>
      <c r="BB137" s="10">
        <v>165993</v>
      </c>
      <c r="BF137" s="252"/>
    </row>
    <row r="138" spans="51:58" ht="12.75">
      <c r="AY138" s="103" t="s">
        <v>54</v>
      </c>
      <c r="AZ138" s="103" t="s">
        <v>55</v>
      </c>
      <c r="BA138" s="103" t="s">
        <v>378</v>
      </c>
      <c r="BB138" s="10">
        <v>145889</v>
      </c>
      <c r="BE138" s="70"/>
      <c r="BF138" s="239"/>
    </row>
    <row r="139" spans="51:58" ht="12.75">
      <c r="AY139" s="103" t="s">
        <v>75</v>
      </c>
      <c r="AZ139" s="103" t="s">
        <v>435</v>
      </c>
      <c r="BA139" s="103" t="s">
        <v>378</v>
      </c>
      <c r="BB139" s="10">
        <v>267393</v>
      </c>
      <c r="BE139" s="237"/>
      <c r="BF139" s="238"/>
    </row>
    <row r="140" spans="51:58" ht="12.75">
      <c r="AY140" s="103" t="s">
        <v>201</v>
      </c>
      <c r="AZ140" s="103" t="s">
        <v>202</v>
      </c>
      <c r="BA140" s="103" t="s">
        <v>559</v>
      </c>
      <c r="BB140" s="10">
        <v>232551</v>
      </c>
      <c r="BE140" s="70"/>
      <c r="BF140" s="239"/>
    </row>
    <row r="141" spans="51:58" ht="12.75">
      <c r="AY141" s="103" t="s">
        <v>167</v>
      </c>
      <c r="AZ141" s="103" t="s">
        <v>168</v>
      </c>
      <c r="BA141" s="103" t="s">
        <v>559</v>
      </c>
      <c r="BB141" s="10">
        <v>350958</v>
      </c>
      <c r="BE141" s="70"/>
      <c r="BF141" s="239"/>
    </row>
    <row r="142" spans="51:58" ht="12.75">
      <c r="AY142" s="103" t="s">
        <v>153</v>
      </c>
      <c r="AZ142" s="103" t="s">
        <v>154</v>
      </c>
      <c r="BA142" s="103" t="s">
        <v>378</v>
      </c>
      <c r="BB142" s="10">
        <v>265654</v>
      </c>
      <c r="BE142" s="70"/>
      <c r="BF142" s="241"/>
    </row>
    <row r="143" spans="51:58" ht="12.75">
      <c r="AY143" s="103" t="s">
        <v>181</v>
      </c>
      <c r="AZ143" s="103" t="s">
        <v>182</v>
      </c>
      <c r="BA143" s="103" t="s">
        <v>378</v>
      </c>
      <c r="BB143" s="10">
        <v>284466</v>
      </c>
      <c r="BE143" s="70"/>
      <c r="BF143" s="249"/>
    </row>
    <row r="144" spans="51:58" ht="12.75">
      <c r="AY144" s="103" t="s">
        <v>146</v>
      </c>
      <c r="AZ144" s="103" t="s">
        <v>147</v>
      </c>
      <c r="BA144" s="103" t="s">
        <v>378</v>
      </c>
      <c r="BB144" s="10">
        <v>319933</v>
      </c>
      <c r="BE144" s="70"/>
      <c r="BF144" s="241"/>
    </row>
    <row r="145" spans="51:58" ht="12.75">
      <c r="AY145" s="103" t="s">
        <v>111</v>
      </c>
      <c r="AZ145" s="103" t="s">
        <v>112</v>
      </c>
      <c r="BA145" s="103" t="s">
        <v>378</v>
      </c>
      <c r="BB145" s="10">
        <v>192336</v>
      </c>
      <c r="BE145" s="248"/>
      <c r="BF145" s="249"/>
    </row>
    <row r="146" spans="51:58" ht="12.75">
      <c r="AY146" s="103" t="s">
        <v>237</v>
      </c>
      <c r="AZ146" s="103" t="s">
        <v>238</v>
      </c>
      <c r="BA146" s="103" t="s">
        <v>378</v>
      </c>
      <c r="BB146" s="10">
        <v>548313</v>
      </c>
      <c r="BF146" s="252"/>
    </row>
    <row r="147" spans="51:58" ht="12.75">
      <c r="AY147" s="103" t="s">
        <v>247</v>
      </c>
      <c r="AZ147" s="103" t="s">
        <v>248</v>
      </c>
      <c r="BA147" s="103" t="s">
        <v>378</v>
      </c>
      <c r="BB147" s="10">
        <v>287229</v>
      </c>
      <c r="BF147" s="252"/>
    </row>
    <row r="148" spans="51:58" ht="12.75">
      <c r="AY148" s="103" t="s">
        <v>222</v>
      </c>
      <c r="AZ148" s="103" t="s">
        <v>482</v>
      </c>
      <c r="BA148" s="103" t="s">
        <v>559</v>
      </c>
      <c r="BB148" s="10">
        <v>707573</v>
      </c>
      <c r="BF148" s="252"/>
    </row>
    <row r="149" spans="51:58" ht="12.75">
      <c r="AY149" s="103" t="s">
        <v>218</v>
      </c>
      <c r="AZ149" s="103" t="s">
        <v>219</v>
      </c>
      <c r="BA149" s="103" t="s">
        <v>559</v>
      </c>
      <c r="BB149" s="10">
        <v>825533</v>
      </c>
      <c r="BE149" s="248"/>
      <c r="BF149" s="249"/>
    </row>
    <row r="150" spans="51:58" ht="12.75">
      <c r="AY150" s="103" t="s">
        <v>196</v>
      </c>
      <c r="AZ150" s="103" t="s">
        <v>197</v>
      </c>
      <c r="BA150" s="103" t="s">
        <v>378</v>
      </c>
      <c r="BB150" s="10">
        <v>259945</v>
      </c>
      <c r="BF150" s="252"/>
    </row>
    <row r="151" spans="51:58" ht="12.75">
      <c r="AY151" s="103" t="s">
        <v>138</v>
      </c>
      <c r="AZ151" s="103" t="s">
        <v>139</v>
      </c>
      <c r="BA151" s="103" t="s">
        <v>378</v>
      </c>
      <c r="BB151" s="10">
        <v>246573</v>
      </c>
      <c r="BF151" s="252"/>
    </row>
    <row r="152" spans="51:58" ht="12.75">
      <c r="AY152" s="103" t="s">
        <v>266</v>
      </c>
      <c r="AZ152" s="103" t="s">
        <v>267</v>
      </c>
      <c r="BA152" s="103" t="s">
        <v>559</v>
      </c>
      <c r="BB152" s="10">
        <v>462395</v>
      </c>
      <c r="BE152" s="250"/>
      <c r="BF152" s="239"/>
    </row>
    <row r="153" spans="51:58" ht="12.75">
      <c r="AY153" s="103" t="s">
        <v>191</v>
      </c>
      <c r="AZ153" s="103" t="s">
        <v>192</v>
      </c>
      <c r="BA153" s="103" t="s">
        <v>378</v>
      </c>
      <c r="BB153" s="10">
        <v>332176</v>
      </c>
      <c r="BF153" s="252"/>
    </row>
    <row r="154" spans="51:58" ht="12.75">
      <c r="AY154" s="103" t="s">
        <v>161</v>
      </c>
      <c r="AZ154" s="103" t="s">
        <v>469</v>
      </c>
      <c r="BA154" s="103" t="s">
        <v>378</v>
      </c>
      <c r="BB154" s="10">
        <v>246213</v>
      </c>
      <c r="BE154" s="237"/>
      <c r="BF154" s="238"/>
    </row>
    <row r="155" spans="51:58" ht="12.75">
      <c r="AY155" s="103" t="s">
        <v>235</v>
      </c>
      <c r="AZ155" s="103" t="s">
        <v>236</v>
      </c>
      <c r="BA155" s="103" t="s">
        <v>559</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568</v>
      </c>
      <c r="B3" s="56" t="s">
        <v>204</v>
      </c>
      <c r="C3" s="56" t="s">
        <v>24</v>
      </c>
    </row>
    <row r="4" spans="1:2" ht="12.75">
      <c r="A4" s="76">
        <v>1</v>
      </c>
      <c r="B4" s="78" t="s">
        <v>203</v>
      </c>
    </row>
    <row r="5" ht="12.75">
      <c r="A5" s="280" t="s">
        <v>568</v>
      </c>
    </row>
    <row r="6" ht="12.75">
      <c r="A6" s="280" t="s">
        <v>626</v>
      </c>
    </row>
    <row r="7" ht="12.75">
      <c r="A7" s="280" t="s">
        <v>631</v>
      </c>
    </row>
    <row r="8" ht="12.75">
      <c r="A8" s="280" t="s">
        <v>644</v>
      </c>
    </row>
    <row r="9" ht="12.75">
      <c r="A9" s="280" t="s">
        <v>613</v>
      </c>
    </row>
    <row r="10" ht="12.75">
      <c r="A10" s="280" t="s">
        <v>648</v>
      </c>
    </row>
    <row r="11" ht="12.75">
      <c r="A11" s="280" t="s">
        <v>630</v>
      </c>
    </row>
    <row r="12" ht="12.75">
      <c r="A12" s="280" t="s">
        <v>605</v>
      </c>
    </row>
    <row r="13" ht="12.75">
      <c r="A13" s="280" t="s">
        <v>591</v>
      </c>
    </row>
    <row r="14" ht="12.75">
      <c r="A14" s="280" t="s">
        <v>589</v>
      </c>
    </row>
    <row r="15" ht="12.75">
      <c r="A15" s="280" t="s">
        <v>585</v>
      </c>
    </row>
    <row r="16" ht="12.75">
      <c r="A16" s="280" t="s">
        <v>590</v>
      </c>
    </row>
    <row r="17" ht="12.75">
      <c r="A17" s="280" t="s">
        <v>624</v>
      </c>
    </row>
    <row r="18" ht="12.75">
      <c r="A18" s="280" t="s">
        <v>580</v>
      </c>
    </row>
    <row r="19" ht="12.75">
      <c r="A19" s="280" t="s">
        <v>612</v>
      </c>
    </row>
    <row r="20" ht="12.75">
      <c r="A20" s="280" t="s">
        <v>611</v>
      </c>
    </row>
    <row r="21" ht="12.75">
      <c r="A21" s="280" t="s">
        <v>653</v>
      </c>
    </row>
    <row r="22" ht="12.75">
      <c r="A22" s="280" t="s">
        <v>659</v>
      </c>
    </row>
    <row r="23" ht="12.75">
      <c r="A23" s="280" t="s">
        <v>598</v>
      </c>
    </row>
    <row r="24" ht="12.75">
      <c r="A24" s="280" t="s">
        <v>646</v>
      </c>
    </row>
    <row r="25" ht="12.75">
      <c r="A25" s="280" t="s">
        <v>593</v>
      </c>
    </row>
    <row r="26" ht="12.75">
      <c r="A26" s="280" t="s">
        <v>640</v>
      </c>
    </row>
    <row r="27" ht="12.75">
      <c r="A27" s="280" t="s">
        <v>596</v>
      </c>
    </row>
    <row r="28" ht="12.75">
      <c r="A28" s="280" t="s">
        <v>658</v>
      </c>
    </row>
    <row r="29" ht="12.75">
      <c r="A29" s="280" t="s">
        <v>615</v>
      </c>
    </row>
    <row r="30" ht="12.75">
      <c r="A30" s="280" t="s">
        <v>651</v>
      </c>
    </row>
    <row r="31" ht="12.75">
      <c r="A31" s="280" t="s">
        <v>650</v>
      </c>
    </row>
    <row r="32" ht="12.75">
      <c r="A32" s="280" t="s">
        <v>645</v>
      </c>
    </row>
    <row r="33" ht="12.75">
      <c r="A33" s="280" t="s">
        <v>672</v>
      </c>
    </row>
    <row r="34" ht="12.75">
      <c r="A34" s="280" t="s">
        <v>623</v>
      </c>
    </row>
    <row r="35" ht="12.75">
      <c r="A35" s="280" t="s">
        <v>671</v>
      </c>
    </row>
    <row r="36" ht="12.75">
      <c r="A36" s="280" t="s">
        <v>634</v>
      </c>
    </row>
    <row r="37" ht="12.75">
      <c r="A37" s="280" t="s">
        <v>603</v>
      </c>
    </row>
    <row r="38" ht="12.75">
      <c r="A38" s="280" t="s">
        <v>641</v>
      </c>
    </row>
    <row r="39" ht="12.75">
      <c r="A39" s="280" t="s">
        <v>652</v>
      </c>
    </row>
    <row r="40" ht="12.75">
      <c r="A40" s="280" t="s">
        <v>587</v>
      </c>
    </row>
    <row r="41" ht="12.75">
      <c r="A41" s="280" t="s">
        <v>617</v>
      </c>
    </row>
    <row r="42" ht="12.75">
      <c r="A42" s="280" t="s">
        <v>656</v>
      </c>
    </row>
    <row r="43" ht="12.75">
      <c r="A43" s="280" t="s">
        <v>628</v>
      </c>
    </row>
    <row r="44" ht="12.75">
      <c r="A44" s="280" t="s">
        <v>599</v>
      </c>
    </row>
    <row r="45" ht="12.75">
      <c r="A45" s="280" t="s">
        <v>632</v>
      </c>
    </row>
    <row r="46" ht="12.75">
      <c r="A46" s="280" t="s">
        <v>566</v>
      </c>
    </row>
    <row r="47" ht="12.75">
      <c r="A47" s="280" t="s">
        <v>595</v>
      </c>
    </row>
    <row r="48" ht="12.75">
      <c r="A48" s="280" t="s">
        <v>584</v>
      </c>
    </row>
    <row r="49" ht="12.75">
      <c r="A49" s="280" t="s">
        <v>614</v>
      </c>
    </row>
    <row r="50" ht="12.75">
      <c r="A50" s="280" t="s">
        <v>616</v>
      </c>
    </row>
    <row r="51" ht="12.75">
      <c r="A51" s="280" t="s">
        <v>588</v>
      </c>
    </row>
    <row r="52" ht="12.75">
      <c r="A52" s="280" t="s">
        <v>637</v>
      </c>
    </row>
    <row r="53" ht="12.75">
      <c r="A53" s="280" t="s">
        <v>655</v>
      </c>
    </row>
    <row r="54" ht="12.75">
      <c r="A54" s="280" t="s">
        <v>609</v>
      </c>
    </row>
    <row r="55" ht="12.75">
      <c r="A55" s="280" t="s">
        <v>578</v>
      </c>
    </row>
    <row r="56" ht="12.75">
      <c r="A56" s="280" t="s">
        <v>573</v>
      </c>
    </row>
    <row r="57" ht="12.75">
      <c r="A57" s="280" t="s">
        <v>572</v>
      </c>
    </row>
    <row r="58" ht="12.75">
      <c r="A58" s="280" t="s">
        <v>657</v>
      </c>
    </row>
    <row r="59" ht="12.75">
      <c r="A59" s="280" t="s">
        <v>574</v>
      </c>
    </row>
    <row r="60" ht="12.75">
      <c r="A60" s="280" t="s">
        <v>607</v>
      </c>
    </row>
    <row r="61" ht="12.75">
      <c r="A61" s="280" t="s">
        <v>594</v>
      </c>
    </row>
    <row r="62" ht="12.75">
      <c r="A62" s="280" t="s">
        <v>625</v>
      </c>
    </row>
    <row r="63" ht="12.75">
      <c r="A63" s="280" t="s">
        <v>602</v>
      </c>
    </row>
    <row r="64" ht="12.75">
      <c r="A64" s="280" t="s">
        <v>586</v>
      </c>
    </row>
    <row r="65" ht="12.75">
      <c r="A65" s="280" t="s">
        <v>618</v>
      </c>
    </row>
    <row r="66" ht="12.75">
      <c r="A66" s="280" t="s">
        <v>570</v>
      </c>
    </row>
    <row r="67" ht="12.75">
      <c r="A67" s="280" t="s">
        <v>639</v>
      </c>
    </row>
    <row r="68" ht="12.75">
      <c r="A68" s="280" t="s">
        <v>649</v>
      </c>
    </row>
    <row r="69" ht="12.75">
      <c r="A69" s="280" t="s">
        <v>635</v>
      </c>
    </row>
    <row r="70" ht="12.75">
      <c r="A70" s="280" t="s">
        <v>636</v>
      </c>
    </row>
    <row r="71" ht="12.75">
      <c r="A71" s="280" t="s">
        <v>576</v>
      </c>
    </row>
    <row r="72" ht="12.75">
      <c r="A72" s="280" t="s">
        <v>608</v>
      </c>
    </row>
    <row r="73" ht="12.75">
      <c r="A73" s="280" t="s">
        <v>633</v>
      </c>
    </row>
    <row r="74" ht="12.75">
      <c r="A74" s="280" t="s">
        <v>571</v>
      </c>
    </row>
    <row r="75" ht="12.75">
      <c r="A75" s="280" t="s">
        <v>582</v>
      </c>
    </row>
    <row r="76" ht="12.75">
      <c r="A76" s="280" t="s">
        <v>660</v>
      </c>
    </row>
    <row r="77" ht="12.75">
      <c r="A77" s="280" t="s">
        <v>581</v>
      </c>
    </row>
    <row r="78" ht="12.75">
      <c r="A78" s="280" t="s">
        <v>579</v>
      </c>
    </row>
    <row r="79" ht="12.75">
      <c r="A79" s="280" t="s">
        <v>622</v>
      </c>
    </row>
    <row r="80" ht="12.75">
      <c r="A80" s="280" t="s">
        <v>638</v>
      </c>
    </row>
    <row r="81" ht="12.75">
      <c r="A81" s="280" t="s">
        <v>629</v>
      </c>
    </row>
    <row r="82" ht="12.75">
      <c r="A82" s="280" t="s">
        <v>601</v>
      </c>
    </row>
    <row r="83" ht="12.75">
      <c r="A83" s="280" t="s">
        <v>569</v>
      </c>
    </row>
    <row r="84" ht="12.75">
      <c r="A84" s="280" t="s">
        <v>654</v>
      </c>
    </row>
    <row r="85" ht="12.75">
      <c r="A85" s="280" t="s">
        <v>610</v>
      </c>
    </row>
    <row r="86" ht="12.75">
      <c r="A86" s="280" t="s">
        <v>577</v>
      </c>
    </row>
    <row r="87" ht="12.75">
      <c r="A87" s="280" t="s">
        <v>673</v>
      </c>
    </row>
    <row r="88" ht="12.75">
      <c r="A88" s="280" t="s">
        <v>597</v>
      </c>
    </row>
    <row r="89" ht="12.75">
      <c r="A89" s="280" t="s">
        <v>592</v>
      </c>
    </row>
    <row r="90" ht="12.75">
      <c r="A90" s="280" t="s">
        <v>620</v>
      </c>
    </row>
    <row r="91" ht="12.75">
      <c r="A91" s="280" t="s">
        <v>567</v>
      </c>
    </row>
    <row r="92" ht="12.75">
      <c r="A92" s="280" t="s">
        <v>643</v>
      </c>
    </row>
    <row r="93" ht="12.75">
      <c r="A93" s="280" t="s">
        <v>600</v>
      </c>
    </row>
    <row r="94" ht="12.75">
      <c r="A94" s="280" t="s">
        <v>642</v>
      </c>
    </row>
    <row r="95" ht="12.75">
      <c r="A95" s="280" t="s">
        <v>575</v>
      </c>
    </row>
    <row r="96" ht="12.75">
      <c r="A96" s="280" t="s">
        <v>621</v>
      </c>
    </row>
    <row r="97" ht="12.75">
      <c r="A97" s="280" t="s">
        <v>604</v>
      </c>
    </row>
    <row r="98" ht="12.75">
      <c r="A98" s="280" t="s">
        <v>583</v>
      </c>
    </row>
    <row r="99" ht="12.75">
      <c r="A99" s="280" t="s">
        <v>606</v>
      </c>
    </row>
    <row r="100" ht="12.75">
      <c r="A100" s="280" t="s">
        <v>619</v>
      </c>
    </row>
    <row r="101" ht="12.75">
      <c r="A101" s="280" t="s">
        <v>627</v>
      </c>
    </row>
    <row r="102" ht="12.75">
      <c r="A102" s="280" t="s">
        <v>647</v>
      </c>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