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<sst xmlns="http://schemas.openxmlformats.org/spreadsheetml/2006/main" count="1288" uniqueCount="555">
  <si>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</si>
  <si>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</si>
  <si>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</si>
  <si>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</si>
  <si>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</si>
  <si>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</si>
  <si>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</si>
  <si>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</si>
  <si>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</si>
  <si>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</si>
  <si>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</si>
  <si>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</si>
  <si>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</si>
  <si>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</si>
  <si>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</si>
  <si>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</si>
  <si>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</si>
  <si>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</si>
  <si>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</si>
  <si>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</si>
  <si>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</si>
  <si>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</si>
  <si>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</si>
  <si>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</si>
  <si>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</si>
  <si>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</si>
  <si>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</si>
  <si>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</si>
  <si>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</si>
  <si>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</si>
  <si>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</si>
  <si>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</si>
  <si>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</si>
  <si>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</si>
  <si>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</si>
  <si>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</si>
  <si>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</si>
  <si>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</si>
  <si>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</si>
  <si>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</si>
  <si>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</si>
  <si>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</si>
  <si>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</si>
  <si>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</si>
  <si>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</si>
  <si>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</si>
  <si>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</si>
  <si>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</si>
  <si>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</si>
  <si>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</si>
  <si>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</si>
  <si>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</si>
  <si>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</si>
  <si>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</si>
  <si>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</si>
  <si>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</si>
  <si>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</si>
  <si>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</si>
  <si>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</si>
  <si>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</si>
  <si>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</si>
  <si>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</si>
  <si>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</si>
  <si>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</si>
  <si>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</si>
  <si>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</si>
  <si>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</si>
  <si>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</si>
  <si>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</si>
  <si>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</si>
  <si>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</si>
  <si>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</si>
  <si>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</si>
  <si>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</si>
  <si>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</si>
  <si>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</si>
  <si>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</si>
  <si>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</si>
  <si>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</si>
  <si>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</si>
  <si>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</si>
  <si>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</si>
  <si>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</si>
  <si>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</si>
  <si>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</si>
  <si>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</si>
  <si>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</si>
  <si>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</si>
  <si>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</si>
  <si>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</si>
  <si>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</si>
  <si>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</si>
  <si>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</si>
  <si>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</si>
  <si>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</si>
  <si>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</si>
  <si>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</si>
  <si>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</si>
  <si>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</si>
  <si>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</si>
  <si>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</si>
  <si>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</si>
  <si>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</si>
  <si>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</si>
  <si>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</si>
  <si>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</si>
  <si>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</si>
  <si>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</si>
  <si>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</si>
  <si>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</si>
  <si>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</si>
  <si>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</si>
  <si>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</si>
  <si>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</si>
  <si>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</si>
  <si>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</si>
  <si>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</si>
  <si>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</si>
  <si>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</si>
  <si>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</si>
  <si>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</si>
  <si>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</si>
  <si>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</si>
  <si>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</si>
  <si>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</si>
  <si>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</si>
  <si>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</si>
  <si>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</si>
  <si>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</si>
  <si>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</si>
  <si>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</si>
  <si>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</si>
  <si>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</si>
  <si>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</si>
  <si>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</si>
  <si>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</si>
  <si>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</si>
  <si>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</si>
  <si>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</si>
  <si>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</si>
  <si>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</si>
  <si>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</si>
  <si>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</si>
  <si>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</si>
  <si>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</si>
  <si>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</si>
  <si>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</si>
  <si>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</si>
  <si>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</si>
  <si>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</si>
  <si>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</si>
  <si>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</si>
  <si>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</si>
  <si>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</si>
  <si>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</si>
  <si>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</si>
  <si>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</si>
  <si>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</si>
  <si>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</si>
  <si>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</si>
  <si>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</si>
  <si>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</si>
  <si>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</si>
  <si>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</si>
  <si>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</si>
  <si>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</si>
  <si>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</si>
  <si>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</si>
  <si>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</si>
  <si>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</si>
  <si>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</si>
  <si>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</si>
  <si>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</si>
  <si>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</si>
  <si>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</si>
  <si>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</si>
  <si>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</si>
  <si>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</si>
  <si>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</si>
  <si>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</si>
  <si>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</si>
  <si>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</si>
  <si>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</si>
  <si>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</si>
  <si>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</si>
  <si>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</si>
  <si>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</si>
  <si>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</si>
  <si>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</si>
  <si>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</si>
  <si>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</si>
  <si>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</si>
  <si>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</si>
  <si>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</si>
  <si>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</si>
  <si>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</si>
  <si>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</si>
  <si>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</si>
  <si>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</si>
  <si>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</si>
  <si>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</si>
  <si>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</si>
  <si>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</si>
  <si>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</si>
  <si>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</si>
  <si>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</si>
  <si>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</si>
  <si>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</si>
  <si>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</si>
  <si>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</si>
  <si>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</si>
  <si>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</si>
  <si>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</si>
  <si>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</si>
  <si>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</si>
  <si>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</si>
  <si>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</si>
  <si>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</si>
  <si>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</si>
  <si>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</si>
  <si>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</si>
  <si>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</si>
  <si>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</si>
  <si>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</si>
  <si>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</si>
  <si>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</si>
  <si>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</si>
  <si>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</si>
  <si>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</si>
  <si>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</si>
  <si>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</si>
  <si>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</si>
  <si>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</si>
  <si>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</si>
  <si>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</si>
  <si>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</si>
  <si>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</si>
  <si>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</si>
  <si>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</si>
  <si>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</si>
  <si>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</si>
  <si>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</si>
  <si>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</si>
  <si>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</si>
  <si>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</si>
  <si>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</si>
  <si>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</si>
  <si>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</si>
  <si>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</si>
  <si>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</si>
  <si>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</si>
  <si>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</si>
  <si>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</si>
  <si>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</si>
  <si>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</si>
  <si>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</si>
  <si>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</si>
  <si>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</si>
  <si>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</si>
  <si>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</si>
  <si>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</si>
  <si>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</si>
  <si>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</si>
  <si>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</si>
  <si>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</si>
  <si>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</si>
  <si>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</si>
  <si>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</si>
  <si>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</si>
  <si>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</si>
  <si>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</si>
  <si>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</si>
  <si>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</si>
  <si>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</si>
  <si>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</si>
  <si>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</si>
  <si>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</si>
  <si>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</si>
  <si>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</si>
  <si>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</si>
  <si>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</si>
  <si>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</si>
  <si>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B81004</t>
  </si>
  <si>
    <t>B81006</t>
  </si>
  <si>
    <t>B81009</t>
  </si>
  <si>
    <t>B81010</t>
  </si>
  <si>
    <t>B81013</t>
  </si>
  <si>
    <t>B81014</t>
  </si>
  <si>
    <t>B81024</t>
  </si>
  <si>
    <t>B81025</t>
  </si>
  <si>
    <t>B81029</t>
  </si>
  <si>
    <t>B81034</t>
  </si>
  <si>
    <t>B81036</t>
  </si>
  <si>
    <t>B81037</t>
  </si>
  <si>
    <t>B81041</t>
  </si>
  <si>
    <t>B81042</t>
  </si>
  <si>
    <t>B81044</t>
  </si>
  <si>
    <t>B81050</t>
  </si>
  <si>
    <t>B81051</t>
  </si>
  <si>
    <t>B81060</t>
  </si>
  <si>
    <t>B81061</t>
  </si>
  <si>
    <t>B81062</t>
  </si>
  <si>
    <t>B81068</t>
  </si>
  <si>
    <t>B81069</t>
  </si>
  <si>
    <t>B81070</t>
  </si>
  <si>
    <t>B81082</t>
  </si>
  <si>
    <t>B81084</t>
  </si>
  <si>
    <t>B81088</t>
  </si>
  <si>
    <t>B81092</t>
  </si>
  <si>
    <t>B81100</t>
  </si>
  <si>
    <t>B81101</t>
  </si>
  <si>
    <t>B81120</t>
  </si>
  <si>
    <t>B81121</t>
  </si>
  <si>
    <t>B81602</t>
  </si>
  <si>
    <t>B81619</t>
  </si>
  <si>
    <t>B81622</t>
  </si>
  <si>
    <t>B81653</t>
  </si>
  <si>
    <t>B81658</t>
  </si>
  <si>
    <t>B81666</t>
  </si>
  <si>
    <t>B81679</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</si>
  <si>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</si>
  <si>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</si>
  <si>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</si>
  <si>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</si>
  <si>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</si>
  <si>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</si>
  <si>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</si>
  <si>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</si>
  <si>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</si>
  <si>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</si>
  <si>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</si>
  <si>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</si>
  <si>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</si>
  <si>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</si>
  <si>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</si>
  <si>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</si>
  <si>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</si>
  <si>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</si>
  <si>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</si>
  <si>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</si>
  <si>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</si>
  <si>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</si>
  <si>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</si>
  <si>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</si>
  <si>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</si>
  <si>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</si>
  <si>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</si>
  <si>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</si>
  <si>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</si>
  <si>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</si>
  <si>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</si>
  <si>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</si>
  <si>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</si>
  <si>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</si>
  <si>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</si>
  <si>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</si>
  <si>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</si>
  <si>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</si>
  <si>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</si>
  <si>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</si>
  <si>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</si>
  <si>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</si>
  <si>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</si>
  <si>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</si>
  <si>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</si>
  <si>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</si>
  <si>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</si>
  <si>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</si>
  <si>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</si>
  <si>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</si>
  <si>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</si>
  <si>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</si>
  <si>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</si>
  <si>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</si>
  <si>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</si>
  <si>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</si>
  <si>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</si>
  <si>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</si>
  <si>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</si>
  <si>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</si>
  <si>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</si>
  <si>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</si>
  <si>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</si>
  <si>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</si>
  <si>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</si>
  <si>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</si>
  <si>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</si>
  <si>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</si>
  <si>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</si>
  <si>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</si>
  <si>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</si>
  <si>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</si>
  <si>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</si>
  <si>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</si>
  <si>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</si>
  <si>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</si>
  <si>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</si>
  <si>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</si>
  <si>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</si>
  <si>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</si>
  <si>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</si>
  <si>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</si>
  <si>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</si>
  <si>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</si>
  <si>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</si>
  <si>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</si>
  <si>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</si>
  <si>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</si>
  <si>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</si>
  <si>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</si>
  <si>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</si>
  <si>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</si>
  <si>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</si>
  <si>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</si>
  <si>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</si>
  <si>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</si>
  <si>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</si>
  <si>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</si>
  <si>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</si>
  <si>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</si>
  <si>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</si>
  <si>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</si>
  <si>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</si>
  <si>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</si>
  <si>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</si>
  <si>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</si>
  <si>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</si>
  <si>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</si>
  <si>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</si>
  <si>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</si>
  <si>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</si>
  <si>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</si>
  <si>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</si>
  <si>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</si>
  <si>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</si>
  <si>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</si>
  <si>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</si>
  <si>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</si>
  <si>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</si>
  <si>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</si>
  <si>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</si>
  <si>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</si>
  <si>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</si>
  <si>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</si>
  <si>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</si>
  <si>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</si>
  <si>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</si>
  <si>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</si>
  <si>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</si>
  <si>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</si>
  <si>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</si>
  <si>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</si>
  <si>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</si>
  <si>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</si>
  <si>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</si>
  <si>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</si>
  <si>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</si>
  <si>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</si>
  <si>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</si>
  <si>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</si>
  <si>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</si>
  <si>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</si>
  <si>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</si>
  <si>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</si>
  <si>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</si>
  <si>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</si>
  <si>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</si>
  <si>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</si>
  <si>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</si>
  <si>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</si>
  <si>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</si>
  <si>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</si>
  <si>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</si>
  <si>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</si>
  <si>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</si>
  <si>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</si>
  <si>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</si>
  <si>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</si>
  <si>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</si>
  <si>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</si>
  <si>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</si>
  <si>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</si>
  <si>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</si>
  <si>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</si>
  <si>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</si>
  <si>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</si>
  <si>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</si>
  <si>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</si>
  <si>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</si>
  <si>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</si>
  <si>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</si>
  <si>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</si>
  <si>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</si>
  <si>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</si>
  <si>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</si>
  <si>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</si>
  <si>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</si>
  <si>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</si>
  <si>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</si>
  <si>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</si>
  <si>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</si>
  <si>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</si>
  <si>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</si>
  <si>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</si>
  <si>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</si>
  <si>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(B81009) MARKET WEIGHTON SURGERY</t>
  </si>
  <si>
    <t>(B81010) HESSLE GRANGE MEDICAL PRACTICE</t>
  </si>
  <si>
    <t>(B81013) MONTAGUE MEDICAL PRACTICE</t>
  </si>
  <si>
    <t>(B81024) THE WILLERBY SURGERY</t>
  </si>
  <si>
    <t>(B81025) SOUTH HOLDERNESS MEDICAL PRACTICE</t>
  </si>
  <si>
    <t>(B81029) THE SNAITH AND RAWCLIFFE MEDICAL GROUP</t>
  </si>
  <si>
    <t>(B81036) POCKLINGTON GROUP PRACTICE</t>
  </si>
  <si>
    <t>(B81037) DR SJ TOWERS AND PARTNERS</t>
  </si>
  <si>
    <t>(B81042) DR SA HILL AND PARTNERS</t>
  </si>
  <si>
    <t>(B81044) HOLME-BUBWITH MEDICAL GROUP</t>
  </si>
  <si>
    <t>(B81050) HEDON GROUP PRACTICE</t>
  </si>
  <si>
    <t>(B81051) OLD FIRE STATION SURGERY</t>
  </si>
  <si>
    <t>(B81060) FIELD HOUSE SURGERY</t>
  </si>
  <si>
    <t>(B81061) BROUGH AND SOUTH CAVE MEDICAL PRACTICE</t>
  </si>
  <si>
    <t>(B81068) BARTHOLOMEW MEDICAL GROUP</t>
  </si>
  <si>
    <t>(B81082) NORTH BEVERLEY MEDICAL CENTRE</t>
  </si>
  <si>
    <t>(B81084) COTTINGHAM MEDICAL CENTRE</t>
  </si>
  <si>
    <t>(B81088) HOWDEN MEDICAL PRACTICE</t>
  </si>
  <si>
    <t>(B81100) DR JG BEST</t>
  </si>
  <si>
    <t>(B81101) DR HS SURI'S PRACTICE</t>
  </si>
  <si>
    <t>(B81120) DRS KELLY AND BAWN</t>
  </si>
  <si>
    <t>(B81602) HANCOCKS ME</t>
  </si>
  <si>
    <t>(B81619) PARK VIEW SURGERY</t>
  </si>
  <si>
    <t>(B81622) WALKERGATE SURGERY</t>
  </si>
  <si>
    <t>(B81653) THE CHESTNUTS</t>
  </si>
  <si>
    <t>(B81658) DR ADHAMI</t>
  </si>
  <si>
    <t>(B81666) DR MITCHELL</t>
  </si>
  <si>
    <t>(B81679) SWANLAND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</si>
  <si>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</si>
  <si>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</si>
  <si>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</si>
  <si>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</si>
  <si>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</si>
  <si>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</si>
  <si>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</si>
  <si>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</si>
  <si>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</si>
  <si>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</si>
  <si>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(B81004) EASTGATE MEDICAL GROUP, HORNSEA</t>
  </si>
  <si>
    <t>(B81006) MANOR HOUSE SURGERY, BRIDLINGTON</t>
  </si>
  <si>
    <t>(B81014) PRACTICE 2, MEDICAL CENTRE, BRIDLINGTON</t>
  </si>
  <si>
    <t>(B81062) CHURCH VIEW SURGERY, HEDON</t>
  </si>
  <si>
    <t>(B81069) PRACTICE 3, MEDICAL CENTRE, BRIDLINGTON</t>
  </si>
  <si>
    <t>(B81070) PRACTICE 1, MEDICAL CENTRE, BRIDLINGTON</t>
  </si>
  <si>
    <t>(B81092) THE MEDICAL CENTRE, DRIFFIELD</t>
  </si>
  <si>
    <t>(B81034) LEVEN + BEEFORD MEDICAL PRACTICE</t>
  </si>
  <si>
    <t>(B81041) DR RA FERGUSON + PARTNERS</t>
  </si>
  <si>
    <t>(B81121) BEVERLEY + MOLESCROFT SURGERY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</si>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</sst>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0.9444940628119247</c:v>
                </c:pt>
                <c:pt idx="5">
                  <c:v>0.8947093426949596</c:v>
                </c:pt>
                <c:pt idx="6">
                  <c:v>1</c:v>
                </c:pt>
                <c:pt idx="7">
                  <c:v>0.7479768404806797</c:v>
                </c:pt>
                <c:pt idx="8">
                  <c:v>0.6616745462912232</c:v>
                </c:pt>
                <c:pt idx="9">
                  <c:v>0.7982110525348353</c:v>
                </c:pt>
                <c:pt idx="10">
                  <c:v>0.7616345350473102</c:v>
                </c:pt>
                <c:pt idx="11">
                  <c:v>0.7473401002573838</c:v>
                </c:pt>
                <c:pt idx="12">
                  <c:v>0.9910960599915033</c:v>
                </c:pt>
                <c:pt idx="13">
                  <c:v>0</c:v>
                </c:pt>
                <c:pt idx="14">
                  <c:v>0.96232036218793</c:v>
                </c:pt>
                <c:pt idx="15">
                  <c:v>0.7719508209599627</c:v>
                </c:pt>
                <c:pt idx="16">
                  <c:v>0.9951301479009954</c:v>
                </c:pt>
                <c:pt idx="17">
                  <c:v>1</c:v>
                </c:pt>
                <c:pt idx="18">
                  <c:v>1</c:v>
                </c:pt>
                <c:pt idx="19">
                  <c:v>1</c:v>
                </c:pt>
                <c:pt idx="20">
                  <c:v>0.859067306216354</c:v>
                </c:pt>
                <c:pt idx="21">
                  <c:v>0.9465288077663132</c:v>
                </c:pt>
                <c:pt idx="22">
                  <c:v>0.9267121917108112</c:v>
                </c:pt>
                <c:pt idx="23">
                  <c:v>0.9021411767303205</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0.6744979913454265</c:v>
                </c:pt>
                <c:pt idx="3">
                  <c:v>0.6562499883584668</c:v>
                </c:pt>
                <c:pt idx="4">
                  <c:v>0.6359566144148449</c:v>
                </c:pt>
                <c:pt idx="5">
                  <c:v>0.5756813499827963</c:v>
                </c:pt>
                <c:pt idx="6">
                  <c:v>0.5666666749450893</c:v>
                </c:pt>
                <c:pt idx="7">
                  <c:v>0.5692823146837018</c:v>
                </c:pt>
                <c:pt idx="8">
                  <c:v>0.5293396449207539</c:v>
                </c:pt>
                <c:pt idx="9">
                  <c:v>0.5702745949226969</c:v>
                </c:pt>
                <c:pt idx="10">
                  <c:v>0.5816019836874086</c:v>
                </c:pt>
                <c:pt idx="11">
                  <c:v>0.5897291472026752</c:v>
                </c:pt>
                <c:pt idx="12">
                  <c:v>0.6402426213145921</c:v>
                </c:pt>
                <c:pt idx="13">
                  <c:v>0</c:v>
                </c:pt>
                <c:pt idx="14">
                  <c:v>0.5575662695125302</c:v>
                </c:pt>
                <c:pt idx="15">
                  <c:v>0.6031139204397372</c:v>
                </c:pt>
                <c:pt idx="16">
                  <c:v>0.7237875577647256</c:v>
                </c:pt>
                <c:pt idx="17">
                  <c:v>0.607331864246137</c:v>
                </c:pt>
                <c:pt idx="18">
                  <c:v>0.6521120160577543</c:v>
                </c:pt>
                <c:pt idx="19">
                  <c:v>0.6811373385451086</c:v>
                </c:pt>
                <c:pt idx="20">
                  <c:v>0.5933122377911375</c:v>
                </c:pt>
                <c:pt idx="21">
                  <c:v>0.6284156298676729</c:v>
                </c:pt>
                <c:pt idx="22">
                  <c:v>0.6213573671902096</c:v>
                </c:pt>
                <c:pt idx="23">
                  <c:v>0.6196696704476565</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0.39757650504436814</c:v>
                </c:pt>
                <c:pt idx="3">
                  <c:v>0.4583333074632596</c:v>
                </c:pt>
                <c:pt idx="4">
                  <c:v>0.39162565586940007</c:v>
                </c:pt>
                <c:pt idx="5">
                  <c:v>0.38408158272101456</c:v>
                </c:pt>
                <c:pt idx="6">
                  <c:v>0.375</c:v>
                </c:pt>
                <c:pt idx="7">
                  <c:v>0.44536791715184143</c:v>
                </c:pt>
                <c:pt idx="8">
                  <c:v>0.3626955635839085</c:v>
                </c:pt>
                <c:pt idx="9">
                  <c:v>0.4014696909548204</c:v>
                </c:pt>
                <c:pt idx="10">
                  <c:v>0.3790835788655317</c:v>
                </c:pt>
                <c:pt idx="11">
                  <c:v>0.36168716710957627</c:v>
                </c:pt>
                <c:pt idx="12">
                  <c:v>0.3190069546084163</c:v>
                </c:pt>
                <c:pt idx="13">
                  <c:v>0</c:v>
                </c:pt>
                <c:pt idx="14">
                  <c:v>0.4414412899215101</c:v>
                </c:pt>
                <c:pt idx="15">
                  <c:v>0.3507928462352505</c:v>
                </c:pt>
                <c:pt idx="16">
                  <c:v>0.3123165476692083</c:v>
                </c:pt>
                <c:pt idx="17">
                  <c:v>0.3377233579885661</c:v>
                </c:pt>
                <c:pt idx="18">
                  <c:v>0.3343102677936754</c:v>
                </c:pt>
                <c:pt idx="19">
                  <c:v>0.3225737492732838</c:v>
                </c:pt>
                <c:pt idx="20">
                  <c:v>0.39861912036788943</c:v>
                </c:pt>
                <c:pt idx="21">
                  <c:v>0.420983371735528</c:v>
                </c:pt>
                <c:pt idx="22">
                  <c:v>0.35747872530096714</c:v>
                </c:pt>
                <c:pt idx="23">
                  <c:v>0.39721130688014605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0.037231275289002407</c:v>
                </c:pt>
                <c:pt idx="3">
                  <c:v>0.2916666304485635</c:v>
                </c:pt>
                <c:pt idx="4">
                  <c:v>0</c:v>
                </c:pt>
                <c:pt idx="5">
                  <c:v>0</c:v>
                </c:pt>
                <c:pt idx="6">
                  <c:v>0.10000001241763383</c:v>
                </c:pt>
                <c:pt idx="7">
                  <c:v>0</c:v>
                </c:pt>
                <c:pt idx="8">
                  <c:v>0</c:v>
                </c:pt>
                <c:pt idx="9">
                  <c:v>0</c:v>
                </c:pt>
                <c:pt idx="10">
                  <c:v>0</c:v>
                </c:pt>
                <c:pt idx="11">
                  <c:v>0</c:v>
                </c:pt>
                <c:pt idx="12">
                  <c:v>0</c:v>
                </c:pt>
                <c:pt idx="13">
                  <c:v>0</c:v>
                </c:pt>
                <c:pt idx="14">
                  <c:v>0</c:v>
                </c:pt>
                <c:pt idx="15">
                  <c:v>0</c:v>
                </c:pt>
                <c:pt idx="16">
                  <c:v>0</c:v>
                </c:pt>
                <c:pt idx="17">
                  <c:v>0.16795813290130926</c:v>
                </c:pt>
                <c:pt idx="18">
                  <c:v>0.08038107301132022</c:v>
                </c:pt>
                <c:pt idx="19">
                  <c:v>0.17618667264859011</c:v>
                </c:pt>
                <c:pt idx="20">
                  <c:v>0</c:v>
                </c:pt>
                <c:pt idx="21">
                  <c:v>0</c:v>
                </c:pt>
                <c:pt idx="22">
                  <c:v>0</c:v>
                </c:pt>
                <c:pt idx="23">
                  <c:v>0</c:v>
                </c:pt>
                <c:pt idx="24">
                  <c:v>0</c:v>
                </c:pt>
                <c:pt idx="25">
                  <c:v>0</c:v>
                </c:pt>
                <c:pt idx="26">
                  <c:v>0</c:v>
                </c:pt>
              </c:numCache>
            </c:numRef>
          </c:val>
        </c:ser>
        <c:overlap val="100"/>
        <c:gapWidth val="100"/>
        <c:axId val="65868165"/>
        <c:axId val="135181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0.3300522469412731</c:v>
                </c:pt>
                <c:pt idx="3">
                  <c:v>0.7504554351037055</c:v>
                </c:pt>
                <c:pt idx="4">
                  <c:v>0.36083197279735646</c:v>
                </c:pt>
                <c:pt idx="5">
                  <c:v>0.35764908452404115</c:v>
                </c:pt>
                <c:pt idx="6">
                  <c:v>0.29802422341702034</c:v>
                </c:pt>
                <c:pt idx="7">
                  <c:v>0.40459424100280744</c:v>
                </c:pt>
                <c:pt idx="8">
                  <c:v>0.4940996557284155</c:v>
                </c:pt>
                <c:pt idx="9">
                  <c:v>0.2882592353468832</c:v>
                </c:pt>
                <c:pt idx="10">
                  <c:v>0.10038149331685249</c:v>
                </c:pt>
                <c:pt idx="11">
                  <c:v>0.24679519479898382</c:v>
                </c:pt>
                <c:pt idx="12">
                  <c:v>0.5531341305367246</c:v>
                </c:pt>
                <c:pt idx="13">
                  <c:v>0.5</c:v>
                </c:pt>
                <c:pt idx="14">
                  <c:v>0.29483738415042365</c:v>
                </c:pt>
                <c:pt idx="15">
                  <c:v>0.5123874135815727</c:v>
                </c:pt>
                <c:pt idx="16">
                  <c:v>0.7029034583905074</c:v>
                </c:pt>
                <c:pt idx="17">
                  <c:v>0.5049157304740478</c:v>
                </c:pt>
                <c:pt idx="18">
                  <c:v>0.30167973658080877</c:v>
                </c:pt>
                <c:pt idx="19">
                  <c:v>0.5726880898020822</c:v>
                </c:pt>
                <c:pt idx="20">
                  <c:v>0.3507316077163185</c:v>
                </c:pt>
                <c:pt idx="21">
                  <c:v>0.31891061371114926</c:v>
                </c:pt>
                <c:pt idx="22">
                  <c:v>0.3666911332740907</c:v>
                </c:pt>
                <c:pt idx="23">
                  <c:v>0.39402212469608916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0.6122451212590636</c:v>
                </c:pt>
                <c:pt idx="5">
                  <c:v>0.3973878677368514</c:v>
                </c:pt>
                <c:pt idx="6">
                  <c:v>0.5666666679912143</c:v>
                </c:pt>
                <c:pt idx="7">
                  <c:v>-999</c:v>
                </c:pt>
                <c:pt idx="8">
                  <c:v>-999</c:v>
                </c:pt>
                <c:pt idx="9">
                  <c:v>-999</c:v>
                </c:pt>
                <c:pt idx="10">
                  <c:v>-999</c:v>
                </c:pt>
                <c:pt idx="11">
                  <c:v>-999</c:v>
                </c:pt>
                <c:pt idx="12">
                  <c:v>-999</c:v>
                </c:pt>
                <c:pt idx="13">
                  <c:v>0.515081050043073</c:v>
                </c:pt>
                <c:pt idx="14">
                  <c:v>0.4455954657279361</c:v>
                </c:pt>
                <c:pt idx="15">
                  <c:v>0.6060831600140014</c:v>
                </c:pt>
                <c:pt idx="16">
                  <c:v>0.5221347111890406</c:v>
                </c:pt>
                <c:pt idx="17">
                  <c:v>0.5016971371406266</c:v>
                </c:pt>
                <c:pt idx="18">
                  <c:v>0.503375656743842</c:v>
                </c:pt>
                <c:pt idx="19">
                  <c:v>-999</c:v>
                </c:pt>
                <c:pt idx="20">
                  <c:v>0.40942600060222906</c:v>
                </c:pt>
                <c:pt idx="21">
                  <c:v>0.5224132974557657</c:v>
                </c:pt>
                <c:pt idx="22">
                  <c:v>-999</c:v>
                </c:pt>
                <c:pt idx="23">
                  <c:v>0.501871630140343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0.47769366876152014</c:v>
                </c:pt>
                <c:pt idx="3">
                  <c:v>0.49999998509883753</c:v>
                </c:pt>
                <c:pt idx="4">
                  <c:v>-999</c:v>
                </c:pt>
                <c:pt idx="5">
                  <c:v>-999</c:v>
                </c:pt>
                <c:pt idx="6">
                  <c:v>-999</c:v>
                </c:pt>
                <c:pt idx="7">
                  <c:v>0.5710379035909836</c:v>
                </c:pt>
                <c:pt idx="8">
                  <c:v>0.2894826140024102</c:v>
                </c:pt>
                <c:pt idx="9">
                  <c:v>0.5667995132885044</c:v>
                </c:pt>
                <c:pt idx="10">
                  <c:v>0.6892022591028267</c:v>
                </c:pt>
                <c:pt idx="11">
                  <c:v>0.6347605664835244</c:v>
                </c:pt>
                <c:pt idx="12">
                  <c:v>0.6801731539413023</c:v>
                </c:pt>
                <c:pt idx="13">
                  <c:v>-999</c:v>
                </c:pt>
                <c:pt idx="14">
                  <c:v>-999</c:v>
                </c:pt>
                <c:pt idx="15">
                  <c:v>-999</c:v>
                </c:pt>
                <c:pt idx="16">
                  <c:v>-999</c:v>
                </c:pt>
                <c:pt idx="17">
                  <c:v>-999</c:v>
                </c:pt>
                <c:pt idx="18">
                  <c:v>-999</c:v>
                </c:pt>
                <c:pt idx="19">
                  <c:v>0.8566425774482681</c:v>
                </c:pt>
                <c:pt idx="20">
                  <c:v>-999</c:v>
                </c:pt>
                <c:pt idx="21">
                  <c:v>-999</c:v>
                </c:pt>
                <c:pt idx="22">
                  <c:v>0.362963716725059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537491"/>
        <c:axId val="39160432"/>
      </c:scatterChart>
      <c:catAx>
        <c:axId val="65868165"/>
        <c:scaling>
          <c:orientation val="maxMin"/>
        </c:scaling>
        <c:axPos val="l"/>
        <c:delete val="0"/>
        <c:numFmt formatCode="General" sourceLinked="1"/>
        <c:majorTickMark val="out"/>
        <c:minorTickMark val="none"/>
        <c:tickLblPos val="none"/>
        <c:spPr>
          <a:ln w="3175">
            <a:noFill/>
          </a:ln>
        </c:spPr>
        <c:crossAx val="1351818"/>
        <c:crosses val="autoZero"/>
        <c:auto val="1"/>
        <c:lblOffset val="100"/>
        <c:tickLblSkip val="1"/>
        <c:noMultiLvlLbl val="0"/>
      </c:catAx>
      <c:valAx>
        <c:axId val="1351818"/>
        <c:scaling>
          <c:orientation val="minMax"/>
          <c:max val="1"/>
          <c:min val="0"/>
        </c:scaling>
        <c:axPos val="t"/>
        <c:delete val="0"/>
        <c:numFmt formatCode="General" sourceLinked="1"/>
        <c:majorTickMark val="none"/>
        <c:minorTickMark val="none"/>
        <c:tickLblPos val="none"/>
        <c:spPr>
          <a:ln w="3175">
            <a:noFill/>
          </a:ln>
        </c:spPr>
        <c:crossAx val="65868165"/>
        <c:crossesAt val="1"/>
        <c:crossBetween val="between"/>
        <c:dispUnits/>
        <c:majorUnit val="1"/>
      </c:valAx>
      <c:valAx>
        <c:axId val="4537491"/>
        <c:scaling>
          <c:orientation val="minMax"/>
          <c:max val="1"/>
          <c:min val="0"/>
        </c:scaling>
        <c:axPos val="t"/>
        <c:delete val="0"/>
        <c:numFmt formatCode="General" sourceLinked="1"/>
        <c:majorTickMark val="none"/>
        <c:minorTickMark val="none"/>
        <c:tickLblPos val="none"/>
        <c:spPr>
          <a:ln w="3175">
            <a:noFill/>
          </a:ln>
        </c:spPr>
        <c:crossAx val="39160432"/>
        <c:crosses val="max"/>
        <c:crossBetween val="midCat"/>
        <c:dispUnits/>
        <c:majorUnit val="0.1"/>
        <c:minorUnit val="0.020000000000000004"/>
      </c:valAx>
      <c:valAx>
        <c:axId val="39160432"/>
        <c:scaling>
          <c:orientation val="maxMin"/>
          <c:max val="29"/>
          <c:min val="0"/>
        </c:scaling>
        <c:axPos val="l"/>
        <c:delete val="0"/>
        <c:numFmt formatCode="General" sourceLinked="1"/>
        <c:majorTickMark val="none"/>
        <c:minorTickMark val="none"/>
        <c:tickLblPos val="none"/>
        <c:spPr>
          <a:ln w="3175">
            <a:noFill/>
          </a:ln>
        </c:spPr>
        <c:crossAx val="453749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(B81062) CHURCH VIEW SURGERY, HEDON, EAST RIDING OF YORKSHIRE PCT (5NW)</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474</v>
      </c>
      <c r="Q3" s="65"/>
      <c r="R3" s="66"/>
      <c r="S3" s="66"/>
      <c r="T3" s="66"/>
      <c r="U3" s="66"/>
      <c r="V3" s="66"/>
      <c r="W3" s="66"/>
      <c r="X3" s="66"/>
      <c r="Y3" s="66"/>
      <c r="Z3" s="66"/>
      <c r="AA3" s="66"/>
      <c r="AB3" s="66"/>
      <c r="AC3" s="66"/>
    </row>
    <row r="4" spans="2:29" ht="18" customHeight="1">
      <c r="B4" s="319" t="s">
        <v>536</v>
      </c>
      <c r="C4" s="320"/>
      <c r="D4" s="320"/>
      <c r="E4" s="320"/>
      <c r="F4" s="320"/>
      <c r="G4" s="321"/>
      <c r="H4" s="112"/>
      <c r="I4" s="112"/>
      <c r="J4" s="112"/>
      <c r="K4" s="112"/>
      <c r="L4" s="113"/>
      <c r="M4" s="65"/>
      <c r="N4" s="65"/>
      <c r="O4" s="65"/>
      <c r="P4" s="134" t="s">
        <v>475</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476</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371</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535</v>
      </c>
      <c r="C8" s="115"/>
      <c r="D8" s="115"/>
      <c r="E8" s="128">
        <f>VLOOKUP('Hide - Control'!A$3,'All practice data'!A:CA,4,FALSE)</f>
        <v>12146</v>
      </c>
      <c r="F8" s="310" t="str">
        <f>VLOOKUP('Hide - Control'!B4,'Hide - Calculation'!AY:BA,3,FALSE)</f>
        <v> </v>
      </c>
      <c r="G8" s="310"/>
      <c r="H8" s="310"/>
      <c r="I8" s="115"/>
      <c r="J8" s="115"/>
      <c r="K8" s="115"/>
      <c r="L8" s="115"/>
      <c r="M8" s="109"/>
      <c r="N8" s="314" t="s">
        <v>484</v>
      </c>
      <c r="O8" s="314"/>
      <c r="P8" s="314"/>
      <c r="Q8" s="314" t="s">
        <v>32</v>
      </c>
      <c r="R8" s="314"/>
      <c r="S8" s="314"/>
      <c r="T8" s="314" t="s">
        <v>539</v>
      </c>
      <c r="U8" s="314"/>
      <c r="V8" s="314" t="s">
        <v>33</v>
      </c>
      <c r="W8" s="314"/>
      <c r="X8" s="314"/>
      <c r="Y8" s="135"/>
      <c r="Z8" s="314" t="s">
        <v>477</v>
      </c>
      <c r="AA8" s="314"/>
      <c r="AB8" s="161"/>
      <c r="AC8" s="109"/>
    </row>
    <row r="9" spans="2:29" s="61" customFormat="1" ht="19.5" customHeight="1" thickBot="1">
      <c r="B9" s="114" t="s">
        <v>469</v>
      </c>
      <c r="C9" s="114"/>
      <c r="D9" s="114"/>
      <c r="E9" s="129">
        <f>VLOOKUP('Hide - Control'!B4,'Hide - Calculation'!AY:BB,4,FALSE)</f>
        <v>314578</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466</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447</v>
      </c>
      <c r="E11" s="317"/>
      <c r="F11" s="318"/>
      <c r="G11" s="263" t="s">
        <v>445</v>
      </c>
      <c r="H11" s="255" t="s">
        <v>446</v>
      </c>
      <c r="I11" s="255" t="s">
        <v>457</v>
      </c>
      <c r="J11" s="255" t="s">
        <v>458</v>
      </c>
      <c r="K11" s="255" t="s">
        <v>330</v>
      </c>
      <c r="L11" s="256" t="s">
        <v>371</v>
      </c>
      <c r="M11" s="257" t="s">
        <v>467</v>
      </c>
      <c r="N11" s="334" t="s">
        <v>465</v>
      </c>
      <c r="O11" s="334"/>
      <c r="P11" s="334"/>
      <c r="Q11" s="334"/>
      <c r="R11" s="334"/>
      <c r="S11" s="334"/>
      <c r="T11" s="334"/>
      <c r="U11" s="334"/>
      <c r="V11" s="334"/>
      <c r="W11" s="334"/>
      <c r="X11" s="334"/>
      <c r="Y11" s="334"/>
      <c r="Z11" s="334"/>
      <c r="AA11" s="258" t="s">
        <v>468</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328</v>
      </c>
      <c r="C13" s="163">
        <v>1</v>
      </c>
      <c r="D13" s="312" t="s">
        <v>324</v>
      </c>
      <c r="E13" s="313"/>
      <c r="F13" s="313"/>
      <c r="G13" s="166">
        <f>IF(VLOOKUP('Hide - Control'!A$3,'All practice data'!A:CA,C13+4,FALSE)=" "," ",VLOOKUP('Hide - Control'!A$3,'All practice data'!A:CA,C13+4,FALSE))</f>
        <v>2357</v>
      </c>
      <c r="H13" s="190">
        <f>IF(VLOOKUP('Hide - Control'!A$3,'All practice data'!A:CA,C13+30,FALSE)=" "," ",VLOOKUP('Hide - Control'!A$3,'All practice data'!A:CA,C13+30,FALSE))</f>
        <v>0.19405565618310555</v>
      </c>
      <c r="I13" s="191">
        <f>IF(LEFT(G13,1)=" "," n/a",+((2*G13+1.96^2-1.96*SQRT(1.96^2+4*G13*(1-G13/E$8)))/(2*(E$8+1.96^2))))</f>
        <v>0.18711960319847884</v>
      </c>
      <c r="J13" s="191">
        <f>IF(LEFT(G13,1)=" "," n/a",+((2*G13+1.96^2+1.96*SQRT(1.96^2+4*G13*(1-G13/E$8)))/(2*(E$8+1.96^2))))</f>
        <v>0.2011851793099614</v>
      </c>
      <c r="K13" s="190">
        <f>IF('Hide - Calculation'!N7="","",'Hide - Calculation'!N7)</f>
        <v>0.210758540012334</v>
      </c>
      <c r="L13" s="192">
        <f>'Hide - Calculation'!O7</f>
        <v>0.1599882305185145</v>
      </c>
      <c r="M13" s="208">
        <f>IF(ISBLANK('Hide - Calculation'!K7),"",'Hide - Calculation'!U7)</f>
        <v>0.09242144227027893</v>
      </c>
      <c r="N13" s="173"/>
      <c r="O13" s="173"/>
      <c r="P13" s="173"/>
      <c r="Q13" s="173"/>
      <c r="R13" s="173"/>
      <c r="S13" s="173"/>
      <c r="T13" s="173"/>
      <c r="U13" s="173"/>
      <c r="V13" s="173"/>
      <c r="W13" s="173"/>
      <c r="X13" s="173"/>
      <c r="Y13" s="173"/>
      <c r="Z13" s="173"/>
      <c r="AA13" s="226">
        <f>IF(ISBLANK('Hide - Calculation'!K7),"",'Hide - Calculation'!T7)</f>
        <v>0.3145748972892761</v>
      </c>
      <c r="AB13" s="233" t="s">
        <v>533</v>
      </c>
      <c r="AC13" s="209" t="s">
        <v>534</v>
      </c>
    </row>
    <row r="14" spans="2:29" ht="33.75" customHeight="1">
      <c r="B14" s="306"/>
      <c r="C14" s="137">
        <v>2</v>
      </c>
      <c r="D14" s="132" t="s">
        <v>478</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0.09</v>
      </c>
      <c r="I14" s="120">
        <f>IF(LEFT(G14,1)=" "," n/a",+((2*H14*E8+1.96^2-1.96*SQRT(1.96^2+4*H14*E8*(1-H14*E8/E$8)))/(2*(E$8+1.96^2))))</f>
        <v>0.0850392162304239</v>
      </c>
      <c r="J14" s="120">
        <f>IF(LEFT(G14,1)=" "," n/a",+((2*H14*E8+1.96^2+1.96*SQRT(1.96^2+4*H14*E8*(1-H14*E8/E$8)))/(2*(E$8+1.96^2))))</f>
        <v>0.09522005562707916</v>
      </c>
      <c r="K14" s="119">
        <f>IF('Hide - Calculation'!N8="","",'Hide - Calculation'!N8)</f>
        <v>0.10709347125355236</v>
      </c>
      <c r="L14" s="155">
        <f>'Hide - Calculation'!O8</f>
        <v>0.15010930292554353</v>
      </c>
      <c r="M14" s="150">
        <f>IF(ISBLANK('Hide - Calculation'!K8),"",'Hide - Calculation'!U8)</f>
        <v>0.03999999910593033</v>
      </c>
      <c r="N14" s="84"/>
      <c r="O14" s="84"/>
      <c r="P14" s="84"/>
      <c r="Q14" s="84"/>
      <c r="R14" s="84"/>
      <c r="S14" s="84"/>
      <c r="T14" s="84"/>
      <c r="U14" s="84"/>
      <c r="V14" s="84"/>
      <c r="W14" s="84"/>
      <c r="X14" s="84"/>
      <c r="Y14" s="84"/>
      <c r="Z14" s="84"/>
      <c r="AA14" s="227">
        <f>IF(ISBLANK('Hide - Calculation'!K8),"",'Hide - Calculation'!T8)</f>
        <v>0.20999999344348907</v>
      </c>
      <c r="AB14" s="234" t="s">
        <v>39</v>
      </c>
      <c r="AC14" s="130" t="s">
        <v>534</v>
      </c>
    </row>
    <row r="15" spans="2:39" s="63" customFormat="1" ht="33.75" customHeight="1">
      <c r="B15" s="306"/>
      <c r="C15" s="137">
        <v>3</v>
      </c>
      <c r="D15" s="132" t="s">
        <v>333</v>
      </c>
      <c r="E15" s="85"/>
      <c r="F15" s="85"/>
      <c r="G15" s="121">
        <f>IF(VLOOKUP('Hide - Control'!A$3,'All practice data'!A:CA,C15+4,FALSE)=" "," ",VLOOKUP('Hide - Control'!A$3,'All practice data'!A:CA,C15+4,FALSE))</f>
        <v>84</v>
      </c>
      <c r="H15" s="122">
        <f>IF(VLOOKUP('Hide - Control'!A$3,'All practice data'!A:CA,C15+30,FALSE)=" "," ",VLOOKUP('Hide - Control'!A$3,'All practice data'!A:CA,C15+30,FALSE))</f>
        <v>691.5857072287173</v>
      </c>
      <c r="I15" s="123">
        <f>IF(LEFT(G15,1)=" "," n/a",IF(G15&lt;5,100000*VLOOKUP(G15,'Hide - Calculation'!AQ:AR,2,FALSE)/$E$8,100000*(G15*(1-1/(9*G15)-1.96/(3*SQRT(G15)))^3)/$E$8))</f>
        <v>551.6162880828632</v>
      </c>
      <c r="J15" s="123">
        <f>IF(LEFT(G15,1)=" "," n/a",IF(G15&lt;5,100000*VLOOKUP(G15,'Hide - Calculation'!AQ:AS,3,FALSE)/$E$8,100000*((G15+1)*(1-1/(9*(G15+1))+1.96/(3*SQRT(G15+1)))^3)/$E$8))</f>
        <v>856.2432480172845</v>
      </c>
      <c r="K15" s="122">
        <f>IF('Hide - Calculation'!N9="","",'Hide - Calculation'!N9)</f>
        <v>608.4341562347017</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1016.6358642578125</v>
      </c>
      <c r="AB15" s="234" t="s">
        <v>448</v>
      </c>
      <c r="AC15" s="131">
        <v>2009</v>
      </c>
      <c r="AD15" s="64"/>
      <c r="AE15" s="64"/>
      <c r="AF15" s="64"/>
      <c r="AG15" s="64"/>
      <c r="AH15" s="64"/>
      <c r="AI15" s="64"/>
      <c r="AJ15" s="64"/>
      <c r="AK15" s="64"/>
      <c r="AL15" s="64"/>
      <c r="AM15" s="64"/>
    </row>
    <row r="16" spans="2:29" s="63" customFormat="1" ht="33.75" customHeight="1">
      <c r="B16" s="306"/>
      <c r="C16" s="137">
        <v>4</v>
      </c>
      <c r="D16" s="132" t="s">
        <v>470</v>
      </c>
      <c r="E16" s="85"/>
      <c r="F16" s="85"/>
      <c r="G16" s="121">
        <f>IF(VLOOKUP('Hide - Control'!A$3,'All practice data'!A:CA,C16+4,FALSE)=" "," ",VLOOKUP('Hide - Control'!A$3,'All practice data'!A:CA,C16+4,FALSE))</f>
        <v>31</v>
      </c>
      <c r="H16" s="122">
        <f>IF(VLOOKUP('Hide - Control'!A$3,'All practice data'!A:CA,C16+30,FALSE)=" "," ",VLOOKUP('Hide - Control'!A$3,'All practice data'!A:CA,C16+30,FALSE))</f>
        <v>255.22805862012186</v>
      </c>
      <c r="I16" s="123">
        <f>IF(LEFT(G16,1)=" "," n/a",IF(G16&lt;5,100000*VLOOKUP(G16,'Hide - Calculation'!AQ:AR,2,FALSE)/$E$8,100000*(G16*(1-1/(9*G16)-1.96/(3*SQRT(G16)))^3)/$E$8))</f>
        <v>173.382072255831</v>
      </c>
      <c r="J16" s="123">
        <f>IF(LEFT(G16,1)=" "," n/a",IF(G16&lt;5,100000*VLOOKUP(G16,'Hide - Calculation'!AQ:AS,3,FALSE)/$E$8,100000*((G16+1)*(1-1/(9*(G16+1))+1.96/(3*SQRT(G16+1)))^3)/$E$8))</f>
        <v>362.29029903444075</v>
      </c>
      <c r="K16" s="122">
        <f>IF('Hide - Calculation'!N10="","",'Hide - Calculation'!N10)</f>
        <v>307.71382614168823</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519.35791015625</v>
      </c>
      <c r="AB16" s="234" t="s">
        <v>327</v>
      </c>
      <c r="AC16" s="131" t="s">
        <v>502</v>
      </c>
    </row>
    <row r="17" spans="2:29" s="63" customFormat="1" ht="33.75" customHeight="1" thickBot="1">
      <c r="B17" s="309"/>
      <c r="C17" s="180">
        <v>5</v>
      </c>
      <c r="D17" s="195" t="s">
        <v>332</v>
      </c>
      <c r="E17" s="182"/>
      <c r="F17" s="182"/>
      <c r="G17" s="140">
        <f>IF(VLOOKUP('Hide - Control'!A$3,'All practice data'!A:CA,C17+4,FALSE)=" "," ",VLOOKUP('Hide - Control'!A$3,'All practice data'!A:CA,C17+4,FALSE))</f>
        <v>295</v>
      </c>
      <c r="H17" s="141">
        <f>IF(VLOOKUP('Hide - Control'!A$3,'All practice data'!A:CA,C17+30,FALSE)=" "," ",VLOOKUP('Hide - Control'!A$3,'All practice data'!A:CA,C17+30,FALSE))</f>
        <v>0.024</v>
      </c>
      <c r="I17" s="142">
        <f>IF(LEFT(G17,1)=" "," n/a",+((2*G17+1.96^2-1.96*SQRT(1.96^2+4*G17*(1-G17/E$8)))/(2*(E$8+1.96^2))))</f>
        <v>0.021696792450473602</v>
      </c>
      <c r="J17" s="142">
        <f>IF(LEFT(G17,1)=" "," n/a",+((2*G17+1.96^2+1.96*SQRT(1.96^2+4*G17*(1-G17/E$8)))/(2*(E$8+1.96^2))))</f>
        <v>0.027179696605976317</v>
      </c>
      <c r="K17" s="141">
        <f>IF('Hide - Calculation'!N11="","",'Hide - Calculation'!N11)</f>
        <v>0.022312431257112703</v>
      </c>
      <c r="L17" s="157">
        <f>'Hide - Calculation'!O11</f>
        <v>0.015940726342527432</v>
      </c>
      <c r="M17" s="210">
        <f>IF(ISBLANK('Hide - Calculation'!K11),"",'Hide - Calculation'!U11)</f>
        <v>0.009999999776482582</v>
      </c>
      <c r="N17" s="91"/>
      <c r="O17" s="91"/>
      <c r="P17" s="91"/>
      <c r="Q17" s="91"/>
      <c r="R17" s="91"/>
      <c r="S17" s="91"/>
      <c r="T17" s="91"/>
      <c r="U17" s="91"/>
      <c r="V17" s="91"/>
      <c r="W17" s="91"/>
      <c r="X17" s="91"/>
      <c r="Y17" s="91"/>
      <c r="Z17" s="91"/>
      <c r="AA17" s="229">
        <f>IF(ISBLANK('Hide - Calculation'!K11),"",'Hide - Calculation'!T11)</f>
        <v>0.03700000047683716</v>
      </c>
      <c r="AB17" s="235" t="s">
        <v>471</v>
      </c>
      <c r="AC17" s="189" t="s">
        <v>502</v>
      </c>
    </row>
    <row r="18" spans="2:29" s="63" customFormat="1" ht="33.75" customHeight="1">
      <c r="B18" s="308" t="s">
        <v>13</v>
      </c>
      <c r="C18" s="163">
        <v>6</v>
      </c>
      <c r="D18" s="164" t="s">
        <v>479</v>
      </c>
      <c r="E18" s="165"/>
      <c r="F18" s="165"/>
      <c r="G18" s="219">
        <f>IF(OR(VLOOKUP('Hide - Control'!A$3,'All practice data'!A:CA,C18+4,FALSE)=" ",VLOOKUP('Hide - Control'!A$3,'All practice data'!A:CA,C18+52,FALSE)=0)," n/a",VLOOKUP('Hide - Control'!A$3,'All practice data'!A:CA,C18+4,FALSE))</f>
        <v>1499</v>
      </c>
      <c r="H18" s="220">
        <f>IF(OR(VLOOKUP('Hide - Control'!A$3,'All practice data'!A:CA,C18+30,FALSE)=" ",VLOOKUP('Hide - Control'!A$3,'All practice data'!A:CA,C18+52,FALSE)=0)," n/a",VLOOKUP('Hide - Control'!A$3,'All practice data'!A:CA,C18+30,FALSE))</f>
        <v>0.802463</v>
      </c>
      <c r="I18" s="191">
        <f>IF(OR(LEFT(H18,1)=" ",VLOOKUP('Hide - Control'!A$3,'All practice data'!A:CA,C18+52,FALSE)=0)," n/a",+((2*G18+1.96^2-1.96*SQRT(1.96^2+4*G18*(1-G18/(VLOOKUP('Hide - Control'!A$3,'All practice data'!A:CA,C18+52,FALSE)))))/(2*(((VLOOKUP('Hide - Control'!A$3,'All practice data'!A:CA,C18+52,FALSE)))+1.96^2))))</f>
        <v>0.7837943360381551</v>
      </c>
      <c r="J18" s="191">
        <f>IF(OR(LEFT(H18,1)=" ",VLOOKUP('Hide - Control'!A$3,'All practice data'!A:CA,C18+52,FALSE)=0)," n/a",+((2*G18+1.96^2+1.96*SQRT(1.96^2+4*G18*(1-G18/(VLOOKUP('Hide - Control'!A$3,'All practice data'!A:CA,C18+52,FALSE)))))/(2*((VLOOKUP('Hide - Control'!A$3,'All practice data'!A:CA,C18+52,FALSE))+1.96^2))))</f>
        <v>0.8198892235109009</v>
      </c>
      <c r="K18" s="220">
        <f>IF('Hide - Calculation'!N12="","",'Hide - Calculation'!N12)</f>
        <v>0.7794279186255987</v>
      </c>
      <c r="L18" s="192">
        <f>'Hide - Calculation'!O12</f>
        <v>0.7248631360507991</v>
      </c>
      <c r="M18" s="193">
        <f>IF(ISBLANK('Hide - Calculation'!K12),"",'Hide - Calculation'!U12)</f>
        <v>0.5362319946289062</v>
      </c>
      <c r="N18" s="194"/>
      <c r="O18" s="173"/>
      <c r="P18" s="173"/>
      <c r="Q18" s="173"/>
      <c r="R18" s="173"/>
      <c r="S18" s="173"/>
      <c r="T18" s="173"/>
      <c r="U18" s="173"/>
      <c r="V18" s="173"/>
      <c r="W18" s="173"/>
      <c r="X18" s="173"/>
      <c r="Y18" s="173"/>
      <c r="Z18" s="174"/>
      <c r="AA18" s="193">
        <f>IF(ISBLANK('Hide - Calculation'!K12),"",'Hide - Calculation'!T12)</f>
        <v>0.8849560022354126</v>
      </c>
      <c r="AB18" s="233" t="s">
        <v>48</v>
      </c>
      <c r="AC18" s="175" t="s">
        <v>503</v>
      </c>
    </row>
    <row r="19" spans="2:29" s="63" customFormat="1" ht="33.75" customHeight="1">
      <c r="B19" s="306"/>
      <c r="C19" s="137">
        <v>7</v>
      </c>
      <c r="D19" s="132" t="s">
        <v>480</v>
      </c>
      <c r="E19" s="85"/>
      <c r="F19" s="85"/>
      <c r="G19" s="221">
        <f>IF(OR(VLOOKUP('Hide - Control'!A$3,'All practice data'!A:CA,C19+4,FALSE)=" ",VLOOKUP('Hide - Control'!A$3,'All practice data'!A:CA,C19+52,FALSE)=0)," n/a",VLOOKUP('Hide - Control'!A$3,'All practice data'!A:CA,C19+4,FALSE))</f>
        <v>7</v>
      </c>
      <c r="H19" s="218">
        <f>IF(OR(VLOOKUP('Hide - Control'!A$3,'All practice data'!A:CA,C19+30,FALSE)=" ",VLOOKUP('Hide - Control'!A$3,'All practice data'!A:CA,C19+52,FALSE)=0)," n/a",VLOOKUP('Hide - Control'!A$3,'All practice data'!A:CA,C19+30,FALSE))</f>
        <v>0.4375</v>
      </c>
      <c r="I19" s="120">
        <f>IF(OR(LEFT(H19,1)=" ",VLOOKUP('Hide - Control'!A$3,'All practice data'!A:CA,C19+52,FALSE)=0)," n/a",+((2*G19+1.96^2-1.96*SQRT(1.96^2+4*G19*(1-G19/(VLOOKUP('Hide - Control'!A$3,'All practice data'!A:CA,C19+52,FALSE)))))/(2*(((VLOOKUP('Hide - Control'!A$3,'All practice data'!A:CA,C19+52,FALSE)))+1.96^2))))</f>
        <v>0.2309836333518552</v>
      </c>
      <c r="J19" s="120">
        <f>IF(OR(LEFT(H19,1)=" ",VLOOKUP('Hide - Control'!A$3,'All practice data'!A:CA,C19+52,FALSE)=0)," n/a",+((2*G19+1.96^2+1.96*SQRT(1.96^2+4*G19*(1-G19/(VLOOKUP('Hide - Control'!A$3,'All practice data'!A:CA,C19+52,FALSE)))))/(2*((VLOOKUP('Hide - Control'!A$3,'All practice data'!A:CA,C19+52,FALSE))+1.96^2))))</f>
        <v>0.6682180439322348</v>
      </c>
      <c r="K19" s="218">
        <f>IF('Hide - Calculation'!N13="","",'Hide - Calculation'!N13)</f>
        <v>0.7882814201698977</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502</v>
      </c>
    </row>
    <row r="20" spans="2:29" s="63" customFormat="1" ht="33.75" customHeight="1">
      <c r="B20" s="306"/>
      <c r="C20" s="137">
        <v>8</v>
      </c>
      <c r="D20" s="132" t="s">
        <v>481</v>
      </c>
      <c r="E20" s="85"/>
      <c r="F20" s="85"/>
      <c r="G20" s="221">
        <f>IF(OR(VLOOKUP('Hide - Control'!A$3,'All practice data'!A:CA,C20+4,FALSE)=" ",VLOOKUP('Hide - Control'!A$3,'All practice data'!A:CA,C20+52,FALSE)=0)," n/a",VLOOKUP('Hide - Control'!A$3,'All practice data'!A:CA,C20+4,FALSE))</f>
        <v>2554</v>
      </c>
      <c r="H20" s="218">
        <f>IF(OR(VLOOKUP('Hide - Control'!A$3,'All practice data'!A:CA,C20+30,FALSE)=" ",VLOOKUP('Hide - Control'!A$3,'All practice data'!A:CA,C20+52,FALSE)=0)," n/a",VLOOKUP('Hide - Control'!A$3,'All practice data'!A:CA,C20+30,FALSE))</f>
        <v>0.82949</v>
      </c>
      <c r="I20" s="120">
        <f>IF(OR(LEFT(H20,1)=" ",VLOOKUP('Hide - Control'!A$3,'All practice data'!A:CA,C20+52,FALSE)=0)," n/a",+((2*G20+1.96^2-1.96*SQRT(1.96^2+4*G20*(1-G20/(VLOOKUP('Hide - Control'!A$3,'All practice data'!A:CA,C20+52,FALSE)))))/(2*(((VLOOKUP('Hide - Control'!A$3,'All practice data'!A:CA,C20+52,FALSE)))+1.96^2))))</f>
        <v>0.8157973560261265</v>
      </c>
      <c r="J20" s="120">
        <f>IF(OR(LEFT(H20,1)=" ",VLOOKUP('Hide - Control'!A$3,'All practice data'!A:CA,C20+52,FALSE)=0)," n/a",+((2*G20+1.96^2+1.96*SQRT(1.96^2+4*G20*(1-G20/(VLOOKUP('Hide - Control'!A$3,'All practice data'!A:CA,C20+52,FALSE)))))/(2*((VLOOKUP('Hide - Control'!A$3,'All practice data'!A:CA,C20+52,FALSE))+1.96^2))))</f>
        <v>0.8423616619396359</v>
      </c>
      <c r="K20" s="218">
        <f>IF('Hide - Calculation'!N14="","",'Hide - Calculation'!N14)</f>
        <v>0.796403475234341</v>
      </c>
      <c r="L20" s="155">
        <f>'Hide - Calculation'!O14</f>
        <v>0.7559681673907895</v>
      </c>
      <c r="M20" s="152">
        <f>IF(ISBLANK('Hide - Calculation'!K14),"",'Hide - Calculation'!U14)</f>
        <v>0.6798809766769409</v>
      </c>
      <c r="N20" s="160"/>
      <c r="O20" s="84"/>
      <c r="P20" s="84"/>
      <c r="Q20" s="84"/>
      <c r="R20" s="84"/>
      <c r="S20" s="84"/>
      <c r="T20" s="84"/>
      <c r="U20" s="84"/>
      <c r="V20" s="84"/>
      <c r="W20" s="84"/>
      <c r="X20" s="84"/>
      <c r="Y20" s="84"/>
      <c r="Z20" s="88"/>
      <c r="AA20" s="152">
        <f>IF(ISBLANK('Hide - Calculation'!K14),"",'Hide - Calculation'!T14)</f>
        <v>0.8905720114707947</v>
      </c>
      <c r="AB20" s="234" t="s">
        <v>48</v>
      </c>
      <c r="AC20" s="131" t="s">
        <v>504</v>
      </c>
    </row>
    <row r="21" spans="2:29" s="63" customFormat="1" ht="33.75" customHeight="1">
      <c r="B21" s="306"/>
      <c r="C21" s="137">
        <v>9</v>
      </c>
      <c r="D21" s="132" t="s">
        <v>482</v>
      </c>
      <c r="E21" s="85"/>
      <c r="F21" s="85"/>
      <c r="G21" s="221">
        <f>IF(OR(VLOOKUP('Hide - Control'!A$3,'All practice data'!A:CA,C21+4,FALSE)=" ",VLOOKUP('Hide - Control'!A$3,'All practice data'!A:CA,C21+52,FALSE)=0)," n/a",VLOOKUP('Hide - Control'!A$3,'All practice data'!A:CA,C21+4,FALSE))</f>
        <v>1260</v>
      </c>
      <c r="H21" s="218">
        <f>IF(OR(VLOOKUP('Hide - Control'!A$3,'All practice data'!A:CA,C21+30,FALSE)=" ",VLOOKUP('Hide - Control'!A$3,'All practice data'!A:CA,C21+52,FALSE)=0)," n/a",VLOOKUP('Hide - Control'!A$3,'All practice data'!A:CA,C21+30,FALSE))</f>
        <v>0.697288</v>
      </c>
      <c r="I21" s="120">
        <f>IF(OR(LEFT(H21,1)=" ",VLOOKUP('Hide - Control'!A$3,'All practice data'!A:CA,C21+52,FALSE)=0)," n/a",+((2*G21+1.96^2-1.96*SQRT(1.96^2+4*G21*(1-G21/(VLOOKUP('Hide - Control'!A$3,'All practice data'!A:CA,C21+52,FALSE)))))/(2*(((VLOOKUP('Hide - Control'!A$3,'All practice data'!A:CA,C21+52,FALSE)))+1.96^2))))</f>
        <v>0.6757046270813026</v>
      </c>
      <c r="J21" s="120">
        <f>IF(OR(LEFT(H21,1)=" ",VLOOKUP('Hide - Control'!A$3,'All practice data'!A:CA,C21+52,FALSE)=0)," n/a",+((2*G21+1.96^2+1.96*SQRT(1.96^2+4*G21*(1-G21/(VLOOKUP('Hide - Control'!A$3,'All practice data'!A:CA,C21+52,FALSE)))))/(2*((VLOOKUP('Hide - Control'!A$3,'All practice data'!A:CA,C21+52,FALSE))+1.96^2))))</f>
        <v>0.7180349468273155</v>
      </c>
      <c r="K21" s="218">
        <f>IF('Hide - Calculation'!N15="","",'Hide - Calculation'!N15)</f>
        <v>0.6345039826212889</v>
      </c>
      <c r="L21" s="155">
        <f>'Hide - Calculation'!O15</f>
        <v>0.5147293797466616</v>
      </c>
      <c r="M21" s="152">
        <f>IF(ISBLANK('Hide - Calculation'!K15),"",'Hide - Calculation'!U15)</f>
        <v>0.4836069941520691</v>
      </c>
      <c r="N21" s="160"/>
      <c r="O21" s="84"/>
      <c r="P21" s="84"/>
      <c r="Q21" s="84"/>
      <c r="R21" s="84"/>
      <c r="S21" s="84"/>
      <c r="T21" s="84"/>
      <c r="U21" s="84"/>
      <c r="V21" s="84"/>
      <c r="W21" s="84"/>
      <c r="X21" s="84"/>
      <c r="Y21" s="84"/>
      <c r="Z21" s="88"/>
      <c r="AA21" s="152">
        <f>IF(ISBLANK('Hide - Calculation'!K15),"",'Hide - Calculation'!T15)</f>
        <v>0.7197449803352356</v>
      </c>
      <c r="AB21" s="234" t="s">
        <v>48</v>
      </c>
      <c r="AC21" s="131" t="s">
        <v>503</v>
      </c>
    </row>
    <row r="22" spans="2:29" s="63" customFormat="1" ht="33.75" customHeight="1" thickBot="1">
      <c r="B22" s="309"/>
      <c r="C22" s="180">
        <v>10</v>
      </c>
      <c r="D22" s="195" t="s">
        <v>483</v>
      </c>
      <c r="E22" s="182"/>
      <c r="F22" s="182"/>
      <c r="G22" s="222">
        <f>IF(OR(VLOOKUP('Hide - Control'!A$3,'All practice data'!A:CA,C22+4,FALSE)=" ",VLOOKUP('Hide - Control'!A$3,'All practice data'!A:CA,C22+52,FALSE)=0)," n/a",VLOOKUP('Hide - Control'!A$3,'All practice data'!A:CA,C22+4,FALSE))</f>
        <v>634</v>
      </c>
      <c r="H22" s="223">
        <f>IF(OR(VLOOKUP('Hide - Control'!A$3,'All practice data'!A:CA,C22+30,FALSE)=" ",VLOOKUP('Hide - Control'!A$3,'All practice data'!A:CA,C22+52,FALSE)=0)," n/a",VLOOKUP('Hide - Control'!A$3,'All practice data'!A:CA,C22+30,FALSE))</f>
        <v>0.693654</v>
      </c>
      <c r="I22" s="196">
        <f>IF(OR(LEFT(H22,1)=" ",VLOOKUP('Hide - Control'!A$3,'All practice data'!A:CA,C22+52,FALSE)=0)," n/a",+((2*G22+1.96^2-1.96*SQRT(1.96^2+4*G22*(1-G22/(VLOOKUP('Hide - Control'!A$3,'All practice data'!A:CA,C22+52,FALSE)))))/(2*(((VLOOKUP('Hide - Control'!A$3,'All practice data'!A:CA,C22+52,FALSE)))+1.96^2))))</f>
        <v>0.6630098352508463</v>
      </c>
      <c r="J22" s="196">
        <f>IF(OR(LEFT(H22,1)=" ",VLOOKUP('Hide - Control'!A$3,'All practice data'!A:CA,C22+52,FALSE)=0)," n/a",+((2*G22+1.96^2+1.96*SQRT(1.96^2+4*G22*(1-G22/(VLOOKUP('Hide - Control'!A$3,'All practice data'!A:CA,C22+52,FALSE)))))/(2*((VLOOKUP('Hide - Control'!A$3,'All practice data'!A:CA,C22+52,FALSE))+1.96^2))))</f>
        <v>0.7226776297757987</v>
      </c>
      <c r="K22" s="223">
        <f>IF('Hide - Calculation'!N16="","",'Hide - Calculation'!N16)</f>
        <v>0.6456675310739516</v>
      </c>
      <c r="L22" s="197">
        <f>'Hide - Calculation'!O16</f>
        <v>0.5752927626212945</v>
      </c>
      <c r="M22" s="198">
        <f>IF(ISBLANK('Hide - Calculation'!K16),"",'Hide - Calculation'!U16)</f>
        <v>0.5</v>
      </c>
      <c r="N22" s="199"/>
      <c r="O22" s="91"/>
      <c r="P22" s="91"/>
      <c r="Q22" s="91"/>
      <c r="R22" s="91"/>
      <c r="S22" s="91"/>
      <c r="T22" s="91"/>
      <c r="U22" s="91"/>
      <c r="V22" s="91"/>
      <c r="W22" s="91"/>
      <c r="X22" s="91"/>
      <c r="Y22" s="91"/>
      <c r="Z22" s="188"/>
      <c r="AA22" s="198">
        <f>IF(ISBLANK('Hide - Calculation'!K16),"",'Hide - Calculation'!T16)</f>
        <v>0.7279999852180481</v>
      </c>
      <c r="AB22" s="235" t="s">
        <v>48</v>
      </c>
      <c r="AC22" s="189" t="s">
        <v>502</v>
      </c>
    </row>
    <row r="23" spans="2:29" s="63" customFormat="1" ht="33.75" customHeight="1">
      <c r="B23" s="308" t="s">
        <v>322</v>
      </c>
      <c r="C23" s="163">
        <v>11</v>
      </c>
      <c r="D23" s="179" t="s">
        <v>334</v>
      </c>
      <c r="E23" s="165"/>
      <c r="F23" s="165"/>
      <c r="G23" s="118">
        <f>IF(VLOOKUP('Hide - Control'!A$3,'All practice data'!A:CA,C23+4,FALSE)=" "," ",VLOOKUP('Hide - Control'!A$3,'All practice data'!A:CA,C23+4,FALSE))</f>
        <v>259</v>
      </c>
      <c r="H23" s="216">
        <f>IF(VLOOKUP('Hide - Control'!A$3,'All practice data'!A:CA,C23+30,FALSE)=" "," ",VLOOKUP('Hide - Control'!A$3,'All practice data'!A:CA,C23+30,FALSE))</f>
        <v>2132.3892639552114</v>
      </c>
      <c r="I23" s="215">
        <f>IF(LEFT(G23,1)=" "," n/a",IF(G23&lt;5,100000*VLOOKUP(G23,'Hide - Calculation'!AQ:AR,2,FALSE)/$E$8,100000*(G23*(1-1/(9*G23)-1.96/(3*SQRT(G23)))^3)/$E$8))</f>
        <v>1880.5640448266054</v>
      </c>
      <c r="J23" s="215">
        <f>IF(LEFT(G23,1)=" "," n/a",IF(G23&lt;5,100000*VLOOKUP(G23,'Hide - Calculation'!AQ:AS,3,FALSE)/$E$8,100000*((G23+1)*(1-1/(9*(G23+1))+1.96/(3*SQRT(G23+1)))^3)/$E$8))</f>
        <v>2408.5388952619855</v>
      </c>
      <c r="K23" s="216">
        <f>IF('Hide - Calculation'!N17="","",'Hide - Calculation'!N17)</f>
        <v>1704.18783258842</v>
      </c>
      <c r="L23" s="217">
        <f>'Hide - Calculation'!O17</f>
        <v>1812.1669120472948</v>
      </c>
      <c r="M23" s="170">
        <f>IF(ISBLANK('Hide - Calculation'!K17),"",'Hide - Calculation'!U17)</f>
        <v>417.9031066894531</v>
      </c>
      <c r="N23" s="171"/>
      <c r="O23" s="172"/>
      <c r="P23" s="172"/>
      <c r="Q23" s="172"/>
      <c r="R23" s="173"/>
      <c r="S23" s="173"/>
      <c r="T23" s="173"/>
      <c r="U23" s="173"/>
      <c r="V23" s="173"/>
      <c r="W23" s="173"/>
      <c r="X23" s="173"/>
      <c r="Y23" s="173"/>
      <c r="Z23" s="174"/>
      <c r="AA23" s="170">
        <f>IF(ISBLANK('Hide - Calculation'!K17),"",'Hide - Calculation'!T17)</f>
        <v>2916.12060546875</v>
      </c>
      <c r="AB23" s="233" t="s">
        <v>26</v>
      </c>
      <c r="AC23" s="175" t="s">
        <v>502</v>
      </c>
    </row>
    <row r="24" spans="2:29" s="63" customFormat="1" ht="33.75" customHeight="1">
      <c r="B24" s="306"/>
      <c r="C24" s="137">
        <v>12</v>
      </c>
      <c r="D24" s="147" t="s">
        <v>489</v>
      </c>
      <c r="E24" s="85"/>
      <c r="F24" s="85"/>
      <c r="G24" s="118">
        <f>IF(VLOOKUP('Hide - Control'!A$3,'All practice data'!A:CA,C24+4,FALSE)=" "," ",VLOOKUP('Hide - Control'!A$3,'All practice data'!A:CA,C24+4,FALSE))</f>
        <v>259</v>
      </c>
      <c r="H24" s="119">
        <f>IF(VLOOKUP('Hide - Control'!A$3,'All practice data'!A:CA,C24+30,FALSE)=" "," ",VLOOKUP('Hide - Control'!A$3,'All practice data'!A:CA,C24+30,FALSE))</f>
        <v>1.022420731</v>
      </c>
      <c r="I24" s="212">
        <f>IF(LEFT(VLOOKUP('Hide - Control'!A$3,'All practice data'!A:CA,C24+44,FALSE),1)=" "," n/a",VLOOKUP('Hide - Control'!A$3,'All practice data'!A:CA,C24+44,FALSE))</f>
        <v>0.9016839600000001</v>
      </c>
      <c r="J24" s="212">
        <f>IF(LEFT(VLOOKUP('Hide - Control'!A$3,'All practice data'!A:CA,C24+45,FALSE),1)=" "," n/a",VLOOKUP('Hide - Control'!A$3,'All practice data'!A:CA,C24+45,FALSE))</f>
        <v>1.1548210140000001</v>
      </c>
      <c r="K24" s="152" t="s">
        <v>538</v>
      </c>
      <c r="L24" s="213">
        <v>1</v>
      </c>
      <c r="M24" s="152">
        <f>IF(ISBLANK('Hide - Calculation'!K18),"",'Hide - Calculation'!U18)</f>
        <v>0.2566588222980499</v>
      </c>
      <c r="N24" s="86"/>
      <c r="O24" s="87"/>
      <c r="P24" s="87"/>
      <c r="Q24" s="87"/>
      <c r="R24" s="84"/>
      <c r="S24" s="84"/>
      <c r="T24" s="84"/>
      <c r="U24" s="84"/>
      <c r="V24" s="84"/>
      <c r="W24" s="84"/>
      <c r="X24" s="84"/>
      <c r="Y24" s="84"/>
      <c r="Z24" s="88"/>
      <c r="AA24" s="152">
        <f>IF(ISBLANK('Hide - Calculation'!K18),"",'Hide - Calculation'!T18)</f>
        <v>1.319453239440918</v>
      </c>
      <c r="AB24" s="234" t="s">
        <v>26</v>
      </c>
      <c r="AC24" s="131" t="s">
        <v>502</v>
      </c>
    </row>
    <row r="25" spans="2:29" s="63" customFormat="1" ht="33.75" customHeight="1">
      <c r="B25" s="306"/>
      <c r="C25" s="137">
        <v>13</v>
      </c>
      <c r="D25" s="147" t="s">
        <v>329</v>
      </c>
      <c r="E25" s="85"/>
      <c r="F25" s="85"/>
      <c r="G25" s="118">
        <f>IF(VLOOKUP('Hide - Control'!A$3,'All practice data'!A:CA,C25+4,FALSE)=" "," ",VLOOKUP('Hide - Control'!A$3,'All practice data'!A:CA,C25+4,FALSE))</f>
        <v>40</v>
      </c>
      <c r="H25" s="119">
        <f>IF(VLOOKUP('Hide - Control'!A$3,'All practice data'!A:CA,C25+30,FALSE)=" "," ",VLOOKUP('Hide - Control'!A$3,'All practice data'!A:CA,C25+30,FALSE))</f>
        <v>0.15444015444015444</v>
      </c>
      <c r="I25" s="120">
        <f>IF(LEFT(G25,1)=" "," n/a",IF(G25=0," n/a",+((2*G25+1.96^2-1.96*SQRT(1.96^2+4*G25*(1-G25/G23)))/(2*(G23+1.96^2)))))</f>
        <v>0.11551185153159188</v>
      </c>
      <c r="J25" s="120">
        <f>IF(LEFT(G25,1)=" "," n/a",IF(G25=0," n/a",+((2*G25+1.96^2+1.96*SQRT(1.96^2+4*G25*(1-G25/G23)))/(2*(G23+1.96^2)))))</f>
        <v>0.20346961867708135</v>
      </c>
      <c r="K25" s="125">
        <f>IF('Hide - Calculation'!N19="","",'Hide - Calculation'!N19)</f>
        <v>0.16731952993844432</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0.3095238208770752</v>
      </c>
      <c r="AB25" s="234" t="s">
        <v>26</v>
      </c>
      <c r="AC25" s="131" t="s">
        <v>502</v>
      </c>
    </row>
    <row r="26" spans="2:29" s="63" customFormat="1" ht="33.75" customHeight="1">
      <c r="B26" s="306"/>
      <c r="C26" s="137">
        <v>14</v>
      </c>
      <c r="D26" s="147" t="s">
        <v>472</v>
      </c>
      <c r="E26" s="85"/>
      <c r="F26" s="85"/>
      <c r="G26" s="121">
        <f>IF(VLOOKUP('Hide - Control'!A$3,'All practice data'!A:CA,C26+4,FALSE)=" "," ",VLOOKUP('Hide - Control'!A$3,'All practice data'!A:CA,C26+4,FALSE))</f>
        <v>77</v>
      </c>
      <c r="H26" s="119">
        <f>IF(VLOOKUP('Hide - Control'!A$3,'All practice data'!A:CA,C26+30,FALSE)=" "," ",VLOOKUP('Hide - Control'!A$3,'All practice data'!A:CA,C26+30,FALSE))</f>
        <v>0.5194805194805194</v>
      </c>
      <c r="I26" s="120">
        <f>IF(OR(LEFT(G26,1)=" ",LEFT(G25,1)=" ")," n/a",IF(G26=0," n/a",+((2*G25+1.96^2-1.96*SQRT(1.96^2+4*G25*(1-G25/G26)))/(2*(G26+1.96^2)))))</f>
        <v>0.40963811196379807</v>
      </c>
      <c r="J26" s="120">
        <f>IF(OR(LEFT(G26,1)=" ",LEFT(G25,1)=" ")," n/a",IF(G26=0," n/a",+((2*G25+1.96^2+1.96*SQRT(1.96^2+4*G25*(1-G25/G26)))/(2*(G26+1.96^2)))))</f>
        <v>0.6274714949712453</v>
      </c>
      <c r="K26" s="125">
        <f>IF('Hide - Calculation'!N20="","",'Hide - Calculation'!N20)</f>
        <v>0.4523449319213313</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0.6363636255264282</v>
      </c>
      <c r="AB26" s="234" t="s">
        <v>26</v>
      </c>
      <c r="AC26" s="131" t="s">
        <v>502</v>
      </c>
    </row>
    <row r="27" spans="2:29" s="63" customFormat="1" ht="33.75" customHeight="1">
      <c r="B27" s="306"/>
      <c r="C27" s="137">
        <v>15</v>
      </c>
      <c r="D27" s="147" t="s">
        <v>459</v>
      </c>
      <c r="E27" s="85"/>
      <c r="F27" s="85"/>
      <c r="G27" s="121">
        <f>IF(VLOOKUP('Hide - Control'!A$3,'All practice data'!A:CA,C27+4,FALSE)=" "," ",VLOOKUP('Hide - Control'!A$3,'All practice data'!A:CA,C27+4,FALSE))</f>
        <v>36</v>
      </c>
      <c r="H27" s="122">
        <f>IF(VLOOKUP('Hide - Control'!A$3,'All practice data'!A:CA,C27+30,FALSE)=" "," ",VLOOKUP('Hide - Control'!A$3,'All practice data'!A:CA,C27+30,FALSE))</f>
        <v>296.3938745265931</v>
      </c>
      <c r="I27" s="123">
        <f>IF(LEFT(G27,1)=" "," n/a",IF(G27&lt;5,100000*VLOOKUP(G27,'Hide - Calculation'!AQ:AR,2,FALSE)/$E$8,100000*(G27*(1-1/(9*G27)-1.96/(3*SQRT(G27)))^3)/$E$8))</f>
        <v>207.56032796368908</v>
      </c>
      <c r="J27" s="123">
        <f>IF(LEFT(G27,1)=" "," n/a",IF(G27&lt;5,100000*VLOOKUP(G27,'Hide - Calculation'!AQ:AS,3,FALSE)/$E$8,100000*((G27+1)*(1-1/(9*(G27+1))+1.96/(3*SQRT(G27+1)))^3)/$E$8))</f>
        <v>410.3484106802135</v>
      </c>
      <c r="K27" s="122">
        <f>IF('Hide - Calculation'!N21="","",'Hide - Calculation'!N21)</f>
        <v>299.13089917286015</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509.21435546875</v>
      </c>
      <c r="AB27" s="234" t="s">
        <v>26</v>
      </c>
      <c r="AC27" s="131" t="s">
        <v>502</v>
      </c>
    </row>
    <row r="28" spans="2:29" s="63" customFormat="1" ht="33.75" customHeight="1">
      <c r="B28" s="306"/>
      <c r="C28" s="137">
        <v>16</v>
      </c>
      <c r="D28" s="147" t="s">
        <v>460</v>
      </c>
      <c r="E28" s="85"/>
      <c r="F28" s="85"/>
      <c r="G28" s="121">
        <f>IF(VLOOKUP('Hide - Control'!A$3,'All practice data'!A:CA,C28+4,FALSE)=" "," ",VLOOKUP('Hide - Control'!A$3,'All practice data'!A:CA,C28+4,FALSE))</f>
        <v>34</v>
      </c>
      <c r="H28" s="122">
        <f>IF(VLOOKUP('Hide - Control'!A$3,'All practice data'!A:CA,C28+30,FALSE)=" "," ",VLOOKUP('Hide - Control'!A$3,'All practice data'!A:CA,C28+30,FALSE))</f>
        <v>279.92754816400463</v>
      </c>
      <c r="I28" s="123">
        <f>IF(LEFT(G28,1)=" "," n/a",IF(G28&lt;5,100000*VLOOKUP(G28,'Hide - Calculation'!AQ:AR,2,FALSE)/$E$8,100000*(G28*(1-1/(9*G28)-1.96/(3*SQRT(G28)))^3)/$E$8))</f>
        <v>193.82666457566492</v>
      </c>
      <c r="J28" s="123">
        <f>IF(LEFT(G28,1)=" "," n/a",IF(G28&lt;5,100000*VLOOKUP(G28,'Hide - Calculation'!AQ:AS,3,FALSE)/$E$8,100000*((G28+1)*(1-1/(9*(G28+1))+1.96/(3*SQRT(G28+1)))^3)/$E$8))</f>
        <v>391.1850874937102</v>
      </c>
      <c r="K28" s="122">
        <f>IF('Hide - Calculation'!N22="","",'Hide - Calculation'!N22)</f>
        <v>290.2300860200014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670.9039306640625</v>
      </c>
      <c r="AB28" s="234" t="s">
        <v>26</v>
      </c>
      <c r="AC28" s="131" t="s">
        <v>502</v>
      </c>
    </row>
    <row r="29" spans="2:29" s="63" customFormat="1" ht="33.75" customHeight="1">
      <c r="B29" s="306"/>
      <c r="C29" s="137">
        <v>17</v>
      </c>
      <c r="D29" s="147" t="s">
        <v>461</v>
      </c>
      <c r="E29" s="85"/>
      <c r="F29" s="85"/>
      <c r="G29" s="121">
        <f>IF(VLOOKUP('Hide - Control'!A$3,'All practice data'!A:CA,C29+4,FALSE)=" "," ",VLOOKUP('Hide - Control'!A$3,'All practice data'!A:CA,C29+4,FALSE))</f>
        <v>16</v>
      </c>
      <c r="H29" s="122">
        <f>IF(VLOOKUP('Hide - Control'!A$3,'All practice data'!A:CA,C29+30,FALSE)=" "," ",VLOOKUP('Hide - Control'!A$3,'All practice data'!A:CA,C29+30,FALSE))</f>
        <v>131.73061090070806</v>
      </c>
      <c r="I29" s="123">
        <f>IF(LEFT(G29,1)=" "," n/a",IF(G29&lt;5,100000*VLOOKUP(G29,'Hide - Calculation'!AQ:AR,2,FALSE)/$E$8,100000*(G29*(1-1/(9*G29)-1.96/(3*SQRT(G29)))^3)/$E$8))</f>
        <v>75.2462517734053</v>
      </c>
      <c r="J29" s="123">
        <f>IF(LEFT(G29,1)=" "," n/a",IF(G29&lt;5,100000*VLOOKUP(G29,'Hide - Calculation'!AQ:AS,3,FALSE)/$E$8,100000*((G29+1)*(1-1/(9*(G29+1))+1.96/(3*SQRT(G29+1)))^3)/$E$8))</f>
        <v>213.93574209988387</v>
      </c>
      <c r="K29" s="122">
        <f>IF('Hide - Calculation'!N23="","",'Hide - Calculation'!N23)</f>
        <v>139.23414860543332</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282.5771179199219</v>
      </c>
      <c r="AB29" s="234" t="s">
        <v>26</v>
      </c>
      <c r="AC29" s="131" t="s">
        <v>502</v>
      </c>
    </row>
    <row r="30" spans="2:29" s="63" customFormat="1" ht="33.75" customHeight="1" thickBot="1">
      <c r="B30" s="309"/>
      <c r="C30" s="180">
        <v>18</v>
      </c>
      <c r="D30" s="181" t="s">
        <v>462</v>
      </c>
      <c r="E30" s="182"/>
      <c r="F30" s="182"/>
      <c r="G30" s="183">
        <f>IF(VLOOKUP('Hide - Control'!A$3,'All practice data'!A:CA,C30+4,FALSE)=" "," ",VLOOKUP('Hide - Control'!A$3,'All practice data'!A:CA,C30+4,FALSE))</f>
        <v>65</v>
      </c>
      <c r="H30" s="184">
        <f>IF(VLOOKUP('Hide - Control'!A$3,'All practice data'!A:CA,C30+30,FALSE)=" "," ",VLOOKUP('Hide - Control'!A$3,'All practice data'!A:CA,C30+30,FALSE))</f>
        <v>535.1556067841265</v>
      </c>
      <c r="I30" s="185">
        <f>IF(LEFT(G30,1)=" "," n/a",IF(G30&lt;5,100000*VLOOKUP(G30,'Hide - Calculation'!AQ:AR,2,FALSE)/$E$8,100000*(G30*(1-1/(9*G30)-1.96/(3*SQRT(G30)))^3)/$E$8))</f>
        <v>412.99969874006035</v>
      </c>
      <c r="J30" s="185">
        <f>IF(LEFT(G30,1)=" "," n/a",IF(G30&lt;5,100000*VLOOKUP(G30,'Hide - Calculation'!AQ:AS,3,FALSE)/$E$8,100000*((G30+1)*(1-1/(9*(G30+1))+1.96/(3*SQRT(G30+1)))^3)/$E$8))</f>
        <v>682.1132803012354</v>
      </c>
      <c r="K30" s="184">
        <f>IF('Hide - Calculation'!N24="","",'Hide - Calculation'!N24)</f>
        <v>296.26992351658413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642.1482543945312</v>
      </c>
      <c r="AB30" s="235" t="s">
        <v>26</v>
      </c>
      <c r="AC30" s="189" t="s">
        <v>502</v>
      </c>
    </row>
    <row r="31" spans="2:29" s="63" customFormat="1" ht="33.75" customHeight="1">
      <c r="B31" s="304" t="s">
        <v>331</v>
      </c>
      <c r="C31" s="163">
        <v>19</v>
      </c>
      <c r="D31" s="164" t="s">
        <v>335</v>
      </c>
      <c r="E31" s="165"/>
      <c r="F31" s="165"/>
      <c r="G31" s="166">
        <f>IF(VLOOKUP('Hide - Control'!A$3,'All practice data'!A:CA,C31+4,FALSE)=" "," ",VLOOKUP('Hide - Control'!A$3,'All practice data'!A:CA,C31+4,FALSE))</f>
        <v>76</v>
      </c>
      <c r="H31" s="167">
        <f>IF(VLOOKUP('Hide - Control'!A$3,'All practice data'!A:CA,C31+30,FALSE)=" "," ",VLOOKUP('Hide - Control'!A$3,'All practice data'!A:CA,C31+30,FALSE))</f>
        <v>625.7204017783632</v>
      </c>
      <c r="I31" s="168">
        <f>IF(LEFT(G31,1)=" "," n/a",IF(G31&lt;5,100000*VLOOKUP(G31,'Hide - Calculation'!AQ:AR,2,FALSE)/$E$8,100000*(G31*(1-1/(9*G31)-1.96/(3*SQRT(G31)))^3)/$E$8))</f>
        <v>492.97602056039045</v>
      </c>
      <c r="J31" s="168">
        <f>IF(LEFT(G31,1)=" "," n/a",IF(G31&lt;5,100000*VLOOKUP(G31,'Hide - Calculation'!AQ:AS,3,FALSE)/$E$8,100000*((G31+1)*(1-1/(9*(G31+1))+1.96/(3*SQRT(G31+1)))^3)/$E$8))</f>
        <v>783.195646199639</v>
      </c>
      <c r="K31" s="167">
        <f>IF('Hide - Calculation'!N25="","",'Hide - Calculation'!N25)</f>
        <v>737.8138331351843</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1109.1651611328125</v>
      </c>
      <c r="AB31" s="233" t="s">
        <v>47</v>
      </c>
      <c r="AC31" s="175" t="s">
        <v>502</v>
      </c>
    </row>
    <row r="32" spans="2:29" s="63" customFormat="1" ht="33.75" customHeight="1">
      <c r="B32" s="305"/>
      <c r="C32" s="137">
        <v>20</v>
      </c>
      <c r="D32" s="132" t="s">
        <v>336</v>
      </c>
      <c r="E32" s="85"/>
      <c r="F32" s="85"/>
      <c r="G32" s="121">
        <f>IF(VLOOKUP('Hide - Control'!A$3,'All practice data'!A:CA,C32+4,FALSE)=" "," ",VLOOKUP('Hide - Control'!A$3,'All practice data'!A:CA,C32+4,FALSE))</f>
        <v>72</v>
      </c>
      <c r="H32" s="122">
        <f>IF(VLOOKUP('Hide - Control'!A$3,'All practice data'!A:CA,C32+30,FALSE)=" "," ",VLOOKUP('Hide - Control'!A$3,'All practice data'!A:CA,C32+30,FALSE))</f>
        <v>592.7877490531862</v>
      </c>
      <c r="I32" s="123">
        <f>IF(LEFT(G32,1)=" "," n/a",IF(G32&lt;5,100000*VLOOKUP(G32,'Hide - Calculation'!AQ:AR,2,FALSE)/$E$8,100000*(G32*(1-1/(9*G32)-1.96/(3*SQRT(G32)))^3)/$E$8))</f>
        <v>463.798882557865</v>
      </c>
      <c r="J32" s="123">
        <f>IF(LEFT(G32,1)=" "," n/a",IF(G32&lt;5,100000*VLOOKUP(G32,'Hide - Calculation'!AQ:AS,3,FALSE)/$E$8,100000*((G32+1)*(1-1/(9*(G32+1))+1.96/(3*SQRT(G32+1)))^3)/$E$8))</f>
        <v>746.5314154199611</v>
      </c>
      <c r="K32" s="122">
        <f>IF('Hide - Calculation'!N26="","",'Hide - Calculation'!N26)</f>
        <v>608.116270050671</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982.9619750976562</v>
      </c>
      <c r="AB32" s="234" t="s">
        <v>47</v>
      </c>
      <c r="AC32" s="131" t="s">
        <v>502</v>
      </c>
    </row>
    <row r="33" spans="2:29" s="63" customFormat="1" ht="33.75" customHeight="1">
      <c r="B33" s="305"/>
      <c r="C33" s="137">
        <v>21</v>
      </c>
      <c r="D33" s="132" t="s">
        <v>338</v>
      </c>
      <c r="E33" s="85"/>
      <c r="F33" s="85"/>
      <c r="G33" s="121">
        <f>IF(VLOOKUP('Hide - Control'!A$3,'All practice data'!A:CA,C33+4,FALSE)=" "," ",VLOOKUP('Hide - Control'!A$3,'All practice data'!A:CA,C33+4,FALSE))</f>
        <v>128</v>
      </c>
      <c r="H33" s="122">
        <f>IF(VLOOKUP('Hide - Control'!A$3,'All practice data'!A:CA,C33+30,FALSE)=" "," ",VLOOKUP('Hide - Control'!A$3,'All practice data'!A:CA,C33+30,FALSE))</f>
        <v>1053.8448872056645</v>
      </c>
      <c r="I33" s="123">
        <f>IF(LEFT(G33,1)=" "," n/a",IF(G33&lt;5,100000*VLOOKUP(G33,'Hide - Calculation'!AQ:AR,2,FALSE)/$E$8,100000*(G33*(1-1/(9*G33)-1.96/(3*SQRT(G33)))^3)/$E$8))</f>
        <v>879.1811407343534</v>
      </c>
      <c r="J33" s="123">
        <f>IF(LEFT(G33,1)=" "," n/a",IF(G33&lt;5,100000*VLOOKUP(G33,'Hide - Calculation'!AQ:AS,3,FALSE)/$E$8,100000*((G33+1)*(1-1/(9*(G33+1))+1.96/(3*SQRT(G33+1)))^3)/$E$8))</f>
        <v>1253.0374284213974</v>
      </c>
      <c r="K33" s="122">
        <f>IF('Hide - Calculation'!N27="","",'Hide - Calculation'!N27)</f>
        <v>1268.6837604664026</v>
      </c>
      <c r="L33" s="156">
        <f>'Hide - Calculation'!O27</f>
        <v>1059.3522061277838</v>
      </c>
      <c r="M33" s="148">
        <f>IF(ISBLANK('Hide - Calculation'!K27),"",'Hide - Calculation'!U27)</f>
        <v>517.56005859375</v>
      </c>
      <c r="N33" s="86"/>
      <c r="O33" s="87"/>
      <c r="P33" s="87"/>
      <c r="Q33" s="87"/>
      <c r="R33" s="84"/>
      <c r="S33" s="84"/>
      <c r="T33" s="84"/>
      <c r="U33" s="84"/>
      <c r="V33" s="84"/>
      <c r="W33" s="84"/>
      <c r="X33" s="84"/>
      <c r="Y33" s="84"/>
      <c r="Z33" s="88"/>
      <c r="AA33" s="148">
        <f>IF(ISBLANK('Hide - Calculation'!K27),"",'Hide - Calculation'!T27)</f>
        <v>1886.79248046875</v>
      </c>
      <c r="AB33" s="234" t="s">
        <v>47</v>
      </c>
      <c r="AC33" s="131" t="s">
        <v>502</v>
      </c>
    </row>
    <row r="34" spans="2:29" s="63" customFormat="1" ht="33.75" customHeight="1">
      <c r="B34" s="305"/>
      <c r="C34" s="137">
        <v>22</v>
      </c>
      <c r="D34" s="132" t="s">
        <v>337</v>
      </c>
      <c r="E34" s="85"/>
      <c r="F34" s="85"/>
      <c r="G34" s="118">
        <f>IF(VLOOKUP('Hide - Control'!A$3,'All practice data'!A:CA,C34+4,FALSE)=" "," ",VLOOKUP('Hide - Control'!A$3,'All practice data'!A:CA,C34+4,FALSE))</f>
        <v>85</v>
      </c>
      <c r="H34" s="122">
        <f>IF(VLOOKUP('Hide - Control'!A$3,'All practice data'!A:CA,C34+30,FALSE)=" "," ",VLOOKUP('Hide - Control'!A$3,'All practice data'!A:CA,C34+30,FALSE))</f>
        <v>699.8188704100115</v>
      </c>
      <c r="I34" s="123">
        <f>IF(LEFT(G34,1)=" "," n/a",IF(G34&lt;5,100000*VLOOKUP(G34,'Hide - Calculation'!AQ:AR,2,FALSE)/$E$8,100000*(G34*(1-1/(9*G34)-1.96/(3*SQRT(G34)))^3)/$E$8))</f>
        <v>558.9710058968416</v>
      </c>
      <c r="J34" s="123">
        <f>IF(LEFT(G34,1)=" "," n/a",IF(G34&lt;5,100000*VLOOKUP(G34,'Hide - Calculation'!AQ:AS,3,FALSE)/$E$8,100000*((G34+1)*(1-1/(9*(G34+1))+1.96/(3*SQRT(G34+1)))^3)/$E$8))</f>
        <v>865.349933964881</v>
      </c>
      <c r="K34" s="122">
        <f>IF('Hide - Calculation'!N28="","",'Hide - Calculation'!N28)</f>
        <v>694.5813121070132</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1133.603271484375</v>
      </c>
      <c r="AB34" s="234" t="s">
        <v>47</v>
      </c>
      <c r="AC34" s="131" t="s">
        <v>502</v>
      </c>
    </row>
    <row r="35" spans="2:29" s="63" customFormat="1" ht="33.75" customHeight="1">
      <c r="B35" s="305"/>
      <c r="C35" s="137">
        <v>23</v>
      </c>
      <c r="D35" s="138" t="s">
        <v>463</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323</v>
      </c>
      <c r="AC35" s="131">
        <v>2008</v>
      </c>
    </row>
    <row r="36" spans="2:29" ht="33.75" customHeight="1">
      <c r="B36" s="306"/>
      <c r="C36" s="137">
        <v>24</v>
      </c>
      <c r="D36" s="224" t="s">
        <v>464</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323</v>
      </c>
      <c r="AC36" s="131">
        <v>2008</v>
      </c>
    </row>
    <row r="37" spans="2:29" ht="33.75" customHeight="1" thickBot="1">
      <c r="B37" s="307"/>
      <c r="C37" s="176">
        <v>25</v>
      </c>
      <c r="D37" s="177" t="s">
        <v>339</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323</v>
      </c>
      <c r="AC37" s="149">
        <v>2008</v>
      </c>
    </row>
    <row r="38" spans="2:29" ht="16.5" customHeight="1">
      <c r="B38" s="69"/>
      <c r="C38" s="69"/>
      <c r="D38" s="65" t="s">
        <v>321</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537</v>
      </c>
      <c r="C39" s="244"/>
      <c r="D39" s="244"/>
      <c r="E39" s="303" t="s">
        <v>541</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488</v>
      </c>
      <c r="BE2" s="341"/>
      <c r="BF2" s="341"/>
      <c r="BG2" s="341"/>
      <c r="BH2" s="341"/>
      <c r="BI2" s="341"/>
      <c r="BJ2" s="342"/>
    </row>
    <row r="3" spans="1:82" s="72" customFormat="1" ht="76.5" customHeight="1">
      <c r="A3" s="266" t="s">
        <v>276</v>
      </c>
      <c r="B3" s="275" t="s">
        <v>277</v>
      </c>
      <c r="C3" s="276" t="s">
        <v>49</v>
      </c>
      <c r="D3" s="274" t="s">
        <v>473</v>
      </c>
      <c r="E3" s="267" t="s">
        <v>345</v>
      </c>
      <c r="F3" s="267" t="s">
        <v>456</v>
      </c>
      <c r="G3" s="267" t="s">
        <v>347</v>
      </c>
      <c r="H3" s="267" t="s">
        <v>348</v>
      </c>
      <c r="I3" s="267" t="s">
        <v>349</v>
      </c>
      <c r="J3" s="267" t="s">
        <v>497</v>
      </c>
      <c r="K3" s="267" t="s">
        <v>498</v>
      </c>
      <c r="L3" s="267" t="s">
        <v>499</v>
      </c>
      <c r="M3" s="267" t="s">
        <v>350</v>
      </c>
      <c r="N3" s="267" t="s">
        <v>351</v>
      </c>
      <c r="O3" s="267" t="s">
        <v>352</v>
      </c>
      <c r="P3" s="267" t="s">
        <v>487</v>
      </c>
      <c r="Q3" s="267" t="s">
        <v>353</v>
      </c>
      <c r="R3" s="267" t="s">
        <v>354</v>
      </c>
      <c r="S3" s="267" t="s">
        <v>355</v>
      </c>
      <c r="T3" s="267" t="s">
        <v>356</v>
      </c>
      <c r="U3" s="267" t="s">
        <v>357</v>
      </c>
      <c r="V3" s="267" t="s">
        <v>358</v>
      </c>
      <c r="W3" s="267" t="s">
        <v>359</v>
      </c>
      <c r="X3" s="267" t="s">
        <v>360</v>
      </c>
      <c r="Y3" s="267" t="s">
        <v>361</v>
      </c>
      <c r="Z3" s="267" t="s">
        <v>362</v>
      </c>
      <c r="AA3" s="267" t="s">
        <v>363</v>
      </c>
      <c r="AB3" s="267" t="s">
        <v>364</v>
      </c>
      <c r="AC3" s="267" t="s">
        <v>365</v>
      </c>
      <c r="AD3" s="268" t="s">
        <v>366</v>
      </c>
      <c r="AE3" s="268" t="s">
        <v>345</v>
      </c>
      <c r="AF3" s="269" t="s">
        <v>346</v>
      </c>
      <c r="AG3" s="268" t="s">
        <v>347</v>
      </c>
      <c r="AH3" s="268" t="s">
        <v>348</v>
      </c>
      <c r="AI3" s="268" t="s">
        <v>349</v>
      </c>
      <c r="AJ3" s="268" t="s">
        <v>497</v>
      </c>
      <c r="AK3" s="268" t="s">
        <v>498</v>
      </c>
      <c r="AL3" s="268" t="s">
        <v>499</v>
      </c>
      <c r="AM3" s="268" t="s">
        <v>350</v>
      </c>
      <c r="AN3" s="268" t="s">
        <v>351</v>
      </c>
      <c r="AO3" s="268" t="s">
        <v>352</v>
      </c>
      <c r="AP3" s="268" t="s">
        <v>487</v>
      </c>
      <c r="AQ3" s="268" t="s">
        <v>353</v>
      </c>
      <c r="AR3" s="268" t="s">
        <v>354</v>
      </c>
      <c r="AS3" s="268" t="s">
        <v>355</v>
      </c>
      <c r="AT3" s="268" t="s">
        <v>356</v>
      </c>
      <c r="AU3" s="268" t="s">
        <v>357</v>
      </c>
      <c r="AV3" s="268" t="s">
        <v>358</v>
      </c>
      <c r="AW3" s="268" t="s">
        <v>359</v>
      </c>
      <c r="AX3" s="268" t="s">
        <v>360</v>
      </c>
      <c r="AY3" s="270" t="s">
        <v>361</v>
      </c>
      <c r="AZ3" s="271" t="s">
        <v>362</v>
      </c>
      <c r="BA3" s="271" t="s">
        <v>363</v>
      </c>
      <c r="BB3" s="271" t="s">
        <v>364</v>
      </c>
      <c r="BC3" s="272" t="s">
        <v>365</v>
      </c>
      <c r="BD3" s="273" t="s">
        <v>485</v>
      </c>
      <c r="BE3" s="273" t="s">
        <v>486</v>
      </c>
      <c r="BF3" s="273" t="s">
        <v>493</v>
      </c>
      <c r="BG3" s="273" t="s">
        <v>494</v>
      </c>
      <c r="BH3" s="273" t="s">
        <v>492</v>
      </c>
      <c r="BI3" s="273" t="s">
        <v>495</v>
      </c>
      <c r="BJ3" s="273" t="s">
        <v>496</v>
      </c>
      <c r="BK3" s="73"/>
      <c r="BL3" s="73"/>
      <c r="BM3" s="73"/>
      <c r="BN3" s="73"/>
      <c r="BO3" s="73"/>
      <c r="BP3" s="73"/>
      <c r="BQ3" s="73"/>
      <c r="BR3" s="73"/>
      <c r="BS3" s="73"/>
      <c r="BT3" s="73"/>
      <c r="BU3" s="73"/>
      <c r="BV3" s="73"/>
      <c r="BW3" s="73"/>
      <c r="BX3" s="73"/>
      <c r="BY3" s="73"/>
      <c r="BZ3" s="73"/>
      <c r="CA3" s="73"/>
      <c r="CB3" s="73"/>
      <c r="CC3" s="73"/>
      <c r="CD3" s="73"/>
    </row>
    <row r="4" spans="1:66" ht="12.75">
      <c r="A4" s="79" t="s">
        <v>546</v>
      </c>
      <c r="B4" s="79" t="s">
        <v>301</v>
      </c>
      <c r="C4" s="79" t="s">
        <v>207</v>
      </c>
      <c r="D4" s="99">
        <v>12146</v>
      </c>
      <c r="E4" s="99">
        <v>2357</v>
      </c>
      <c r="F4" s="99" t="s">
        <v>342</v>
      </c>
      <c r="G4" s="99">
        <v>84</v>
      </c>
      <c r="H4" s="99">
        <v>31</v>
      </c>
      <c r="I4" s="99">
        <v>295</v>
      </c>
      <c r="J4" s="99">
        <v>1499</v>
      </c>
      <c r="K4" s="99">
        <v>7</v>
      </c>
      <c r="L4" s="99">
        <v>2554</v>
      </c>
      <c r="M4" s="99">
        <v>1260</v>
      </c>
      <c r="N4" s="99">
        <v>634</v>
      </c>
      <c r="O4" s="99">
        <v>259</v>
      </c>
      <c r="P4" s="159">
        <v>259</v>
      </c>
      <c r="Q4" s="99">
        <v>40</v>
      </c>
      <c r="R4" s="99">
        <v>77</v>
      </c>
      <c r="S4" s="99">
        <v>36</v>
      </c>
      <c r="T4" s="99">
        <v>34</v>
      </c>
      <c r="U4" s="99">
        <v>16</v>
      </c>
      <c r="V4" s="99">
        <v>65</v>
      </c>
      <c r="W4" s="99">
        <v>76</v>
      </c>
      <c r="X4" s="99">
        <v>72</v>
      </c>
      <c r="Y4" s="99">
        <v>128</v>
      </c>
      <c r="Z4" s="99">
        <v>85</v>
      </c>
      <c r="AA4" s="99" t="s">
        <v>540</v>
      </c>
      <c r="AB4" s="99" t="s">
        <v>540</v>
      </c>
      <c r="AC4" s="99" t="s">
        <v>540</v>
      </c>
      <c r="AD4" s="98" t="s">
        <v>321</v>
      </c>
      <c r="AE4" s="100">
        <v>0.19405565618310555</v>
      </c>
      <c r="AF4" s="100">
        <v>0.09</v>
      </c>
      <c r="AG4" s="98">
        <v>691.5857072287173</v>
      </c>
      <c r="AH4" s="98">
        <v>255.22805862012186</v>
      </c>
      <c r="AI4" s="100">
        <v>0.024</v>
      </c>
      <c r="AJ4" s="100">
        <v>0.802463</v>
      </c>
      <c r="AK4" s="100">
        <v>0.4375</v>
      </c>
      <c r="AL4" s="100">
        <v>0.82949</v>
      </c>
      <c r="AM4" s="100">
        <v>0.697288</v>
      </c>
      <c r="AN4" s="100">
        <v>0.693654</v>
      </c>
      <c r="AO4" s="98">
        <v>2132.3892639552114</v>
      </c>
      <c r="AP4" s="158">
        <v>1.022420731</v>
      </c>
      <c r="AQ4" s="100">
        <v>0.15444015444015444</v>
      </c>
      <c r="AR4" s="100">
        <v>0.5194805194805194</v>
      </c>
      <c r="AS4" s="98">
        <v>296.3938745265931</v>
      </c>
      <c r="AT4" s="98">
        <v>279.92754816400463</v>
      </c>
      <c r="AU4" s="98">
        <v>131.73061090070806</v>
      </c>
      <c r="AV4" s="98">
        <v>535.1556067841265</v>
      </c>
      <c r="AW4" s="98">
        <v>625.7204017783632</v>
      </c>
      <c r="AX4" s="98">
        <v>592.7877490531862</v>
      </c>
      <c r="AY4" s="98">
        <v>1053.8448872056645</v>
      </c>
      <c r="AZ4" s="98">
        <v>699.8188704100115</v>
      </c>
      <c r="BA4" s="100" t="s">
        <v>540</v>
      </c>
      <c r="BB4" s="100" t="s">
        <v>540</v>
      </c>
      <c r="BC4" s="100" t="s">
        <v>540</v>
      </c>
      <c r="BD4" s="158">
        <v>0.9016839600000001</v>
      </c>
      <c r="BE4" s="158">
        <v>1.1548210140000001</v>
      </c>
      <c r="BF4" s="162">
        <v>1868</v>
      </c>
      <c r="BG4" s="162">
        <v>16</v>
      </c>
      <c r="BH4" s="162">
        <v>3079</v>
      </c>
      <c r="BI4" s="162">
        <v>1807</v>
      </c>
      <c r="BJ4" s="162">
        <v>914</v>
      </c>
      <c r="BK4" s="97"/>
      <c r="BL4" s="97"/>
      <c r="BM4" s="97"/>
      <c r="BN4" s="97"/>
    </row>
    <row r="5" spans="1:66" ht="12.75">
      <c r="A5" s="79" t="s">
        <v>543</v>
      </c>
      <c r="B5" s="79" t="s">
        <v>282</v>
      </c>
      <c r="C5" s="79" t="s">
        <v>207</v>
      </c>
      <c r="D5" s="99">
        <v>12208</v>
      </c>
      <c r="E5" s="99">
        <v>3196</v>
      </c>
      <c r="F5" s="99" t="s">
        <v>343</v>
      </c>
      <c r="G5" s="99">
        <v>107</v>
      </c>
      <c r="H5" s="99">
        <v>52</v>
      </c>
      <c r="I5" s="99">
        <v>348</v>
      </c>
      <c r="J5" s="99">
        <v>1547</v>
      </c>
      <c r="K5" s="99">
        <v>23</v>
      </c>
      <c r="L5" s="99">
        <v>2144</v>
      </c>
      <c r="M5" s="99">
        <v>1335</v>
      </c>
      <c r="N5" s="99">
        <v>662</v>
      </c>
      <c r="O5" s="99">
        <v>356</v>
      </c>
      <c r="P5" s="159">
        <v>356</v>
      </c>
      <c r="Q5" s="99">
        <v>57</v>
      </c>
      <c r="R5" s="99">
        <v>106</v>
      </c>
      <c r="S5" s="99">
        <v>62</v>
      </c>
      <c r="T5" s="99">
        <v>74</v>
      </c>
      <c r="U5" s="99">
        <v>26</v>
      </c>
      <c r="V5" s="99">
        <v>39</v>
      </c>
      <c r="W5" s="99">
        <v>123</v>
      </c>
      <c r="X5" s="99">
        <v>120</v>
      </c>
      <c r="Y5" s="99">
        <v>201</v>
      </c>
      <c r="Z5" s="99">
        <v>91</v>
      </c>
      <c r="AA5" s="99" t="s">
        <v>540</v>
      </c>
      <c r="AB5" s="99" t="s">
        <v>540</v>
      </c>
      <c r="AC5" s="99" t="s">
        <v>540</v>
      </c>
      <c r="AD5" s="98" t="s">
        <v>321</v>
      </c>
      <c r="AE5" s="100">
        <v>0.26179554390563564</v>
      </c>
      <c r="AF5" s="100">
        <v>0.13</v>
      </c>
      <c r="AG5" s="98">
        <v>876.4744429882045</v>
      </c>
      <c r="AH5" s="98">
        <v>425.9501965923984</v>
      </c>
      <c r="AI5" s="100">
        <v>0.028999999999999998</v>
      </c>
      <c r="AJ5" s="100">
        <v>0.742322</v>
      </c>
      <c r="AK5" s="100">
        <v>0.442308</v>
      </c>
      <c r="AL5" s="100">
        <v>0.787367</v>
      </c>
      <c r="AM5" s="100">
        <v>0.606267</v>
      </c>
      <c r="AN5" s="100">
        <v>0.618114</v>
      </c>
      <c r="AO5" s="98">
        <v>2916.1205766710355</v>
      </c>
      <c r="AP5" s="158">
        <v>1.220482788</v>
      </c>
      <c r="AQ5" s="100">
        <v>0.1601123595505618</v>
      </c>
      <c r="AR5" s="100">
        <v>0.5377358490566038</v>
      </c>
      <c r="AS5" s="98">
        <v>507.8636959370904</v>
      </c>
      <c r="AT5" s="98">
        <v>606.1598951507208</v>
      </c>
      <c r="AU5" s="98">
        <v>212.9750982961992</v>
      </c>
      <c r="AV5" s="98">
        <v>319.4626474442988</v>
      </c>
      <c r="AW5" s="98">
        <v>1007.5360419397117</v>
      </c>
      <c r="AX5" s="98">
        <v>982.961992136304</v>
      </c>
      <c r="AY5" s="98">
        <v>1646.4613368283094</v>
      </c>
      <c r="AZ5" s="98">
        <v>745.4128440366973</v>
      </c>
      <c r="BA5" s="100" t="s">
        <v>540</v>
      </c>
      <c r="BB5" s="100" t="s">
        <v>540</v>
      </c>
      <c r="BC5" s="100" t="s">
        <v>540</v>
      </c>
      <c r="BD5" s="158">
        <v>1.09697937</v>
      </c>
      <c r="BE5" s="158">
        <v>1.3540855410000001</v>
      </c>
      <c r="BF5" s="162">
        <v>2084</v>
      </c>
      <c r="BG5" s="162">
        <v>52</v>
      </c>
      <c r="BH5" s="162">
        <v>2723</v>
      </c>
      <c r="BI5" s="162">
        <v>2202</v>
      </c>
      <c r="BJ5" s="162">
        <v>1071</v>
      </c>
      <c r="BK5" s="97"/>
      <c r="BL5" s="97"/>
      <c r="BM5" s="97"/>
      <c r="BN5" s="97"/>
    </row>
    <row r="6" spans="1:66" ht="12.75">
      <c r="A6" s="79" t="s">
        <v>544</v>
      </c>
      <c r="B6" s="79" t="s">
        <v>283</v>
      </c>
      <c r="C6" s="79" t="s">
        <v>207</v>
      </c>
      <c r="D6" s="99">
        <v>9236</v>
      </c>
      <c r="E6" s="99">
        <v>2664</v>
      </c>
      <c r="F6" s="99" t="s">
        <v>341</v>
      </c>
      <c r="G6" s="99">
        <v>65</v>
      </c>
      <c r="H6" s="99">
        <v>32</v>
      </c>
      <c r="I6" s="99">
        <v>226</v>
      </c>
      <c r="J6" s="99">
        <v>1141</v>
      </c>
      <c r="K6" s="99">
        <v>391</v>
      </c>
      <c r="L6" s="99">
        <v>1531</v>
      </c>
      <c r="M6" s="99">
        <v>1014</v>
      </c>
      <c r="N6" s="99">
        <v>510</v>
      </c>
      <c r="O6" s="99">
        <v>133</v>
      </c>
      <c r="P6" s="159">
        <v>133</v>
      </c>
      <c r="Q6" s="99">
        <v>23</v>
      </c>
      <c r="R6" s="99">
        <v>59</v>
      </c>
      <c r="S6" s="99">
        <v>12</v>
      </c>
      <c r="T6" s="99">
        <v>28</v>
      </c>
      <c r="U6" s="99">
        <v>11</v>
      </c>
      <c r="V6" s="99">
        <v>30</v>
      </c>
      <c r="W6" s="99">
        <v>78</v>
      </c>
      <c r="X6" s="99">
        <v>57</v>
      </c>
      <c r="Y6" s="99">
        <v>137</v>
      </c>
      <c r="Z6" s="99">
        <v>51</v>
      </c>
      <c r="AA6" s="99" t="s">
        <v>540</v>
      </c>
      <c r="AB6" s="99" t="s">
        <v>540</v>
      </c>
      <c r="AC6" s="99" t="s">
        <v>540</v>
      </c>
      <c r="AD6" s="98" t="s">
        <v>321</v>
      </c>
      <c r="AE6" s="100">
        <v>0.2884365526201819</v>
      </c>
      <c r="AF6" s="100">
        <v>0.19</v>
      </c>
      <c r="AG6" s="98">
        <v>703.7678648765699</v>
      </c>
      <c r="AH6" s="98">
        <v>346.470333477696</v>
      </c>
      <c r="AI6" s="100">
        <v>0.024</v>
      </c>
      <c r="AJ6" s="100">
        <v>0.770425</v>
      </c>
      <c r="AK6" s="100">
        <v>0.68717</v>
      </c>
      <c r="AL6" s="100">
        <v>0.790806</v>
      </c>
      <c r="AM6" s="100">
        <v>0.602496</v>
      </c>
      <c r="AN6" s="100">
        <v>0.598592</v>
      </c>
      <c r="AO6" s="98">
        <v>1440.017323516674</v>
      </c>
      <c r="AP6" s="158">
        <v>0.588033905</v>
      </c>
      <c r="AQ6" s="100">
        <v>0.17293233082706766</v>
      </c>
      <c r="AR6" s="100">
        <v>0.3898305084745763</v>
      </c>
      <c r="AS6" s="98">
        <v>129.926375054136</v>
      </c>
      <c r="AT6" s="98">
        <v>303.161541792984</v>
      </c>
      <c r="AU6" s="98">
        <v>119.09917713295799</v>
      </c>
      <c r="AV6" s="98">
        <v>324.81593763534</v>
      </c>
      <c r="AW6" s="98">
        <v>844.5214378518839</v>
      </c>
      <c r="AX6" s="98">
        <v>617.1502815071459</v>
      </c>
      <c r="AY6" s="98">
        <v>1483.3261152013858</v>
      </c>
      <c r="AZ6" s="98">
        <v>552.187093980078</v>
      </c>
      <c r="BA6" s="100" t="s">
        <v>540</v>
      </c>
      <c r="BB6" s="100" t="s">
        <v>540</v>
      </c>
      <c r="BC6" s="100" t="s">
        <v>540</v>
      </c>
      <c r="BD6" s="158">
        <v>0.4923484802</v>
      </c>
      <c r="BE6" s="158">
        <v>0.6968866730000001</v>
      </c>
      <c r="BF6" s="162">
        <v>1481</v>
      </c>
      <c r="BG6" s="162">
        <v>569</v>
      </c>
      <c r="BH6" s="162">
        <v>1936</v>
      </c>
      <c r="BI6" s="162">
        <v>1683</v>
      </c>
      <c r="BJ6" s="162">
        <v>852</v>
      </c>
      <c r="BK6" s="97"/>
      <c r="BL6" s="97"/>
      <c r="BM6" s="97"/>
      <c r="BN6" s="97"/>
    </row>
    <row r="7" spans="1:66" ht="12.75">
      <c r="A7" s="79" t="s">
        <v>548</v>
      </c>
      <c r="B7" s="79" t="s">
        <v>304</v>
      </c>
      <c r="C7" s="79" t="s">
        <v>207</v>
      </c>
      <c r="D7" s="99">
        <v>5679</v>
      </c>
      <c r="E7" s="99">
        <v>1408</v>
      </c>
      <c r="F7" s="99" t="s">
        <v>341</v>
      </c>
      <c r="G7" s="99">
        <v>41</v>
      </c>
      <c r="H7" s="99">
        <v>22</v>
      </c>
      <c r="I7" s="99">
        <v>120</v>
      </c>
      <c r="J7" s="99">
        <v>646</v>
      </c>
      <c r="K7" s="99">
        <v>624</v>
      </c>
      <c r="L7" s="99">
        <v>990</v>
      </c>
      <c r="M7" s="99">
        <v>497</v>
      </c>
      <c r="N7" s="99">
        <v>259</v>
      </c>
      <c r="O7" s="99">
        <v>64</v>
      </c>
      <c r="P7" s="159">
        <v>64</v>
      </c>
      <c r="Q7" s="99">
        <v>15</v>
      </c>
      <c r="R7" s="99">
        <v>34</v>
      </c>
      <c r="S7" s="99">
        <v>16</v>
      </c>
      <c r="T7" s="99">
        <v>9</v>
      </c>
      <c r="U7" s="99">
        <v>6</v>
      </c>
      <c r="V7" s="99">
        <v>9</v>
      </c>
      <c r="W7" s="99">
        <v>49</v>
      </c>
      <c r="X7" s="99">
        <v>39</v>
      </c>
      <c r="Y7" s="99">
        <v>96</v>
      </c>
      <c r="Z7" s="99">
        <v>36</v>
      </c>
      <c r="AA7" s="99" t="s">
        <v>540</v>
      </c>
      <c r="AB7" s="99" t="s">
        <v>540</v>
      </c>
      <c r="AC7" s="99" t="s">
        <v>540</v>
      </c>
      <c r="AD7" s="98" t="s">
        <v>321</v>
      </c>
      <c r="AE7" s="100">
        <v>0.24793097376298645</v>
      </c>
      <c r="AF7" s="100">
        <v>0.2</v>
      </c>
      <c r="AG7" s="98">
        <v>721.9580912132418</v>
      </c>
      <c r="AH7" s="98">
        <v>387.3921465046663</v>
      </c>
      <c r="AI7" s="100">
        <v>0.021</v>
      </c>
      <c r="AJ7" s="100">
        <v>0.777377</v>
      </c>
      <c r="AK7" s="100">
        <v>0.781955</v>
      </c>
      <c r="AL7" s="100">
        <v>0.784469</v>
      </c>
      <c r="AM7" s="100">
        <v>0.618159</v>
      </c>
      <c r="AN7" s="100">
        <v>0.65404</v>
      </c>
      <c r="AO7" s="98">
        <v>1126.9589716499383</v>
      </c>
      <c r="AP7" s="158">
        <v>0.5057786942</v>
      </c>
      <c r="AQ7" s="100">
        <v>0.234375</v>
      </c>
      <c r="AR7" s="100">
        <v>0.4411764705882353</v>
      </c>
      <c r="AS7" s="98">
        <v>281.7397429124846</v>
      </c>
      <c r="AT7" s="98">
        <v>158.47860538827257</v>
      </c>
      <c r="AU7" s="98">
        <v>105.65240359218173</v>
      </c>
      <c r="AV7" s="98">
        <v>158.47860538827257</v>
      </c>
      <c r="AW7" s="98">
        <v>862.827962669484</v>
      </c>
      <c r="AX7" s="98">
        <v>686.7406233491812</v>
      </c>
      <c r="AY7" s="98">
        <v>1690.4384574749076</v>
      </c>
      <c r="AZ7" s="98">
        <v>633.9144215530903</v>
      </c>
      <c r="BA7" s="100" t="s">
        <v>540</v>
      </c>
      <c r="BB7" s="100" t="s">
        <v>540</v>
      </c>
      <c r="BC7" s="100" t="s">
        <v>540</v>
      </c>
      <c r="BD7" s="158">
        <v>0.3895112228</v>
      </c>
      <c r="BE7" s="158">
        <v>0.6458680725000001</v>
      </c>
      <c r="BF7" s="162">
        <v>831</v>
      </c>
      <c r="BG7" s="162">
        <v>798</v>
      </c>
      <c r="BH7" s="162">
        <v>1262</v>
      </c>
      <c r="BI7" s="162">
        <v>804</v>
      </c>
      <c r="BJ7" s="162">
        <v>396</v>
      </c>
      <c r="BK7" s="97"/>
      <c r="BL7" s="97"/>
      <c r="BM7" s="97"/>
      <c r="BN7" s="97"/>
    </row>
    <row r="8" spans="1:66" ht="12.75">
      <c r="A8" s="79" t="s">
        <v>545</v>
      </c>
      <c r="B8" s="79" t="s">
        <v>287</v>
      </c>
      <c r="C8" s="79" t="s">
        <v>207</v>
      </c>
      <c r="D8" s="99">
        <v>7236</v>
      </c>
      <c r="E8" s="99">
        <v>1846</v>
      </c>
      <c r="F8" s="99" t="s">
        <v>341</v>
      </c>
      <c r="G8" s="99">
        <v>34</v>
      </c>
      <c r="H8" s="99">
        <v>32</v>
      </c>
      <c r="I8" s="99">
        <v>197</v>
      </c>
      <c r="J8" s="99">
        <v>832</v>
      </c>
      <c r="K8" s="99">
        <v>17</v>
      </c>
      <c r="L8" s="99">
        <v>1272</v>
      </c>
      <c r="M8" s="99">
        <v>682</v>
      </c>
      <c r="N8" s="99">
        <v>380</v>
      </c>
      <c r="O8" s="99">
        <v>137</v>
      </c>
      <c r="P8" s="159">
        <v>137</v>
      </c>
      <c r="Q8" s="99">
        <v>24</v>
      </c>
      <c r="R8" s="99">
        <v>51</v>
      </c>
      <c r="S8" s="99">
        <v>21</v>
      </c>
      <c r="T8" s="99">
        <v>24</v>
      </c>
      <c r="U8" s="99">
        <v>10</v>
      </c>
      <c r="V8" s="99">
        <v>20</v>
      </c>
      <c r="W8" s="99">
        <v>45</v>
      </c>
      <c r="X8" s="99">
        <v>50</v>
      </c>
      <c r="Y8" s="99">
        <v>128</v>
      </c>
      <c r="Z8" s="99">
        <v>62</v>
      </c>
      <c r="AA8" s="99" t="s">
        <v>540</v>
      </c>
      <c r="AB8" s="99" t="s">
        <v>540</v>
      </c>
      <c r="AC8" s="99" t="s">
        <v>540</v>
      </c>
      <c r="AD8" s="98" t="s">
        <v>321</v>
      </c>
      <c r="AE8" s="100">
        <v>0.2551133222775014</v>
      </c>
      <c r="AF8" s="100">
        <v>0.2</v>
      </c>
      <c r="AG8" s="98">
        <v>469.87285793255944</v>
      </c>
      <c r="AH8" s="98">
        <v>442.2332780541736</v>
      </c>
      <c r="AI8" s="100">
        <v>0.027000000000000003</v>
      </c>
      <c r="AJ8" s="100">
        <v>0.759124</v>
      </c>
      <c r="AK8" s="100">
        <v>0.607143</v>
      </c>
      <c r="AL8" s="100">
        <v>0.822237</v>
      </c>
      <c r="AM8" s="100">
        <v>0.612758</v>
      </c>
      <c r="AN8" s="100">
        <v>0.636516</v>
      </c>
      <c r="AO8" s="98">
        <v>1893.3112216694306</v>
      </c>
      <c r="AP8" s="158">
        <v>0.8362084960999999</v>
      </c>
      <c r="AQ8" s="100">
        <v>0.17518248175182483</v>
      </c>
      <c r="AR8" s="100">
        <v>0.47058823529411764</v>
      </c>
      <c r="AS8" s="98">
        <v>290.2155887230514</v>
      </c>
      <c r="AT8" s="98">
        <v>331.6749585406302</v>
      </c>
      <c r="AU8" s="98">
        <v>138.19789939192924</v>
      </c>
      <c r="AV8" s="98">
        <v>276.3957987838585</v>
      </c>
      <c r="AW8" s="98">
        <v>621.8905472636816</v>
      </c>
      <c r="AX8" s="98">
        <v>690.9894969596462</v>
      </c>
      <c r="AY8" s="98">
        <v>1768.9331122166943</v>
      </c>
      <c r="AZ8" s="98">
        <v>856.8269762299614</v>
      </c>
      <c r="BA8" s="100" t="s">
        <v>540</v>
      </c>
      <c r="BB8" s="100" t="s">
        <v>540</v>
      </c>
      <c r="BC8" s="100" t="s">
        <v>540</v>
      </c>
      <c r="BD8" s="158">
        <v>0.7020521545</v>
      </c>
      <c r="BE8" s="158">
        <v>0.9885352325</v>
      </c>
      <c r="BF8" s="162">
        <v>1096</v>
      </c>
      <c r="BG8" s="162">
        <v>28</v>
      </c>
      <c r="BH8" s="162">
        <v>1547</v>
      </c>
      <c r="BI8" s="162">
        <v>1113</v>
      </c>
      <c r="BJ8" s="162">
        <v>597</v>
      </c>
      <c r="BK8" s="97"/>
      <c r="BL8" s="97"/>
      <c r="BM8" s="97"/>
      <c r="BN8" s="97"/>
    </row>
    <row r="9" spans="1:66" ht="12.75">
      <c r="A9" s="79" t="s">
        <v>547</v>
      </c>
      <c r="B9" s="79" t="s">
        <v>303</v>
      </c>
      <c r="C9" s="79" t="s">
        <v>207</v>
      </c>
      <c r="D9" s="99">
        <v>10126</v>
      </c>
      <c r="E9" s="99">
        <v>2781</v>
      </c>
      <c r="F9" s="99" t="s">
        <v>341</v>
      </c>
      <c r="G9" s="99">
        <v>52</v>
      </c>
      <c r="H9" s="99">
        <v>40</v>
      </c>
      <c r="I9" s="99">
        <v>218</v>
      </c>
      <c r="J9" s="99">
        <v>1243</v>
      </c>
      <c r="K9" s="99">
        <v>1201</v>
      </c>
      <c r="L9" s="99">
        <v>1630</v>
      </c>
      <c r="M9" s="99">
        <v>951</v>
      </c>
      <c r="N9" s="99">
        <v>493</v>
      </c>
      <c r="O9" s="99">
        <v>126</v>
      </c>
      <c r="P9" s="159">
        <v>126</v>
      </c>
      <c r="Q9" s="99">
        <v>23</v>
      </c>
      <c r="R9" s="99">
        <v>80</v>
      </c>
      <c r="S9" s="99">
        <v>12</v>
      </c>
      <c r="T9" s="99">
        <v>27</v>
      </c>
      <c r="U9" s="99">
        <v>18</v>
      </c>
      <c r="V9" s="99">
        <v>19</v>
      </c>
      <c r="W9" s="99">
        <v>80</v>
      </c>
      <c r="X9" s="99">
        <v>47</v>
      </c>
      <c r="Y9" s="99">
        <v>146</v>
      </c>
      <c r="Z9" s="99">
        <v>75</v>
      </c>
      <c r="AA9" s="99" t="s">
        <v>540</v>
      </c>
      <c r="AB9" s="99" t="s">
        <v>540</v>
      </c>
      <c r="AC9" s="99" t="s">
        <v>540</v>
      </c>
      <c r="AD9" s="98" t="s">
        <v>321</v>
      </c>
      <c r="AE9" s="100">
        <v>0.27463954177365196</v>
      </c>
      <c r="AF9" s="100">
        <v>0.21</v>
      </c>
      <c r="AG9" s="98">
        <v>513.529527947857</v>
      </c>
      <c r="AH9" s="98">
        <v>395.02271380604384</v>
      </c>
      <c r="AI9" s="100">
        <v>0.022000000000000002</v>
      </c>
      <c r="AJ9" s="100">
        <v>0.770136</v>
      </c>
      <c r="AK9" s="100">
        <v>0.770366</v>
      </c>
      <c r="AL9" s="100">
        <v>0.752539</v>
      </c>
      <c r="AM9" s="100">
        <v>0.575318</v>
      </c>
      <c r="AN9" s="100">
        <v>0.58</v>
      </c>
      <c r="AO9" s="98">
        <v>1244.3215484890382</v>
      </c>
      <c r="AP9" s="158">
        <v>0.5278822327</v>
      </c>
      <c r="AQ9" s="100">
        <v>0.18253968253968253</v>
      </c>
      <c r="AR9" s="100">
        <v>0.2875</v>
      </c>
      <c r="AS9" s="98">
        <v>118.50681414181315</v>
      </c>
      <c r="AT9" s="98">
        <v>266.6403318190796</v>
      </c>
      <c r="AU9" s="98">
        <v>177.76022121271973</v>
      </c>
      <c r="AV9" s="98">
        <v>187.63578905787082</v>
      </c>
      <c r="AW9" s="98">
        <v>790.0454276120877</v>
      </c>
      <c r="AX9" s="98">
        <v>464.15168872210154</v>
      </c>
      <c r="AY9" s="98">
        <v>1441.83290539206</v>
      </c>
      <c r="AZ9" s="98">
        <v>740.6675883863322</v>
      </c>
      <c r="BA9" s="100" t="s">
        <v>540</v>
      </c>
      <c r="BB9" s="100" t="s">
        <v>540</v>
      </c>
      <c r="BC9" s="100" t="s">
        <v>540</v>
      </c>
      <c r="BD9" s="158">
        <v>0.4397400284</v>
      </c>
      <c r="BE9" s="158">
        <v>0.6285110855</v>
      </c>
      <c r="BF9" s="162">
        <v>1614</v>
      </c>
      <c r="BG9" s="162">
        <v>1559</v>
      </c>
      <c r="BH9" s="162">
        <v>2166</v>
      </c>
      <c r="BI9" s="162">
        <v>1653</v>
      </c>
      <c r="BJ9" s="162">
        <v>850</v>
      </c>
      <c r="BK9" s="97"/>
      <c r="BL9" s="97"/>
      <c r="BM9" s="97"/>
      <c r="BN9" s="97"/>
    </row>
    <row r="10" spans="1:66" ht="12.75">
      <c r="A10" s="79" t="s">
        <v>549</v>
      </c>
      <c r="B10" s="79" t="s">
        <v>308</v>
      </c>
      <c r="C10" s="79" t="s">
        <v>207</v>
      </c>
      <c r="D10" s="99">
        <v>10606</v>
      </c>
      <c r="E10" s="99">
        <v>2094</v>
      </c>
      <c r="F10" s="99" t="s">
        <v>342</v>
      </c>
      <c r="G10" s="99">
        <v>79</v>
      </c>
      <c r="H10" s="99">
        <v>41</v>
      </c>
      <c r="I10" s="99">
        <v>272</v>
      </c>
      <c r="J10" s="99">
        <v>1116</v>
      </c>
      <c r="K10" s="99">
        <v>16</v>
      </c>
      <c r="L10" s="99">
        <v>2002</v>
      </c>
      <c r="M10" s="99">
        <v>943</v>
      </c>
      <c r="N10" s="99">
        <v>485</v>
      </c>
      <c r="O10" s="99">
        <v>266</v>
      </c>
      <c r="P10" s="159">
        <v>266</v>
      </c>
      <c r="Q10" s="99">
        <v>34</v>
      </c>
      <c r="R10" s="99">
        <v>59</v>
      </c>
      <c r="S10" s="99">
        <v>54</v>
      </c>
      <c r="T10" s="99">
        <v>55</v>
      </c>
      <c r="U10" s="99">
        <v>14</v>
      </c>
      <c r="V10" s="99">
        <v>39</v>
      </c>
      <c r="W10" s="99">
        <v>87</v>
      </c>
      <c r="X10" s="99">
        <v>78</v>
      </c>
      <c r="Y10" s="99">
        <v>141</v>
      </c>
      <c r="Z10" s="99">
        <v>90</v>
      </c>
      <c r="AA10" s="99" t="s">
        <v>540</v>
      </c>
      <c r="AB10" s="99" t="s">
        <v>540</v>
      </c>
      <c r="AC10" s="99" t="s">
        <v>540</v>
      </c>
      <c r="AD10" s="98" t="s">
        <v>321</v>
      </c>
      <c r="AE10" s="100">
        <v>0.19743541391665095</v>
      </c>
      <c r="AF10" s="100">
        <v>0.1</v>
      </c>
      <c r="AG10" s="98">
        <v>744.8613992079954</v>
      </c>
      <c r="AH10" s="98">
        <v>386.5736375636432</v>
      </c>
      <c r="AI10" s="100">
        <v>0.026000000000000002</v>
      </c>
      <c r="AJ10" s="100">
        <v>0.731324</v>
      </c>
      <c r="AK10" s="100">
        <v>0.592593</v>
      </c>
      <c r="AL10" s="100">
        <v>0.763831</v>
      </c>
      <c r="AM10" s="100">
        <v>0.660827</v>
      </c>
      <c r="AN10" s="100">
        <v>0.668044</v>
      </c>
      <c r="AO10" s="98">
        <v>2508.0143315104656</v>
      </c>
      <c r="AP10" s="158">
        <v>1.197553787</v>
      </c>
      <c r="AQ10" s="100">
        <v>0.12781954887218044</v>
      </c>
      <c r="AR10" s="100">
        <v>0.576271186440678</v>
      </c>
      <c r="AS10" s="98">
        <v>509.14576654723743</v>
      </c>
      <c r="AT10" s="98">
        <v>518.5743918536677</v>
      </c>
      <c r="AU10" s="98">
        <v>132.0007542900245</v>
      </c>
      <c r="AV10" s="98">
        <v>367.7163869507826</v>
      </c>
      <c r="AW10" s="98">
        <v>820.2904016594381</v>
      </c>
      <c r="AX10" s="98">
        <v>735.4327739015652</v>
      </c>
      <c r="AY10" s="98">
        <v>1329.4361682066756</v>
      </c>
      <c r="AZ10" s="98">
        <v>848.576277578729</v>
      </c>
      <c r="BA10" s="100" t="s">
        <v>540</v>
      </c>
      <c r="BB10" s="100" t="s">
        <v>540</v>
      </c>
      <c r="BC10" s="100" t="s">
        <v>540</v>
      </c>
      <c r="BD10" s="158">
        <v>1.057950516</v>
      </c>
      <c r="BE10" s="158">
        <v>1.350455627</v>
      </c>
      <c r="BF10" s="162">
        <v>1526</v>
      </c>
      <c r="BG10" s="162">
        <v>27</v>
      </c>
      <c r="BH10" s="162">
        <v>2621</v>
      </c>
      <c r="BI10" s="162">
        <v>1427</v>
      </c>
      <c r="BJ10" s="162">
        <v>726</v>
      </c>
      <c r="BK10" s="97"/>
      <c r="BL10" s="97"/>
      <c r="BM10" s="97"/>
      <c r="BN10" s="97"/>
    </row>
    <row r="11" spans="1:66" ht="12.75">
      <c r="A11" s="79" t="s">
        <v>519</v>
      </c>
      <c r="B11" s="79" t="s">
        <v>302</v>
      </c>
      <c r="C11" s="79" t="s">
        <v>207</v>
      </c>
      <c r="D11" s="99">
        <v>14706</v>
      </c>
      <c r="E11" s="99">
        <v>2793</v>
      </c>
      <c r="F11" s="99" t="s">
        <v>343</v>
      </c>
      <c r="G11" s="99">
        <v>85</v>
      </c>
      <c r="H11" s="99">
        <v>41</v>
      </c>
      <c r="I11" s="99">
        <v>336</v>
      </c>
      <c r="J11" s="99">
        <v>1483</v>
      </c>
      <c r="K11" s="99">
        <v>1424</v>
      </c>
      <c r="L11" s="99">
        <v>2601</v>
      </c>
      <c r="M11" s="99">
        <v>1007</v>
      </c>
      <c r="N11" s="99">
        <v>492</v>
      </c>
      <c r="O11" s="99">
        <v>149</v>
      </c>
      <c r="P11" s="159">
        <v>149</v>
      </c>
      <c r="Q11" s="99">
        <v>33</v>
      </c>
      <c r="R11" s="99">
        <v>81</v>
      </c>
      <c r="S11" s="99">
        <v>26</v>
      </c>
      <c r="T11" s="99">
        <v>17</v>
      </c>
      <c r="U11" s="99">
        <v>29</v>
      </c>
      <c r="V11" s="99">
        <v>20</v>
      </c>
      <c r="W11" s="99">
        <v>113</v>
      </c>
      <c r="X11" s="99">
        <v>67</v>
      </c>
      <c r="Y11" s="99">
        <v>206</v>
      </c>
      <c r="Z11" s="99">
        <v>139</v>
      </c>
      <c r="AA11" s="99" t="s">
        <v>540</v>
      </c>
      <c r="AB11" s="99" t="s">
        <v>540</v>
      </c>
      <c r="AC11" s="99" t="s">
        <v>540</v>
      </c>
      <c r="AD11" s="98" t="s">
        <v>321</v>
      </c>
      <c r="AE11" s="100">
        <v>0.18992248062015504</v>
      </c>
      <c r="AF11" s="100">
        <v>0.15</v>
      </c>
      <c r="AG11" s="98">
        <v>577.9953760369917</v>
      </c>
      <c r="AH11" s="98">
        <v>278.7977696178431</v>
      </c>
      <c r="AI11" s="100">
        <v>0.023</v>
      </c>
      <c r="AJ11" s="100">
        <v>0.767598</v>
      </c>
      <c r="AK11" s="100">
        <v>0.759872</v>
      </c>
      <c r="AL11" s="100">
        <v>0.750433</v>
      </c>
      <c r="AM11" s="100">
        <v>0.559755</v>
      </c>
      <c r="AN11" s="100">
        <v>0.553431</v>
      </c>
      <c r="AO11" s="98">
        <v>1013.1918944648443</v>
      </c>
      <c r="AP11" s="158">
        <v>0.510528183</v>
      </c>
      <c r="AQ11" s="100">
        <v>0.2214765100671141</v>
      </c>
      <c r="AR11" s="100">
        <v>0.4074074074074074</v>
      </c>
      <c r="AS11" s="98">
        <v>176.7985856113151</v>
      </c>
      <c r="AT11" s="98">
        <v>115.59907520739834</v>
      </c>
      <c r="AU11" s="98">
        <v>197.1984224126207</v>
      </c>
      <c r="AV11" s="98">
        <v>135.99891200870394</v>
      </c>
      <c r="AW11" s="98">
        <v>768.3938528491772</v>
      </c>
      <c r="AX11" s="98">
        <v>455.5963552291582</v>
      </c>
      <c r="AY11" s="98">
        <v>1400.7887936896504</v>
      </c>
      <c r="AZ11" s="98">
        <v>945.1924384604923</v>
      </c>
      <c r="BA11" s="100" t="s">
        <v>540</v>
      </c>
      <c r="BB11" s="100" t="s">
        <v>540</v>
      </c>
      <c r="BC11" s="100" t="s">
        <v>540</v>
      </c>
      <c r="BD11" s="158">
        <v>0.4318463898</v>
      </c>
      <c r="BE11" s="158">
        <v>0.5993985748</v>
      </c>
      <c r="BF11" s="162">
        <v>1932</v>
      </c>
      <c r="BG11" s="162">
        <v>1874</v>
      </c>
      <c r="BH11" s="162">
        <v>3466</v>
      </c>
      <c r="BI11" s="162">
        <v>1799</v>
      </c>
      <c r="BJ11" s="162">
        <v>889</v>
      </c>
      <c r="BK11" s="97"/>
      <c r="BL11" s="97"/>
      <c r="BM11" s="97"/>
      <c r="BN11" s="97"/>
    </row>
    <row r="12" spans="1:66" ht="12.75">
      <c r="A12" s="79" t="s">
        <v>552</v>
      </c>
      <c r="B12" s="79" t="s">
        <v>312</v>
      </c>
      <c r="C12" s="79" t="s">
        <v>207</v>
      </c>
      <c r="D12" s="99">
        <v>2705</v>
      </c>
      <c r="E12" s="99">
        <v>250</v>
      </c>
      <c r="F12" s="99" t="s">
        <v>344</v>
      </c>
      <c r="G12" s="99" t="s">
        <v>540</v>
      </c>
      <c r="H12" s="99">
        <v>7</v>
      </c>
      <c r="I12" s="99">
        <v>36</v>
      </c>
      <c r="J12" s="99">
        <v>170</v>
      </c>
      <c r="K12" s="99" t="s">
        <v>540</v>
      </c>
      <c r="L12" s="99">
        <v>613</v>
      </c>
      <c r="M12" s="99">
        <v>113</v>
      </c>
      <c r="N12" s="99">
        <v>55</v>
      </c>
      <c r="O12" s="99" t="s">
        <v>540</v>
      </c>
      <c r="P12" s="159" t="s">
        <v>540</v>
      </c>
      <c r="Q12" s="99" t="s">
        <v>540</v>
      </c>
      <c r="R12" s="99">
        <v>6</v>
      </c>
      <c r="S12" s="99">
        <v>7</v>
      </c>
      <c r="T12" s="99" t="s">
        <v>540</v>
      </c>
      <c r="U12" s="99" t="s">
        <v>540</v>
      </c>
      <c r="V12" s="99" t="s">
        <v>540</v>
      </c>
      <c r="W12" s="99">
        <v>16</v>
      </c>
      <c r="X12" s="99" t="s">
        <v>540</v>
      </c>
      <c r="Y12" s="99">
        <v>14</v>
      </c>
      <c r="Z12" s="99" t="s">
        <v>540</v>
      </c>
      <c r="AA12" s="99" t="s">
        <v>540</v>
      </c>
      <c r="AB12" s="99" t="s">
        <v>540</v>
      </c>
      <c r="AC12" s="99" t="s">
        <v>540</v>
      </c>
      <c r="AD12" s="98" t="s">
        <v>321</v>
      </c>
      <c r="AE12" s="100">
        <v>0.09242144177449169</v>
      </c>
      <c r="AF12" s="100">
        <v>0.05</v>
      </c>
      <c r="AG12" s="98" t="s">
        <v>540</v>
      </c>
      <c r="AH12" s="98">
        <v>258.7800369685767</v>
      </c>
      <c r="AI12" s="100">
        <v>0.013000000000000001</v>
      </c>
      <c r="AJ12" s="100">
        <v>0.714286</v>
      </c>
      <c r="AK12" s="100" t="s">
        <v>540</v>
      </c>
      <c r="AL12" s="100">
        <v>0.854951</v>
      </c>
      <c r="AM12" s="100">
        <v>0.684848</v>
      </c>
      <c r="AN12" s="100">
        <v>0.679012</v>
      </c>
      <c r="AO12" s="98" t="s">
        <v>540</v>
      </c>
      <c r="AP12" s="158" t="s">
        <v>540</v>
      </c>
      <c r="AQ12" s="100" t="s">
        <v>540</v>
      </c>
      <c r="AR12" s="100" t="s">
        <v>540</v>
      </c>
      <c r="AS12" s="98">
        <v>258.7800369685767</v>
      </c>
      <c r="AT12" s="98" t="s">
        <v>540</v>
      </c>
      <c r="AU12" s="98" t="s">
        <v>540</v>
      </c>
      <c r="AV12" s="98" t="s">
        <v>540</v>
      </c>
      <c r="AW12" s="98">
        <v>591.4972273567467</v>
      </c>
      <c r="AX12" s="98" t="s">
        <v>540</v>
      </c>
      <c r="AY12" s="98">
        <v>517.5600739371534</v>
      </c>
      <c r="AZ12" s="98" t="s">
        <v>540</v>
      </c>
      <c r="BA12" s="100" t="s">
        <v>540</v>
      </c>
      <c r="BB12" s="100" t="s">
        <v>540</v>
      </c>
      <c r="BC12" s="100" t="s">
        <v>540</v>
      </c>
      <c r="BD12" s="158" t="s">
        <v>540</v>
      </c>
      <c r="BE12" s="158" t="s">
        <v>540</v>
      </c>
      <c r="BF12" s="162">
        <v>238</v>
      </c>
      <c r="BG12" s="162" t="s">
        <v>540</v>
      </c>
      <c r="BH12" s="162">
        <v>717</v>
      </c>
      <c r="BI12" s="162">
        <v>165</v>
      </c>
      <c r="BJ12" s="162">
        <v>81</v>
      </c>
      <c r="BK12" s="97"/>
      <c r="BL12" s="97"/>
      <c r="BM12" s="97"/>
      <c r="BN12" s="97"/>
    </row>
    <row r="13" spans="1:66" ht="12.75">
      <c r="A13" s="79" t="s">
        <v>518</v>
      </c>
      <c r="B13" s="79" t="s">
        <v>300</v>
      </c>
      <c r="C13" s="79" t="s">
        <v>207</v>
      </c>
      <c r="D13" s="99">
        <v>20022</v>
      </c>
      <c r="E13" s="99">
        <v>3457</v>
      </c>
      <c r="F13" s="99" t="s">
        <v>344</v>
      </c>
      <c r="G13" s="99">
        <v>100</v>
      </c>
      <c r="H13" s="99">
        <v>65</v>
      </c>
      <c r="I13" s="99">
        <v>421</v>
      </c>
      <c r="J13" s="99">
        <v>2199</v>
      </c>
      <c r="K13" s="99">
        <v>2097</v>
      </c>
      <c r="L13" s="99">
        <v>4329</v>
      </c>
      <c r="M13" s="99">
        <v>1637</v>
      </c>
      <c r="N13" s="99">
        <v>838</v>
      </c>
      <c r="O13" s="99">
        <v>234</v>
      </c>
      <c r="P13" s="159">
        <v>234</v>
      </c>
      <c r="Q13" s="99">
        <v>43</v>
      </c>
      <c r="R13" s="99">
        <v>120</v>
      </c>
      <c r="S13" s="99">
        <v>36</v>
      </c>
      <c r="T13" s="99">
        <v>25</v>
      </c>
      <c r="U13" s="99">
        <v>18</v>
      </c>
      <c r="V13" s="99">
        <v>53</v>
      </c>
      <c r="W13" s="99">
        <v>140</v>
      </c>
      <c r="X13" s="99">
        <v>93</v>
      </c>
      <c r="Y13" s="99">
        <v>200</v>
      </c>
      <c r="Z13" s="99">
        <v>119</v>
      </c>
      <c r="AA13" s="99" t="s">
        <v>540</v>
      </c>
      <c r="AB13" s="99" t="s">
        <v>540</v>
      </c>
      <c r="AC13" s="99" t="s">
        <v>540</v>
      </c>
      <c r="AD13" s="98" t="s">
        <v>321</v>
      </c>
      <c r="AE13" s="100">
        <v>0.17266007391868946</v>
      </c>
      <c r="AF13" s="100">
        <v>0.04</v>
      </c>
      <c r="AG13" s="98">
        <v>499.4506043352312</v>
      </c>
      <c r="AH13" s="98">
        <v>324.6428928179003</v>
      </c>
      <c r="AI13" s="100">
        <v>0.021</v>
      </c>
      <c r="AJ13" s="100">
        <v>0.852987</v>
      </c>
      <c r="AK13" s="100">
        <v>0.839472</v>
      </c>
      <c r="AL13" s="100">
        <v>0.830424</v>
      </c>
      <c r="AM13" s="100">
        <v>0.685798</v>
      </c>
      <c r="AN13" s="100">
        <v>0.692562</v>
      </c>
      <c r="AO13" s="98">
        <v>1168.7144141444412</v>
      </c>
      <c r="AP13" s="158">
        <v>0.6009014893</v>
      </c>
      <c r="AQ13" s="100">
        <v>0.18376068376068377</v>
      </c>
      <c r="AR13" s="100">
        <v>0.35833333333333334</v>
      </c>
      <c r="AS13" s="98">
        <v>179.80221756068326</v>
      </c>
      <c r="AT13" s="98">
        <v>124.8626510838078</v>
      </c>
      <c r="AU13" s="98">
        <v>89.90110878034163</v>
      </c>
      <c r="AV13" s="98">
        <v>264.70882029767256</v>
      </c>
      <c r="AW13" s="98">
        <v>699.2308460693238</v>
      </c>
      <c r="AX13" s="98">
        <v>464.48906203176506</v>
      </c>
      <c r="AY13" s="98">
        <v>998.9012086704624</v>
      </c>
      <c r="AZ13" s="98">
        <v>594.3462191589252</v>
      </c>
      <c r="BA13" s="100" t="s">
        <v>540</v>
      </c>
      <c r="BB13" s="100" t="s">
        <v>540</v>
      </c>
      <c r="BC13" s="100" t="s">
        <v>540</v>
      </c>
      <c r="BD13" s="158">
        <v>0.5263702392999999</v>
      </c>
      <c r="BE13" s="158">
        <v>0.6830281067</v>
      </c>
      <c r="BF13" s="162">
        <v>2578</v>
      </c>
      <c r="BG13" s="162">
        <v>2498</v>
      </c>
      <c r="BH13" s="162">
        <v>5213</v>
      </c>
      <c r="BI13" s="162">
        <v>2387</v>
      </c>
      <c r="BJ13" s="162">
        <v>1210</v>
      </c>
      <c r="BK13" s="97"/>
      <c r="BL13" s="97"/>
      <c r="BM13" s="97"/>
      <c r="BN13" s="97"/>
    </row>
    <row r="14" spans="1:66" ht="12.75">
      <c r="A14" s="79" t="s">
        <v>521</v>
      </c>
      <c r="B14" s="79" t="s">
        <v>306</v>
      </c>
      <c r="C14" s="79" t="s">
        <v>207</v>
      </c>
      <c r="D14" s="99">
        <v>8507</v>
      </c>
      <c r="E14" s="99">
        <v>2016</v>
      </c>
      <c r="F14" s="99" t="s">
        <v>342</v>
      </c>
      <c r="G14" s="99">
        <v>70</v>
      </c>
      <c r="H14" s="99">
        <v>26</v>
      </c>
      <c r="I14" s="99">
        <v>205</v>
      </c>
      <c r="J14" s="99">
        <v>945</v>
      </c>
      <c r="K14" s="99">
        <v>11</v>
      </c>
      <c r="L14" s="99">
        <v>1452</v>
      </c>
      <c r="M14" s="99">
        <v>739</v>
      </c>
      <c r="N14" s="99">
        <v>388</v>
      </c>
      <c r="O14" s="99">
        <v>168</v>
      </c>
      <c r="P14" s="159">
        <v>168</v>
      </c>
      <c r="Q14" s="99">
        <v>27</v>
      </c>
      <c r="R14" s="99">
        <v>49</v>
      </c>
      <c r="S14" s="99">
        <v>33</v>
      </c>
      <c r="T14" s="99">
        <v>32</v>
      </c>
      <c r="U14" s="99">
        <v>13</v>
      </c>
      <c r="V14" s="99">
        <v>21</v>
      </c>
      <c r="W14" s="99">
        <v>54</v>
      </c>
      <c r="X14" s="99">
        <v>56</v>
      </c>
      <c r="Y14" s="99">
        <v>112</v>
      </c>
      <c r="Z14" s="99">
        <v>55</v>
      </c>
      <c r="AA14" s="99" t="s">
        <v>540</v>
      </c>
      <c r="AB14" s="99" t="s">
        <v>540</v>
      </c>
      <c r="AC14" s="99" t="s">
        <v>540</v>
      </c>
      <c r="AD14" s="98" t="s">
        <v>321</v>
      </c>
      <c r="AE14" s="100">
        <v>0.23698130950981544</v>
      </c>
      <c r="AF14" s="100">
        <v>0.09</v>
      </c>
      <c r="AG14" s="98">
        <v>822.8517691313036</v>
      </c>
      <c r="AH14" s="98">
        <v>305.6306571059128</v>
      </c>
      <c r="AI14" s="100">
        <v>0.024</v>
      </c>
      <c r="AJ14" s="100">
        <v>0.824607</v>
      </c>
      <c r="AK14" s="100">
        <v>0.611111</v>
      </c>
      <c r="AL14" s="100">
        <v>0.759017</v>
      </c>
      <c r="AM14" s="100">
        <v>0.6913</v>
      </c>
      <c r="AN14" s="100">
        <v>0.708029</v>
      </c>
      <c r="AO14" s="98">
        <v>1974.8442459151288</v>
      </c>
      <c r="AP14" s="158">
        <v>0.9091124725</v>
      </c>
      <c r="AQ14" s="100">
        <v>0.16071428571428573</v>
      </c>
      <c r="AR14" s="100">
        <v>0.5510204081632653</v>
      </c>
      <c r="AS14" s="98">
        <v>387.91583401904313</v>
      </c>
      <c r="AT14" s="98">
        <v>376.1608087457388</v>
      </c>
      <c r="AU14" s="98">
        <v>152.8153285529564</v>
      </c>
      <c r="AV14" s="98">
        <v>246.8555307393911</v>
      </c>
      <c r="AW14" s="98">
        <v>634.7713647584342</v>
      </c>
      <c r="AX14" s="98">
        <v>658.2814153050429</v>
      </c>
      <c r="AY14" s="98">
        <v>1316.5628306100857</v>
      </c>
      <c r="AZ14" s="98">
        <v>646.5263900317385</v>
      </c>
      <c r="BA14" s="100" t="s">
        <v>540</v>
      </c>
      <c r="BB14" s="100" t="s">
        <v>540</v>
      </c>
      <c r="BC14" s="100" t="s">
        <v>540</v>
      </c>
      <c r="BD14" s="158">
        <v>0.7768363952999999</v>
      </c>
      <c r="BE14" s="158">
        <v>1.057455139</v>
      </c>
      <c r="BF14" s="162">
        <v>1146</v>
      </c>
      <c r="BG14" s="162">
        <v>18</v>
      </c>
      <c r="BH14" s="162">
        <v>1913</v>
      </c>
      <c r="BI14" s="162">
        <v>1069</v>
      </c>
      <c r="BJ14" s="162">
        <v>548</v>
      </c>
      <c r="BK14" s="97"/>
      <c r="BL14" s="97"/>
      <c r="BM14" s="97"/>
      <c r="BN14" s="97"/>
    </row>
    <row r="15" spans="1:66" ht="12.75">
      <c r="A15" s="79" t="s">
        <v>530</v>
      </c>
      <c r="B15" s="79" t="s">
        <v>317</v>
      </c>
      <c r="C15" s="79" t="s">
        <v>207</v>
      </c>
      <c r="D15" s="99">
        <v>1581</v>
      </c>
      <c r="E15" s="99">
        <v>183</v>
      </c>
      <c r="F15" s="99" t="s">
        <v>343</v>
      </c>
      <c r="G15" s="99" t="s">
        <v>540</v>
      </c>
      <c r="H15" s="99" t="s">
        <v>540</v>
      </c>
      <c r="I15" s="99">
        <v>16</v>
      </c>
      <c r="J15" s="99">
        <v>74</v>
      </c>
      <c r="K15" s="99" t="s">
        <v>540</v>
      </c>
      <c r="L15" s="99">
        <v>247</v>
      </c>
      <c r="M15" s="99">
        <v>59</v>
      </c>
      <c r="N15" s="99">
        <v>33</v>
      </c>
      <c r="O15" s="99" t="s">
        <v>540</v>
      </c>
      <c r="P15" s="159" t="s">
        <v>540</v>
      </c>
      <c r="Q15" s="99" t="s">
        <v>540</v>
      </c>
      <c r="R15" s="99">
        <v>6</v>
      </c>
      <c r="S15" s="99" t="s">
        <v>540</v>
      </c>
      <c r="T15" s="99" t="s">
        <v>540</v>
      </c>
      <c r="U15" s="99" t="s">
        <v>540</v>
      </c>
      <c r="V15" s="99" t="s">
        <v>540</v>
      </c>
      <c r="W15" s="99" t="s">
        <v>540</v>
      </c>
      <c r="X15" s="99" t="s">
        <v>540</v>
      </c>
      <c r="Y15" s="99">
        <v>16</v>
      </c>
      <c r="Z15" s="99">
        <v>11</v>
      </c>
      <c r="AA15" s="99" t="s">
        <v>540</v>
      </c>
      <c r="AB15" s="99" t="s">
        <v>540</v>
      </c>
      <c r="AC15" s="99" t="s">
        <v>540</v>
      </c>
      <c r="AD15" s="98" t="s">
        <v>321</v>
      </c>
      <c r="AE15" s="100">
        <v>0.1157495256166983</v>
      </c>
      <c r="AF15" s="100">
        <v>0.15</v>
      </c>
      <c r="AG15" s="98" t="s">
        <v>540</v>
      </c>
      <c r="AH15" s="98" t="s">
        <v>540</v>
      </c>
      <c r="AI15" s="100">
        <v>0.01</v>
      </c>
      <c r="AJ15" s="100">
        <v>0.536232</v>
      </c>
      <c r="AK15" s="100" t="s">
        <v>540</v>
      </c>
      <c r="AL15" s="100">
        <v>0.69774</v>
      </c>
      <c r="AM15" s="100">
        <v>0.483607</v>
      </c>
      <c r="AN15" s="100">
        <v>0.5</v>
      </c>
      <c r="AO15" s="98" t="s">
        <v>540</v>
      </c>
      <c r="AP15" s="158" t="s">
        <v>540</v>
      </c>
      <c r="AQ15" s="100" t="s">
        <v>540</v>
      </c>
      <c r="AR15" s="100" t="s">
        <v>540</v>
      </c>
      <c r="AS15" s="98" t="s">
        <v>540</v>
      </c>
      <c r="AT15" s="98" t="s">
        <v>540</v>
      </c>
      <c r="AU15" s="98" t="s">
        <v>540</v>
      </c>
      <c r="AV15" s="98" t="s">
        <v>540</v>
      </c>
      <c r="AW15" s="98" t="s">
        <v>540</v>
      </c>
      <c r="AX15" s="98" t="s">
        <v>540</v>
      </c>
      <c r="AY15" s="98">
        <v>1012.0177103099304</v>
      </c>
      <c r="AZ15" s="98">
        <v>695.7621758380772</v>
      </c>
      <c r="BA15" s="101" t="s">
        <v>540</v>
      </c>
      <c r="BB15" s="101" t="s">
        <v>540</v>
      </c>
      <c r="BC15" s="101" t="s">
        <v>540</v>
      </c>
      <c r="BD15" s="158" t="s">
        <v>540</v>
      </c>
      <c r="BE15" s="158" t="s">
        <v>540</v>
      </c>
      <c r="BF15" s="162">
        <v>138</v>
      </c>
      <c r="BG15" s="162" t="s">
        <v>540</v>
      </c>
      <c r="BH15" s="162">
        <v>354</v>
      </c>
      <c r="BI15" s="162">
        <v>122</v>
      </c>
      <c r="BJ15" s="162">
        <v>66</v>
      </c>
      <c r="BK15" s="97"/>
      <c r="BL15" s="97"/>
      <c r="BM15" s="97"/>
      <c r="BN15" s="97"/>
    </row>
    <row r="16" spans="1:66" ht="12.75">
      <c r="A16" s="79" t="s">
        <v>524</v>
      </c>
      <c r="B16" s="79" t="s">
        <v>310</v>
      </c>
      <c r="C16" s="79" t="s">
        <v>207</v>
      </c>
      <c r="D16" s="99">
        <v>5857</v>
      </c>
      <c r="E16" s="99">
        <v>842</v>
      </c>
      <c r="F16" s="99" t="s">
        <v>342</v>
      </c>
      <c r="G16" s="99">
        <v>41</v>
      </c>
      <c r="H16" s="99">
        <v>12</v>
      </c>
      <c r="I16" s="99">
        <v>122</v>
      </c>
      <c r="J16" s="99">
        <v>491</v>
      </c>
      <c r="K16" s="99">
        <v>6</v>
      </c>
      <c r="L16" s="99">
        <v>1209</v>
      </c>
      <c r="M16" s="99">
        <v>352</v>
      </c>
      <c r="N16" s="99">
        <v>162</v>
      </c>
      <c r="O16" s="99">
        <v>64</v>
      </c>
      <c r="P16" s="159">
        <v>64</v>
      </c>
      <c r="Q16" s="99">
        <v>15</v>
      </c>
      <c r="R16" s="99">
        <v>45</v>
      </c>
      <c r="S16" s="99">
        <v>10</v>
      </c>
      <c r="T16" s="99">
        <v>13</v>
      </c>
      <c r="U16" s="99">
        <v>11</v>
      </c>
      <c r="V16" s="99" t="s">
        <v>540</v>
      </c>
      <c r="W16" s="99">
        <v>41</v>
      </c>
      <c r="X16" s="99">
        <v>36</v>
      </c>
      <c r="Y16" s="99">
        <v>55</v>
      </c>
      <c r="Z16" s="99">
        <v>51</v>
      </c>
      <c r="AA16" s="99" t="s">
        <v>540</v>
      </c>
      <c r="AB16" s="99" t="s">
        <v>540</v>
      </c>
      <c r="AC16" s="99" t="s">
        <v>540</v>
      </c>
      <c r="AD16" s="98" t="s">
        <v>321</v>
      </c>
      <c r="AE16" s="100">
        <v>0.14375960389277787</v>
      </c>
      <c r="AF16" s="100">
        <v>0.1</v>
      </c>
      <c r="AG16" s="98">
        <v>700.0170735871607</v>
      </c>
      <c r="AH16" s="98">
        <v>204.88304592794947</v>
      </c>
      <c r="AI16" s="100">
        <v>0.021</v>
      </c>
      <c r="AJ16" s="100">
        <v>0.733931</v>
      </c>
      <c r="AK16" s="100">
        <v>0.666667</v>
      </c>
      <c r="AL16" s="100">
        <v>0.830357</v>
      </c>
      <c r="AM16" s="100">
        <v>0.600683</v>
      </c>
      <c r="AN16" s="100">
        <v>0.576512</v>
      </c>
      <c r="AO16" s="98">
        <v>1092.7095782823972</v>
      </c>
      <c r="AP16" s="158">
        <v>0.6019951248000001</v>
      </c>
      <c r="AQ16" s="100">
        <v>0.234375</v>
      </c>
      <c r="AR16" s="100">
        <v>0.3333333333333333</v>
      </c>
      <c r="AS16" s="98">
        <v>170.73587160662456</v>
      </c>
      <c r="AT16" s="98">
        <v>221.9566330886119</v>
      </c>
      <c r="AU16" s="98">
        <v>187.809458767287</v>
      </c>
      <c r="AV16" s="98" t="s">
        <v>540</v>
      </c>
      <c r="AW16" s="98">
        <v>700.0170735871607</v>
      </c>
      <c r="AX16" s="98">
        <v>614.6491377838483</v>
      </c>
      <c r="AY16" s="98">
        <v>939.0472938364351</v>
      </c>
      <c r="AZ16" s="98">
        <v>870.7529451937852</v>
      </c>
      <c r="BA16" s="100" t="s">
        <v>540</v>
      </c>
      <c r="BB16" s="100" t="s">
        <v>540</v>
      </c>
      <c r="BC16" s="100" t="s">
        <v>540</v>
      </c>
      <c r="BD16" s="158">
        <v>0.463609581</v>
      </c>
      <c r="BE16" s="158">
        <v>0.7687343597</v>
      </c>
      <c r="BF16" s="162">
        <v>669</v>
      </c>
      <c r="BG16" s="162">
        <v>9</v>
      </c>
      <c r="BH16" s="162">
        <v>1456</v>
      </c>
      <c r="BI16" s="162">
        <v>586</v>
      </c>
      <c r="BJ16" s="162">
        <v>281</v>
      </c>
      <c r="BK16" s="97"/>
      <c r="BL16" s="97"/>
      <c r="BM16" s="97"/>
      <c r="BN16" s="97"/>
    </row>
    <row r="17" spans="1:66" ht="12.75">
      <c r="A17" s="79" t="s">
        <v>523</v>
      </c>
      <c r="B17" s="79" t="s">
        <v>309</v>
      </c>
      <c r="C17" s="79" t="s">
        <v>207</v>
      </c>
      <c r="D17" s="99">
        <v>2470</v>
      </c>
      <c r="E17" s="99">
        <v>777</v>
      </c>
      <c r="F17" s="99" t="s">
        <v>344</v>
      </c>
      <c r="G17" s="99">
        <v>25</v>
      </c>
      <c r="H17" s="99">
        <v>8</v>
      </c>
      <c r="I17" s="99">
        <v>92</v>
      </c>
      <c r="J17" s="99">
        <v>360</v>
      </c>
      <c r="K17" s="99" t="s">
        <v>540</v>
      </c>
      <c r="L17" s="99">
        <v>464</v>
      </c>
      <c r="M17" s="99">
        <v>339</v>
      </c>
      <c r="N17" s="99">
        <v>159</v>
      </c>
      <c r="O17" s="99">
        <v>30</v>
      </c>
      <c r="P17" s="159">
        <v>30</v>
      </c>
      <c r="Q17" s="99" t="s">
        <v>540</v>
      </c>
      <c r="R17" s="99">
        <v>16</v>
      </c>
      <c r="S17" s="99" t="s">
        <v>540</v>
      </c>
      <c r="T17" s="99" t="s">
        <v>540</v>
      </c>
      <c r="U17" s="99" t="s">
        <v>540</v>
      </c>
      <c r="V17" s="99">
        <v>13</v>
      </c>
      <c r="W17" s="99">
        <v>27</v>
      </c>
      <c r="X17" s="99">
        <v>17</v>
      </c>
      <c r="Y17" s="99">
        <v>35</v>
      </c>
      <c r="Z17" s="99">
        <v>28</v>
      </c>
      <c r="AA17" s="99" t="s">
        <v>540</v>
      </c>
      <c r="AB17" s="99" t="s">
        <v>540</v>
      </c>
      <c r="AC17" s="99" t="s">
        <v>540</v>
      </c>
      <c r="AD17" s="98" t="s">
        <v>321</v>
      </c>
      <c r="AE17" s="100">
        <v>0.3145748987854251</v>
      </c>
      <c r="AF17" s="100">
        <v>0.08</v>
      </c>
      <c r="AG17" s="98">
        <v>1012.1457489878543</v>
      </c>
      <c r="AH17" s="98">
        <v>323.88663967611336</v>
      </c>
      <c r="AI17" s="100">
        <v>0.037000000000000005</v>
      </c>
      <c r="AJ17" s="100">
        <v>0.837209</v>
      </c>
      <c r="AK17" s="100" t="s">
        <v>540</v>
      </c>
      <c r="AL17" s="100">
        <v>0.837545</v>
      </c>
      <c r="AM17" s="100">
        <v>0.719745</v>
      </c>
      <c r="AN17" s="100">
        <v>0.694323</v>
      </c>
      <c r="AO17" s="98">
        <v>1214.5748987854251</v>
      </c>
      <c r="AP17" s="158">
        <v>0.4618501282</v>
      </c>
      <c r="AQ17" s="100" t="s">
        <v>540</v>
      </c>
      <c r="AR17" s="100" t="s">
        <v>540</v>
      </c>
      <c r="AS17" s="98" t="s">
        <v>540</v>
      </c>
      <c r="AT17" s="98" t="s">
        <v>540</v>
      </c>
      <c r="AU17" s="98" t="s">
        <v>540</v>
      </c>
      <c r="AV17" s="98">
        <v>526.3157894736842</v>
      </c>
      <c r="AW17" s="98">
        <v>1093.1174089068827</v>
      </c>
      <c r="AX17" s="98">
        <v>688.2591093117409</v>
      </c>
      <c r="AY17" s="98">
        <v>1417.004048582996</v>
      </c>
      <c r="AZ17" s="98">
        <v>1133.6032388663969</v>
      </c>
      <c r="BA17" s="100" t="s">
        <v>540</v>
      </c>
      <c r="BB17" s="100" t="s">
        <v>540</v>
      </c>
      <c r="BC17" s="100" t="s">
        <v>540</v>
      </c>
      <c r="BD17" s="158">
        <v>0.3116083336</v>
      </c>
      <c r="BE17" s="158">
        <v>0.6593197632000001</v>
      </c>
      <c r="BF17" s="162">
        <v>430</v>
      </c>
      <c r="BG17" s="162" t="s">
        <v>540</v>
      </c>
      <c r="BH17" s="162">
        <v>554</v>
      </c>
      <c r="BI17" s="162">
        <v>471</v>
      </c>
      <c r="BJ17" s="162">
        <v>229</v>
      </c>
      <c r="BK17" s="97"/>
      <c r="BL17" s="97"/>
      <c r="BM17" s="97"/>
      <c r="BN17" s="97"/>
    </row>
    <row r="18" spans="1:66" ht="12.75">
      <c r="A18" s="79" t="s">
        <v>531</v>
      </c>
      <c r="B18" s="79" t="s">
        <v>318</v>
      </c>
      <c r="C18" s="79" t="s">
        <v>207</v>
      </c>
      <c r="D18" s="99">
        <v>2412</v>
      </c>
      <c r="E18" s="99">
        <v>474</v>
      </c>
      <c r="F18" s="99" t="s">
        <v>344</v>
      </c>
      <c r="G18" s="99">
        <v>10</v>
      </c>
      <c r="H18" s="99" t="s">
        <v>540</v>
      </c>
      <c r="I18" s="99">
        <v>52</v>
      </c>
      <c r="J18" s="99">
        <v>300</v>
      </c>
      <c r="K18" s="99">
        <v>269</v>
      </c>
      <c r="L18" s="99">
        <v>529</v>
      </c>
      <c r="M18" s="99">
        <v>200</v>
      </c>
      <c r="N18" s="99">
        <v>100</v>
      </c>
      <c r="O18" s="99">
        <v>25</v>
      </c>
      <c r="P18" s="159">
        <v>25</v>
      </c>
      <c r="Q18" s="99">
        <v>7</v>
      </c>
      <c r="R18" s="99">
        <v>16</v>
      </c>
      <c r="S18" s="99" t="s">
        <v>540</v>
      </c>
      <c r="T18" s="99">
        <v>7</v>
      </c>
      <c r="U18" s="99" t="s">
        <v>540</v>
      </c>
      <c r="V18" s="99" t="s">
        <v>540</v>
      </c>
      <c r="W18" s="99">
        <v>12</v>
      </c>
      <c r="X18" s="99">
        <v>10</v>
      </c>
      <c r="Y18" s="99">
        <v>17</v>
      </c>
      <c r="Z18" s="99">
        <v>16</v>
      </c>
      <c r="AA18" s="99" t="s">
        <v>540</v>
      </c>
      <c r="AB18" s="99" t="s">
        <v>540</v>
      </c>
      <c r="AC18" s="99" t="s">
        <v>540</v>
      </c>
      <c r="AD18" s="98" t="s">
        <v>321</v>
      </c>
      <c r="AE18" s="100">
        <v>0.19651741293532338</v>
      </c>
      <c r="AF18" s="100">
        <v>0.05</v>
      </c>
      <c r="AG18" s="98">
        <v>414.5936981757877</v>
      </c>
      <c r="AH18" s="98" t="s">
        <v>540</v>
      </c>
      <c r="AI18" s="100">
        <v>0.022000000000000002</v>
      </c>
      <c r="AJ18" s="100">
        <v>0.884956</v>
      </c>
      <c r="AK18" s="100">
        <v>0.827692</v>
      </c>
      <c r="AL18" s="100">
        <v>0.890572</v>
      </c>
      <c r="AM18" s="100">
        <v>0.664452</v>
      </c>
      <c r="AN18" s="100">
        <v>0.680272</v>
      </c>
      <c r="AO18" s="98">
        <v>1036.4842454394693</v>
      </c>
      <c r="AP18" s="158">
        <v>0.5022827911000001</v>
      </c>
      <c r="AQ18" s="100">
        <v>0.28</v>
      </c>
      <c r="AR18" s="100">
        <v>0.4375</v>
      </c>
      <c r="AS18" s="98" t="s">
        <v>540</v>
      </c>
      <c r="AT18" s="98">
        <v>290.2155887230514</v>
      </c>
      <c r="AU18" s="98" t="s">
        <v>540</v>
      </c>
      <c r="AV18" s="98" t="s">
        <v>540</v>
      </c>
      <c r="AW18" s="98">
        <v>497.5124378109453</v>
      </c>
      <c r="AX18" s="98">
        <v>414.5936981757877</v>
      </c>
      <c r="AY18" s="98">
        <v>704.8092868988391</v>
      </c>
      <c r="AZ18" s="98">
        <v>663.3499170812604</v>
      </c>
      <c r="BA18" s="101" t="s">
        <v>540</v>
      </c>
      <c r="BB18" s="101" t="s">
        <v>540</v>
      </c>
      <c r="BC18" s="101" t="s">
        <v>540</v>
      </c>
      <c r="BD18" s="158">
        <v>0.3250509262</v>
      </c>
      <c r="BE18" s="158">
        <v>0.7414685059</v>
      </c>
      <c r="BF18" s="162">
        <v>339</v>
      </c>
      <c r="BG18" s="162">
        <v>325</v>
      </c>
      <c r="BH18" s="162">
        <v>594</v>
      </c>
      <c r="BI18" s="162">
        <v>301</v>
      </c>
      <c r="BJ18" s="162">
        <v>147</v>
      </c>
      <c r="BK18" s="97"/>
      <c r="BL18" s="97"/>
      <c r="BM18" s="97"/>
      <c r="BN18" s="97"/>
    </row>
    <row r="19" spans="1:66" ht="12.75">
      <c r="A19" s="79" t="s">
        <v>551</v>
      </c>
      <c r="B19" s="79" t="s">
        <v>294</v>
      </c>
      <c r="C19" s="79" t="s">
        <v>207</v>
      </c>
      <c r="D19" s="99">
        <v>6223</v>
      </c>
      <c r="E19" s="99">
        <v>1218</v>
      </c>
      <c r="F19" s="99" t="s">
        <v>344</v>
      </c>
      <c r="G19" s="99">
        <v>20</v>
      </c>
      <c r="H19" s="99">
        <v>20</v>
      </c>
      <c r="I19" s="99">
        <v>119</v>
      </c>
      <c r="J19" s="99">
        <v>714</v>
      </c>
      <c r="K19" s="99">
        <v>703</v>
      </c>
      <c r="L19" s="99">
        <v>1251</v>
      </c>
      <c r="M19" s="99">
        <v>525</v>
      </c>
      <c r="N19" s="99">
        <v>268</v>
      </c>
      <c r="O19" s="99">
        <v>85</v>
      </c>
      <c r="P19" s="159">
        <v>85</v>
      </c>
      <c r="Q19" s="99">
        <v>21</v>
      </c>
      <c r="R19" s="99">
        <v>46</v>
      </c>
      <c r="S19" s="99">
        <v>16</v>
      </c>
      <c r="T19" s="99">
        <v>18</v>
      </c>
      <c r="U19" s="99">
        <v>9</v>
      </c>
      <c r="V19" s="99">
        <v>6</v>
      </c>
      <c r="W19" s="99">
        <v>54</v>
      </c>
      <c r="X19" s="99">
        <v>34</v>
      </c>
      <c r="Y19" s="99">
        <v>103</v>
      </c>
      <c r="Z19" s="99">
        <v>53</v>
      </c>
      <c r="AA19" s="99" t="s">
        <v>540</v>
      </c>
      <c r="AB19" s="99" t="s">
        <v>540</v>
      </c>
      <c r="AC19" s="99" t="s">
        <v>540</v>
      </c>
      <c r="AD19" s="98" t="s">
        <v>321</v>
      </c>
      <c r="AE19" s="100">
        <v>0.19572553430821146</v>
      </c>
      <c r="AF19" s="100">
        <v>0.08</v>
      </c>
      <c r="AG19" s="98">
        <v>321.3883978788366</v>
      </c>
      <c r="AH19" s="98">
        <v>321.3883978788366</v>
      </c>
      <c r="AI19" s="100">
        <v>0.019</v>
      </c>
      <c r="AJ19" s="100">
        <v>0.787211</v>
      </c>
      <c r="AK19" s="100">
        <v>0.791667</v>
      </c>
      <c r="AL19" s="100">
        <v>0.81658</v>
      </c>
      <c r="AM19" s="100">
        <v>0.600686</v>
      </c>
      <c r="AN19" s="100">
        <v>0.602247</v>
      </c>
      <c r="AO19" s="98">
        <v>1365.9006909850555</v>
      </c>
      <c r="AP19" s="158">
        <v>0.6538795471000001</v>
      </c>
      <c r="AQ19" s="100">
        <v>0.24705882352941178</v>
      </c>
      <c r="AR19" s="100">
        <v>0.45652173913043476</v>
      </c>
      <c r="AS19" s="98">
        <v>257.11071830306923</v>
      </c>
      <c r="AT19" s="98">
        <v>289.2495580909529</v>
      </c>
      <c r="AU19" s="98">
        <v>144.62477904547646</v>
      </c>
      <c r="AV19" s="98">
        <v>96.41651936365098</v>
      </c>
      <c r="AW19" s="98">
        <v>867.7486742728587</v>
      </c>
      <c r="AX19" s="98">
        <v>546.3602763940222</v>
      </c>
      <c r="AY19" s="98">
        <v>1655.1502490760083</v>
      </c>
      <c r="AZ19" s="98">
        <v>851.6792543789169</v>
      </c>
      <c r="BA19" s="100" t="s">
        <v>540</v>
      </c>
      <c r="BB19" s="100" t="s">
        <v>540</v>
      </c>
      <c r="BC19" s="100" t="s">
        <v>540</v>
      </c>
      <c r="BD19" s="158">
        <v>0.5222957611000001</v>
      </c>
      <c r="BE19" s="158">
        <v>0.8085322571</v>
      </c>
      <c r="BF19" s="162">
        <v>907</v>
      </c>
      <c r="BG19" s="162">
        <v>888</v>
      </c>
      <c r="BH19" s="162">
        <v>1532</v>
      </c>
      <c r="BI19" s="162">
        <v>874</v>
      </c>
      <c r="BJ19" s="162">
        <v>445</v>
      </c>
      <c r="BK19" s="97"/>
      <c r="BL19" s="97"/>
      <c r="BM19" s="97"/>
      <c r="BN19" s="97"/>
    </row>
    <row r="20" spans="1:66" ht="12.75">
      <c r="A20" s="79" t="s">
        <v>513</v>
      </c>
      <c r="B20" s="79" t="s">
        <v>295</v>
      </c>
      <c r="C20" s="79" t="s">
        <v>207</v>
      </c>
      <c r="D20" s="99">
        <v>11774</v>
      </c>
      <c r="E20" s="99">
        <v>2568</v>
      </c>
      <c r="F20" s="99" t="s">
        <v>344</v>
      </c>
      <c r="G20" s="99">
        <v>68</v>
      </c>
      <c r="H20" s="99">
        <v>39</v>
      </c>
      <c r="I20" s="99">
        <v>243</v>
      </c>
      <c r="J20" s="99">
        <v>1329</v>
      </c>
      <c r="K20" s="99">
        <v>12</v>
      </c>
      <c r="L20" s="99">
        <v>2261</v>
      </c>
      <c r="M20" s="99">
        <v>1075</v>
      </c>
      <c r="N20" s="99">
        <v>561</v>
      </c>
      <c r="O20" s="99">
        <v>160</v>
      </c>
      <c r="P20" s="159">
        <v>160</v>
      </c>
      <c r="Q20" s="99">
        <v>34</v>
      </c>
      <c r="R20" s="99">
        <v>64</v>
      </c>
      <c r="S20" s="99">
        <v>27</v>
      </c>
      <c r="T20" s="99">
        <v>10</v>
      </c>
      <c r="U20" s="99">
        <v>8</v>
      </c>
      <c r="V20" s="99">
        <v>51</v>
      </c>
      <c r="W20" s="99">
        <v>73</v>
      </c>
      <c r="X20" s="99">
        <v>62</v>
      </c>
      <c r="Y20" s="99">
        <v>125</v>
      </c>
      <c r="Z20" s="99">
        <v>61</v>
      </c>
      <c r="AA20" s="99" t="s">
        <v>540</v>
      </c>
      <c r="AB20" s="99" t="s">
        <v>540</v>
      </c>
      <c r="AC20" s="99" t="s">
        <v>540</v>
      </c>
      <c r="AD20" s="98" t="s">
        <v>321</v>
      </c>
      <c r="AE20" s="100">
        <v>0.2181076949210124</v>
      </c>
      <c r="AF20" s="100">
        <v>0.08</v>
      </c>
      <c r="AG20" s="98">
        <v>577.5437404450485</v>
      </c>
      <c r="AH20" s="98">
        <v>331.2383217258366</v>
      </c>
      <c r="AI20" s="100">
        <v>0.021</v>
      </c>
      <c r="AJ20" s="100">
        <v>0.772674</v>
      </c>
      <c r="AK20" s="100">
        <v>0.6</v>
      </c>
      <c r="AL20" s="100">
        <v>0.795567</v>
      </c>
      <c r="AM20" s="100">
        <v>0.662354</v>
      </c>
      <c r="AN20" s="100">
        <v>0.67509</v>
      </c>
      <c r="AO20" s="98">
        <v>1358.9264481059963</v>
      </c>
      <c r="AP20" s="158">
        <v>0.6280791855</v>
      </c>
      <c r="AQ20" s="100">
        <v>0.2125</v>
      </c>
      <c r="AR20" s="100">
        <v>0.53125</v>
      </c>
      <c r="AS20" s="98">
        <v>229.31883811788686</v>
      </c>
      <c r="AT20" s="98">
        <v>84.93290300662477</v>
      </c>
      <c r="AU20" s="98">
        <v>67.94632240529981</v>
      </c>
      <c r="AV20" s="98">
        <v>433.1578053337863</v>
      </c>
      <c r="AW20" s="98">
        <v>620.0101919483608</v>
      </c>
      <c r="AX20" s="98">
        <v>526.5839986410735</v>
      </c>
      <c r="AY20" s="98">
        <v>1061.6612875828096</v>
      </c>
      <c r="AZ20" s="98">
        <v>518.0907083404111</v>
      </c>
      <c r="BA20" s="100" t="s">
        <v>540</v>
      </c>
      <c r="BB20" s="100" t="s">
        <v>540</v>
      </c>
      <c r="BC20" s="100" t="s">
        <v>540</v>
      </c>
      <c r="BD20" s="158">
        <v>0.5345287323</v>
      </c>
      <c r="BE20" s="158">
        <v>0.7332916260000001</v>
      </c>
      <c r="BF20" s="162">
        <v>1720</v>
      </c>
      <c r="BG20" s="162">
        <v>20</v>
      </c>
      <c r="BH20" s="162">
        <v>2842</v>
      </c>
      <c r="BI20" s="162">
        <v>1623</v>
      </c>
      <c r="BJ20" s="162">
        <v>831</v>
      </c>
      <c r="BK20" s="97"/>
      <c r="BL20" s="97"/>
      <c r="BM20" s="97"/>
      <c r="BN20" s="97"/>
    </row>
    <row r="21" spans="1:66" ht="12.75">
      <c r="A21" s="79" t="s">
        <v>512</v>
      </c>
      <c r="B21" s="79" t="s">
        <v>293</v>
      </c>
      <c r="C21" s="79" t="s">
        <v>207</v>
      </c>
      <c r="D21" s="99">
        <v>14946</v>
      </c>
      <c r="E21" s="99">
        <v>3425</v>
      </c>
      <c r="F21" s="99" t="s">
        <v>342</v>
      </c>
      <c r="G21" s="99">
        <v>105</v>
      </c>
      <c r="H21" s="99">
        <v>34</v>
      </c>
      <c r="I21" s="99">
        <v>364</v>
      </c>
      <c r="J21" s="99">
        <v>1721</v>
      </c>
      <c r="K21" s="99">
        <v>16</v>
      </c>
      <c r="L21" s="99">
        <v>2967</v>
      </c>
      <c r="M21" s="99">
        <v>1421</v>
      </c>
      <c r="N21" s="99">
        <v>751</v>
      </c>
      <c r="O21" s="99">
        <v>288</v>
      </c>
      <c r="P21" s="159">
        <v>288</v>
      </c>
      <c r="Q21" s="99">
        <v>44</v>
      </c>
      <c r="R21" s="99">
        <v>87</v>
      </c>
      <c r="S21" s="99">
        <v>46</v>
      </c>
      <c r="T21" s="99">
        <v>54</v>
      </c>
      <c r="U21" s="99">
        <v>20</v>
      </c>
      <c r="V21" s="99">
        <v>75</v>
      </c>
      <c r="W21" s="99">
        <v>125</v>
      </c>
      <c r="X21" s="99">
        <v>107</v>
      </c>
      <c r="Y21" s="99">
        <v>237</v>
      </c>
      <c r="Z21" s="99">
        <v>72</v>
      </c>
      <c r="AA21" s="99" t="s">
        <v>540</v>
      </c>
      <c r="AB21" s="99" t="s">
        <v>540</v>
      </c>
      <c r="AC21" s="99" t="s">
        <v>540</v>
      </c>
      <c r="AD21" s="98" t="s">
        <v>321</v>
      </c>
      <c r="AE21" s="100">
        <v>0.22915830322494313</v>
      </c>
      <c r="AF21" s="100">
        <v>0.1</v>
      </c>
      <c r="AG21" s="98">
        <v>702.5291047771979</v>
      </c>
      <c r="AH21" s="98">
        <v>227.48561488023552</v>
      </c>
      <c r="AI21" s="100">
        <v>0.024</v>
      </c>
      <c r="AJ21" s="100">
        <v>0.75815</v>
      </c>
      <c r="AK21" s="100">
        <v>0.5</v>
      </c>
      <c r="AL21" s="100">
        <v>0.828308</v>
      </c>
      <c r="AM21" s="100">
        <v>0.644152</v>
      </c>
      <c r="AN21" s="100">
        <v>0.669938</v>
      </c>
      <c r="AO21" s="98">
        <v>1926.9369731031713</v>
      </c>
      <c r="AP21" s="158">
        <v>0.8702225494</v>
      </c>
      <c r="AQ21" s="100">
        <v>0.1527777777777778</v>
      </c>
      <c r="AR21" s="100">
        <v>0.5057471264367817</v>
      </c>
      <c r="AS21" s="98">
        <v>307.774655426201</v>
      </c>
      <c r="AT21" s="98">
        <v>361.30068245684464</v>
      </c>
      <c r="AU21" s="98">
        <v>133.81506757660912</v>
      </c>
      <c r="AV21" s="98">
        <v>501.8065034122842</v>
      </c>
      <c r="AW21" s="98">
        <v>836.344172353807</v>
      </c>
      <c r="AX21" s="98">
        <v>715.9106115348588</v>
      </c>
      <c r="AY21" s="98">
        <v>1585.708550782818</v>
      </c>
      <c r="AZ21" s="98">
        <v>481.73424327579283</v>
      </c>
      <c r="BA21" s="101" t="s">
        <v>540</v>
      </c>
      <c r="BB21" s="101" t="s">
        <v>540</v>
      </c>
      <c r="BC21" s="101" t="s">
        <v>540</v>
      </c>
      <c r="BD21" s="158">
        <v>0.7726106262000001</v>
      </c>
      <c r="BE21" s="158">
        <v>0.9767528534000001</v>
      </c>
      <c r="BF21" s="162">
        <v>2270</v>
      </c>
      <c r="BG21" s="162">
        <v>32</v>
      </c>
      <c r="BH21" s="162">
        <v>3582</v>
      </c>
      <c r="BI21" s="162">
        <v>2206</v>
      </c>
      <c r="BJ21" s="162">
        <v>1121</v>
      </c>
      <c r="BK21" s="97"/>
      <c r="BL21" s="97"/>
      <c r="BM21" s="97"/>
      <c r="BN21" s="97"/>
    </row>
    <row r="22" spans="1:66" ht="12.75">
      <c r="A22" s="79" t="s">
        <v>525</v>
      </c>
      <c r="B22" s="79" t="s">
        <v>311</v>
      </c>
      <c r="C22" s="79" t="s">
        <v>207</v>
      </c>
      <c r="D22" s="99">
        <v>1713</v>
      </c>
      <c r="E22" s="99">
        <v>245</v>
      </c>
      <c r="F22" s="99" t="s">
        <v>342</v>
      </c>
      <c r="G22" s="99" t="s">
        <v>540</v>
      </c>
      <c r="H22" s="99">
        <v>7</v>
      </c>
      <c r="I22" s="99">
        <v>30</v>
      </c>
      <c r="J22" s="99">
        <v>121</v>
      </c>
      <c r="K22" s="99" t="s">
        <v>540</v>
      </c>
      <c r="L22" s="99">
        <v>366</v>
      </c>
      <c r="M22" s="99">
        <v>90</v>
      </c>
      <c r="N22" s="99">
        <v>47</v>
      </c>
      <c r="O22" s="99">
        <v>40</v>
      </c>
      <c r="P22" s="159">
        <v>40</v>
      </c>
      <c r="Q22" s="99" t="s">
        <v>540</v>
      </c>
      <c r="R22" s="99">
        <v>6</v>
      </c>
      <c r="S22" s="99">
        <v>8</v>
      </c>
      <c r="T22" s="99" t="s">
        <v>540</v>
      </c>
      <c r="U22" s="99" t="s">
        <v>540</v>
      </c>
      <c r="V22" s="99">
        <v>11</v>
      </c>
      <c r="W22" s="99">
        <v>19</v>
      </c>
      <c r="X22" s="99">
        <v>15</v>
      </c>
      <c r="Y22" s="99">
        <v>20</v>
      </c>
      <c r="Z22" s="99" t="s">
        <v>540</v>
      </c>
      <c r="AA22" s="99" t="s">
        <v>540</v>
      </c>
      <c r="AB22" s="99" t="s">
        <v>540</v>
      </c>
      <c r="AC22" s="99" t="s">
        <v>540</v>
      </c>
      <c r="AD22" s="98" t="s">
        <v>321</v>
      </c>
      <c r="AE22" s="100">
        <v>0.14302393461762988</v>
      </c>
      <c r="AF22" s="100">
        <v>0.12</v>
      </c>
      <c r="AG22" s="98" t="s">
        <v>540</v>
      </c>
      <c r="AH22" s="98">
        <v>408.63981319322824</v>
      </c>
      <c r="AI22" s="100">
        <v>0.018000000000000002</v>
      </c>
      <c r="AJ22" s="100">
        <v>0.647059</v>
      </c>
      <c r="AK22" s="100" t="s">
        <v>540</v>
      </c>
      <c r="AL22" s="100">
        <v>0.824324</v>
      </c>
      <c r="AM22" s="100">
        <v>0.56962</v>
      </c>
      <c r="AN22" s="100">
        <v>0.61039</v>
      </c>
      <c r="AO22" s="98">
        <v>2335.0846468184473</v>
      </c>
      <c r="AP22" s="158">
        <v>1.3194532780000001</v>
      </c>
      <c r="AQ22" s="100" t="s">
        <v>540</v>
      </c>
      <c r="AR22" s="100" t="s">
        <v>540</v>
      </c>
      <c r="AS22" s="98">
        <v>467.0169293636894</v>
      </c>
      <c r="AT22" s="98" t="s">
        <v>540</v>
      </c>
      <c r="AU22" s="98" t="s">
        <v>540</v>
      </c>
      <c r="AV22" s="98">
        <v>642.148277875073</v>
      </c>
      <c r="AW22" s="98">
        <v>1109.1652072387624</v>
      </c>
      <c r="AX22" s="98">
        <v>875.6567425569177</v>
      </c>
      <c r="AY22" s="98">
        <v>1167.5423234092236</v>
      </c>
      <c r="AZ22" s="98" t="s">
        <v>540</v>
      </c>
      <c r="BA22" s="100" t="s">
        <v>540</v>
      </c>
      <c r="BB22" s="100" t="s">
        <v>540</v>
      </c>
      <c r="BC22" s="100" t="s">
        <v>540</v>
      </c>
      <c r="BD22" s="158">
        <v>0.942636795</v>
      </c>
      <c r="BE22" s="158">
        <v>1.796720886</v>
      </c>
      <c r="BF22" s="162">
        <v>187</v>
      </c>
      <c r="BG22" s="162" t="s">
        <v>540</v>
      </c>
      <c r="BH22" s="162">
        <v>444</v>
      </c>
      <c r="BI22" s="162">
        <v>158</v>
      </c>
      <c r="BJ22" s="162">
        <v>77</v>
      </c>
      <c r="BK22" s="97"/>
      <c r="BL22" s="97"/>
      <c r="BM22" s="97"/>
      <c r="BN22" s="97"/>
    </row>
    <row r="23" spans="1:66" ht="12.75">
      <c r="A23" s="79" t="s">
        <v>517</v>
      </c>
      <c r="B23" s="79" t="s">
        <v>299</v>
      </c>
      <c r="C23" s="79" t="s">
        <v>207</v>
      </c>
      <c r="D23" s="99">
        <v>9121</v>
      </c>
      <c r="E23" s="99">
        <v>2357</v>
      </c>
      <c r="F23" s="99" t="s">
        <v>341</v>
      </c>
      <c r="G23" s="99">
        <v>45</v>
      </c>
      <c r="H23" s="99">
        <v>32</v>
      </c>
      <c r="I23" s="99">
        <v>248</v>
      </c>
      <c r="J23" s="99">
        <v>1106</v>
      </c>
      <c r="K23" s="99">
        <v>1040</v>
      </c>
      <c r="L23" s="99">
        <v>1488</v>
      </c>
      <c r="M23" s="99">
        <v>882</v>
      </c>
      <c r="N23" s="99">
        <v>463</v>
      </c>
      <c r="O23" s="99">
        <v>153</v>
      </c>
      <c r="P23" s="159">
        <v>153</v>
      </c>
      <c r="Q23" s="99">
        <v>24</v>
      </c>
      <c r="R23" s="99">
        <v>72</v>
      </c>
      <c r="S23" s="99">
        <v>26</v>
      </c>
      <c r="T23" s="99">
        <v>28</v>
      </c>
      <c r="U23" s="99">
        <v>12</v>
      </c>
      <c r="V23" s="99">
        <v>20</v>
      </c>
      <c r="W23" s="99">
        <v>53</v>
      </c>
      <c r="X23" s="99">
        <v>50</v>
      </c>
      <c r="Y23" s="99">
        <v>109</v>
      </c>
      <c r="Z23" s="99">
        <v>68</v>
      </c>
      <c r="AA23" s="99" t="s">
        <v>540</v>
      </c>
      <c r="AB23" s="99" t="s">
        <v>540</v>
      </c>
      <c r="AC23" s="99" t="s">
        <v>540</v>
      </c>
      <c r="AD23" s="98" t="s">
        <v>321</v>
      </c>
      <c r="AE23" s="100">
        <v>0.25841464751671966</v>
      </c>
      <c r="AF23" s="100">
        <v>0.21</v>
      </c>
      <c r="AG23" s="98">
        <v>493.3669553776998</v>
      </c>
      <c r="AH23" s="98">
        <v>350.8387238241421</v>
      </c>
      <c r="AI23" s="100">
        <v>0.027000000000000003</v>
      </c>
      <c r="AJ23" s="100">
        <v>0.770195</v>
      </c>
      <c r="AK23" s="100">
        <v>0.751445</v>
      </c>
      <c r="AL23" s="100">
        <v>0.770585</v>
      </c>
      <c r="AM23" s="100">
        <v>0.571984</v>
      </c>
      <c r="AN23" s="100">
        <v>0.59359</v>
      </c>
      <c r="AO23" s="98">
        <v>1677.4476482841794</v>
      </c>
      <c r="AP23" s="158">
        <v>0.724737854</v>
      </c>
      <c r="AQ23" s="100">
        <v>0.1568627450980392</v>
      </c>
      <c r="AR23" s="100">
        <v>0.3333333333333333</v>
      </c>
      <c r="AS23" s="98">
        <v>285.05646310711546</v>
      </c>
      <c r="AT23" s="98">
        <v>306.98388334612434</v>
      </c>
      <c r="AU23" s="98">
        <v>131.5645214340533</v>
      </c>
      <c r="AV23" s="98">
        <v>219.27420239008882</v>
      </c>
      <c r="AW23" s="98">
        <v>581.0766363337353</v>
      </c>
      <c r="AX23" s="98">
        <v>548.185505975222</v>
      </c>
      <c r="AY23" s="98">
        <v>1195.044403025984</v>
      </c>
      <c r="AZ23" s="98">
        <v>745.532288126302</v>
      </c>
      <c r="BA23" s="100" t="s">
        <v>540</v>
      </c>
      <c r="BB23" s="100" t="s">
        <v>540</v>
      </c>
      <c r="BC23" s="100" t="s">
        <v>540</v>
      </c>
      <c r="BD23" s="158">
        <v>0.6144506453999999</v>
      </c>
      <c r="BE23" s="158">
        <v>0.8491056061000001</v>
      </c>
      <c r="BF23" s="162">
        <v>1436</v>
      </c>
      <c r="BG23" s="162">
        <v>1384</v>
      </c>
      <c r="BH23" s="162">
        <v>1931</v>
      </c>
      <c r="BI23" s="162">
        <v>1542</v>
      </c>
      <c r="BJ23" s="162">
        <v>780</v>
      </c>
      <c r="BK23" s="97"/>
      <c r="BL23" s="97"/>
      <c r="BM23" s="97"/>
      <c r="BN23" s="97"/>
    </row>
    <row r="24" spans="1:66" ht="12.75">
      <c r="A24" s="79" t="s">
        <v>526</v>
      </c>
      <c r="B24" s="79" t="s">
        <v>313</v>
      </c>
      <c r="C24" s="79" t="s">
        <v>207</v>
      </c>
      <c r="D24" s="99">
        <v>2491</v>
      </c>
      <c r="E24" s="99">
        <v>684</v>
      </c>
      <c r="F24" s="99" t="s">
        <v>342</v>
      </c>
      <c r="G24" s="99">
        <v>19</v>
      </c>
      <c r="H24" s="99">
        <v>12</v>
      </c>
      <c r="I24" s="99">
        <v>45</v>
      </c>
      <c r="J24" s="99">
        <v>246</v>
      </c>
      <c r="K24" s="99" t="s">
        <v>540</v>
      </c>
      <c r="L24" s="99">
        <v>458</v>
      </c>
      <c r="M24" s="99">
        <v>212</v>
      </c>
      <c r="N24" s="99">
        <v>110</v>
      </c>
      <c r="O24" s="99">
        <v>56</v>
      </c>
      <c r="P24" s="159">
        <v>56</v>
      </c>
      <c r="Q24" s="99">
        <v>6</v>
      </c>
      <c r="R24" s="99">
        <v>21</v>
      </c>
      <c r="S24" s="99">
        <v>7</v>
      </c>
      <c r="T24" s="99">
        <v>11</v>
      </c>
      <c r="U24" s="99" t="s">
        <v>540</v>
      </c>
      <c r="V24" s="99" t="s">
        <v>540</v>
      </c>
      <c r="W24" s="99">
        <v>16</v>
      </c>
      <c r="X24" s="99">
        <v>17</v>
      </c>
      <c r="Y24" s="99">
        <v>47</v>
      </c>
      <c r="Z24" s="99">
        <v>19</v>
      </c>
      <c r="AA24" s="99" t="s">
        <v>540</v>
      </c>
      <c r="AB24" s="99" t="s">
        <v>540</v>
      </c>
      <c r="AC24" s="99" t="s">
        <v>540</v>
      </c>
      <c r="AD24" s="98" t="s">
        <v>321</v>
      </c>
      <c r="AE24" s="100">
        <v>0.2745885186672019</v>
      </c>
      <c r="AF24" s="100">
        <v>0.1</v>
      </c>
      <c r="AG24" s="98">
        <v>762.745885186672</v>
      </c>
      <c r="AH24" s="98">
        <v>481.73424327579283</v>
      </c>
      <c r="AI24" s="100">
        <v>0.018000000000000002</v>
      </c>
      <c r="AJ24" s="100">
        <v>0.76161</v>
      </c>
      <c r="AK24" s="100" t="s">
        <v>540</v>
      </c>
      <c r="AL24" s="100">
        <v>0.81932</v>
      </c>
      <c r="AM24" s="100">
        <v>0.638554</v>
      </c>
      <c r="AN24" s="100">
        <v>0.68323</v>
      </c>
      <c r="AO24" s="98">
        <v>2248.0931352870334</v>
      </c>
      <c r="AP24" s="158">
        <v>0.9514418793</v>
      </c>
      <c r="AQ24" s="100">
        <v>0.10714285714285714</v>
      </c>
      <c r="AR24" s="100">
        <v>0.2857142857142857</v>
      </c>
      <c r="AS24" s="98">
        <v>281.0116419108792</v>
      </c>
      <c r="AT24" s="98">
        <v>441.5897230028101</v>
      </c>
      <c r="AU24" s="98" t="s">
        <v>540</v>
      </c>
      <c r="AV24" s="98" t="s">
        <v>540</v>
      </c>
      <c r="AW24" s="98">
        <v>642.3123243677238</v>
      </c>
      <c r="AX24" s="98">
        <v>682.4568446407065</v>
      </c>
      <c r="AY24" s="98">
        <v>1886.7924528301887</v>
      </c>
      <c r="AZ24" s="98">
        <v>762.745885186672</v>
      </c>
      <c r="BA24" s="100" t="s">
        <v>540</v>
      </c>
      <c r="BB24" s="100" t="s">
        <v>540</v>
      </c>
      <c r="BC24" s="100" t="s">
        <v>540</v>
      </c>
      <c r="BD24" s="158">
        <v>0.7187089539</v>
      </c>
      <c r="BE24" s="158">
        <v>1.235526428</v>
      </c>
      <c r="BF24" s="162">
        <v>323</v>
      </c>
      <c r="BG24" s="162" t="s">
        <v>540</v>
      </c>
      <c r="BH24" s="162">
        <v>559</v>
      </c>
      <c r="BI24" s="162">
        <v>332</v>
      </c>
      <c r="BJ24" s="162">
        <v>161</v>
      </c>
      <c r="BK24" s="97"/>
      <c r="BL24" s="97"/>
      <c r="BM24" s="97"/>
      <c r="BN24" s="97"/>
    </row>
    <row r="25" spans="1:66" ht="12.75">
      <c r="A25" s="79" t="s">
        <v>515</v>
      </c>
      <c r="B25" s="79" t="s">
        <v>297</v>
      </c>
      <c r="C25" s="79" t="s">
        <v>207</v>
      </c>
      <c r="D25" s="99">
        <v>11471</v>
      </c>
      <c r="E25" s="99">
        <v>2290</v>
      </c>
      <c r="F25" s="99" t="s">
        <v>342</v>
      </c>
      <c r="G25" s="99">
        <v>69</v>
      </c>
      <c r="H25" s="99">
        <v>37</v>
      </c>
      <c r="I25" s="99">
        <v>245</v>
      </c>
      <c r="J25" s="99">
        <v>1346</v>
      </c>
      <c r="K25" s="99" t="s">
        <v>540</v>
      </c>
      <c r="L25" s="99">
        <v>2298</v>
      </c>
      <c r="M25" s="99">
        <v>1125</v>
      </c>
      <c r="N25" s="99">
        <v>564</v>
      </c>
      <c r="O25" s="99">
        <v>239</v>
      </c>
      <c r="P25" s="159">
        <v>239</v>
      </c>
      <c r="Q25" s="99">
        <v>40</v>
      </c>
      <c r="R25" s="99">
        <v>73</v>
      </c>
      <c r="S25" s="99">
        <v>42</v>
      </c>
      <c r="T25" s="99">
        <v>43</v>
      </c>
      <c r="U25" s="99">
        <v>20</v>
      </c>
      <c r="V25" s="99">
        <v>51</v>
      </c>
      <c r="W25" s="99">
        <v>86</v>
      </c>
      <c r="X25" s="99">
        <v>87</v>
      </c>
      <c r="Y25" s="99">
        <v>144</v>
      </c>
      <c r="Z25" s="99">
        <v>82</v>
      </c>
      <c r="AA25" s="99" t="s">
        <v>540</v>
      </c>
      <c r="AB25" s="99" t="s">
        <v>540</v>
      </c>
      <c r="AC25" s="99" t="s">
        <v>540</v>
      </c>
      <c r="AD25" s="98" t="s">
        <v>321</v>
      </c>
      <c r="AE25" s="100">
        <v>0.19963385929735855</v>
      </c>
      <c r="AF25" s="100">
        <v>0.09</v>
      </c>
      <c r="AG25" s="98">
        <v>601.5168686252289</v>
      </c>
      <c r="AH25" s="98">
        <v>322.5525237555575</v>
      </c>
      <c r="AI25" s="100">
        <v>0.021</v>
      </c>
      <c r="AJ25" s="100">
        <v>0.755331</v>
      </c>
      <c r="AK25" s="100" t="s">
        <v>540</v>
      </c>
      <c r="AL25" s="100">
        <v>0.794606</v>
      </c>
      <c r="AM25" s="100">
        <v>0.651796</v>
      </c>
      <c r="AN25" s="100">
        <v>0.660422</v>
      </c>
      <c r="AO25" s="98">
        <v>2083.514950745358</v>
      </c>
      <c r="AP25" s="158">
        <v>0.9820332335999999</v>
      </c>
      <c r="AQ25" s="100">
        <v>0.16736401673640167</v>
      </c>
      <c r="AR25" s="100">
        <v>0.547945205479452</v>
      </c>
      <c r="AS25" s="98">
        <v>366.1407026414436</v>
      </c>
      <c r="AT25" s="98">
        <v>374.85833841862086</v>
      </c>
      <c r="AU25" s="98">
        <v>174.3527155435446</v>
      </c>
      <c r="AV25" s="98">
        <v>444.5994246360387</v>
      </c>
      <c r="AW25" s="98">
        <v>749.7166768372417</v>
      </c>
      <c r="AX25" s="98">
        <v>758.434312614419</v>
      </c>
      <c r="AY25" s="98">
        <v>1255.339551913521</v>
      </c>
      <c r="AZ25" s="98">
        <v>714.8461337285328</v>
      </c>
      <c r="BA25" s="100" t="s">
        <v>540</v>
      </c>
      <c r="BB25" s="100" t="s">
        <v>540</v>
      </c>
      <c r="BC25" s="100" t="s">
        <v>540</v>
      </c>
      <c r="BD25" s="158">
        <v>0.8614678191999999</v>
      </c>
      <c r="BE25" s="158">
        <v>1.114749146</v>
      </c>
      <c r="BF25" s="162">
        <v>1782</v>
      </c>
      <c r="BG25" s="162" t="s">
        <v>540</v>
      </c>
      <c r="BH25" s="162">
        <v>2892</v>
      </c>
      <c r="BI25" s="162">
        <v>1726</v>
      </c>
      <c r="BJ25" s="162">
        <v>854</v>
      </c>
      <c r="BK25" s="97"/>
      <c r="BL25" s="97"/>
      <c r="BM25" s="97"/>
      <c r="BN25" s="97"/>
    </row>
    <row r="26" spans="1:66" ht="12.75">
      <c r="A26" s="79" t="s">
        <v>506</v>
      </c>
      <c r="B26" s="79" t="s">
        <v>285</v>
      </c>
      <c r="C26" s="79" t="s">
        <v>207</v>
      </c>
      <c r="D26" s="99">
        <v>13402</v>
      </c>
      <c r="E26" s="99">
        <v>2803</v>
      </c>
      <c r="F26" s="99" t="s">
        <v>342</v>
      </c>
      <c r="G26" s="99">
        <v>88</v>
      </c>
      <c r="H26" s="99">
        <v>42</v>
      </c>
      <c r="I26" s="99">
        <v>319</v>
      </c>
      <c r="J26" s="99">
        <v>1328</v>
      </c>
      <c r="K26" s="99">
        <v>16</v>
      </c>
      <c r="L26" s="99">
        <v>2776</v>
      </c>
      <c r="M26" s="99">
        <v>1106</v>
      </c>
      <c r="N26" s="99">
        <v>588</v>
      </c>
      <c r="O26" s="99">
        <v>259</v>
      </c>
      <c r="P26" s="159">
        <v>259</v>
      </c>
      <c r="Q26" s="99">
        <v>47</v>
      </c>
      <c r="R26" s="99">
        <v>85</v>
      </c>
      <c r="S26" s="99">
        <v>61</v>
      </c>
      <c r="T26" s="99">
        <v>27</v>
      </c>
      <c r="U26" s="99">
        <v>24</v>
      </c>
      <c r="V26" s="99">
        <v>55</v>
      </c>
      <c r="W26" s="99">
        <v>106</v>
      </c>
      <c r="X26" s="99">
        <v>70</v>
      </c>
      <c r="Y26" s="99">
        <v>163</v>
      </c>
      <c r="Z26" s="99">
        <v>118</v>
      </c>
      <c r="AA26" s="99" t="s">
        <v>540</v>
      </c>
      <c r="AB26" s="99" t="s">
        <v>540</v>
      </c>
      <c r="AC26" s="99" t="s">
        <v>540</v>
      </c>
      <c r="AD26" s="98" t="s">
        <v>321</v>
      </c>
      <c r="AE26" s="100">
        <v>0.20914788837486942</v>
      </c>
      <c r="AF26" s="100">
        <v>0.09</v>
      </c>
      <c r="AG26" s="98">
        <v>656.6184151619161</v>
      </c>
      <c r="AH26" s="98">
        <v>313.3860617818236</v>
      </c>
      <c r="AI26" s="100">
        <v>0.024</v>
      </c>
      <c r="AJ26" s="100">
        <v>0.732084</v>
      </c>
      <c r="AK26" s="100">
        <v>0.533333</v>
      </c>
      <c r="AL26" s="100">
        <v>0.833884</v>
      </c>
      <c r="AM26" s="100">
        <v>0.676039</v>
      </c>
      <c r="AN26" s="100">
        <v>0.678984</v>
      </c>
      <c r="AO26" s="98">
        <v>1932.5473809879122</v>
      </c>
      <c r="AP26" s="158">
        <v>0.9159712982000001</v>
      </c>
      <c r="AQ26" s="100">
        <v>0.18146718146718147</v>
      </c>
      <c r="AR26" s="100">
        <v>0.5529411764705883</v>
      </c>
      <c r="AS26" s="98">
        <v>455.15594687360095</v>
      </c>
      <c r="AT26" s="98">
        <v>201.46246828831516</v>
      </c>
      <c r="AU26" s="98">
        <v>179.0777495896135</v>
      </c>
      <c r="AV26" s="98">
        <v>410.3865094761976</v>
      </c>
      <c r="AW26" s="98">
        <v>790.9267273541262</v>
      </c>
      <c r="AX26" s="98">
        <v>522.310102969706</v>
      </c>
      <c r="AY26" s="98">
        <v>1216.2363826294584</v>
      </c>
      <c r="AZ26" s="98">
        <v>880.465602148933</v>
      </c>
      <c r="BA26" s="100" t="s">
        <v>540</v>
      </c>
      <c r="BB26" s="100" t="s">
        <v>540</v>
      </c>
      <c r="BC26" s="100" t="s">
        <v>540</v>
      </c>
      <c r="BD26" s="158">
        <v>0.8078050994999999</v>
      </c>
      <c r="BE26" s="158">
        <v>1.034586716</v>
      </c>
      <c r="BF26" s="162">
        <v>1814</v>
      </c>
      <c r="BG26" s="162">
        <v>30</v>
      </c>
      <c r="BH26" s="162">
        <v>3329</v>
      </c>
      <c r="BI26" s="162">
        <v>1636</v>
      </c>
      <c r="BJ26" s="162">
        <v>866</v>
      </c>
      <c r="BK26" s="97"/>
      <c r="BL26" s="97"/>
      <c r="BM26" s="97"/>
      <c r="BN26" s="97"/>
    </row>
    <row r="27" spans="1:66" ht="12.75">
      <c r="A27" s="79" t="s">
        <v>514</v>
      </c>
      <c r="B27" s="79" t="s">
        <v>296</v>
      </c>
      <c r="C27" s="79" t="s">
        <v>207</v>
      </c>
      <c r="D27" s="99">
        <v>5664</v>
      </c>
      <c r="E27" s="99">
        <v>940</v>
      </c>
      <c r="F27" s="99" t="s">
        <v>344</v>
      </c>
      <c r="G27" s="99">
        <v>22</v>
      </c>
      <c r="H27" s="99">
        <v>10</v>
      </c>
      <c r="I27" s="99">
        <v>132</v>
      </c>
      <c r="J27" s="99">
        <v>751</v>
      </c>
      <c r="K27" s="99">
        <v>696</v>
      </c>
      <c r="L27" s="99">
        <v>1149</v>
      </c>
      <c r="M27" s="99">
        <v>499</v>
      </c>
      <c r="N27" s="99">
        <v>260</v>
      </c>
      <c r="O27" s="99">
        <v>124</v>
      </c>
      <c r="P27" s="159">
        <v>124</v>
      </c>
      <c r="Q27" s="99">
        <v>14</v>
      </c>
      <c r="R27" s="99">
        <v>42</v>
      </c>
      <c r="S27" s="99">
        <v>14</v>
      </c>
      <c r="T27" s="99">
        <v>38</v>
      </c>
      <c r="U27" s="99" t="s">
        <v>540</v>
      </c>
      <c r="V27" s="99">
        <v>32</v>
      </c>
      <c r="W27" s="99">
        <v>39</v>
      </c>
      <c r="X27" s="99">
        <v>27</v>
      </c>
      <c r="Y27" s="99">
        <v>84</v>
      </c>
      <c r="Z27" s="99">
        <v>28</v>
      </c>
      <c r="AA27" s="99" t="s">
        <v>540</v>
      </c>
      <c r="AB27" s="99" t="s">
        <v>540</v>
      </c>
      <c r="AC27" s="99" t="s">
        <v>540</v>
      </c>
      <c r="AD27" s="98" t="s">
        <v>321</v>
      </c>
      <c r="AE27" s="100">
        <v>0.16596045197740114</v>
      </c>
      <c r="AF27" s="100">
        <v>0.07</v>
      </c>
      <c r="AG27" s="98">
        <v>388.4180790960452</v>
      </c>
      <c r="AH27" s="98">
        <v>176.5536723163842</v>
      </c>
      <c r="AI27" s="100">
        <v>0.023</v>
      </c>
      <c r="AJ27" s="100">
        <v>0.863218</v>
      </c>
      <c r="AK27" s="100">
        <v>0.817861</v>
      </c>
      <c r="AL27" s="100">
        <v>0.788066</v>
      </c>
      <c r="AM27" s="100">
        <v>0.587059</v>
      </c>
      <c r="AN27" s="100">
        <v>0.610329</v>
      </c>
      <c r="AO27" s="98">
        <v>2189.2655367231637</v>
      </c>
      <c r="AP27" s="158">
        <v>1.0891561889999999</v>
      </c>
      <c r="AQ27" s="100">
        <v>0.11290322580645161</v>
      </c>
      <c r="AR27" s="100">
        <v>0.3333333333333333</v>
      </c>
      <c r="AS27" s="98">
        <v>247.17514124293785</v>
      </c>
      <c r="AT27" s="98">
        <v>670.9039548022599</v>
      </c>
      <c r="AU27" s="98" t="s">
        <v>540</v>
      </c>
      <c r="AV27" s="98">
        <v>564.9717514124294</v>
      </c>
      <c r="AW27" s="98">
        <v>688.5593220338983</v>
      </c>
      <c r="AX27" s="98">
        <v>476.6949152542373</v>
      </c>
      <c r="AY27" s="98">
        <v>1483.050847457627</v>
      </c>
      <c r="AZ27" s="98">
        <v>494.3502824858757</v>
      </c>
      <c r="BA27" s="100" t="s">
        <v>540</v>
      </c>
      <c r="BB27" s="100" t="s">
        <v>540</v>
      </c>
      <c r="BC27" s="100" t="s">
        <v>540</v>
      </c>
      <c r="BD27" s="158">
        <v>0.9059037781000001</v>
      </c>
      <c r="BE27" s="158">
        <v>1.2985931400000001</v>
      </c>
      <c r="BF27" s="162">
        <v>870</v>
      </c>
      <c r="BG27" s="162">
        <v>851</v>
      </c>
      <c r="BH27" s="162">
        <v>1458</v>
      </c>
      <c r="BI27" s="162">
        <v>850</v>
      </c>
      <c r="BJ27" s="162">
        <v>426</v>
      </c>
      <c r="BK27" s="97"/>
      <c r="BL27" s="97"/>
      <c r="BM27" s="97"/>
      <c r="BN27" s="97"/>
    </row>
    <row r="28" spans="1:66" ht="12.75">
      <c r="A28" s="79" t="s">
        <v>522</v>
      </c>
      <c r="B28" s="79" t="s">
        <v>307</v>
      </c>
      <c r="C28" s="79" t="s">
        <v>207</v>
      </c>
      <c r="D28" s="99">
        <v>7071</v>
      </c>
      <c r="E28" s="99">
        <v>1224</v>
      </c>
      <c r="F28" s="99" t="s">
        <v>344</v>
      </c>
      <c r="G28" s="99">
        <v>29</v>
      </c>
      <c r="H28" s="99">
        <v>25</v>
      </c>
      <c r="I28" s="99">
        <v>91</v>
      </c>
      <c r="J28" s="99">
        <v>788</v>
      </c>
      <c r="K28" s="99">
        <v>756</v>
      </c>
      <c r="L28" s="99">
        <v>1485</v>
      </c>
      <c r="M28" s="99">
        <v>577</v>
      </c>
      <c r="N28" s="99">
        <v>301</v>
      </c>
      <c r="O28" s="99">
        <v>88</v>
      </c>
      <c r="P28" s="159">
        <v>88</v>
      </c>
      <c r="Q28" s="99">
        <v>11</v>
      </c>
      <c r="R28" s="99">
        <v>39</v>
      </c>
      <c r="S28" s="99">
        <v>20</v>
      </c>
      <c r="T28" s="99" t="s">
        <v>540</v>
      </c>
      <c r="U28" s="99">
        <v>13</v>
      </c>
      <c r="V28" s="99">
        <v>10</v>
      </c>
      <c r="W28" s="99">
        <v>57</v>
      </c>
      <c r="X28" s="99">
        <v>39</v>
      </c>
      <c r="Y28" s="99">
        <v>74</v>
      </c>
      <c r="Z28" s="99">
        <v>61</v>
      </c>
      <c r="AA28" s="99" t="s">
        <v>540</v>
      </c>
      <c r="AB28" s="99" t="s">
        <v>540</v>
      </c>
      <c r="AC28" s="99" t="s">
        <v>540</v>
      </c>
      <c r="AD28" s="98" t="s">
        <v>321</v>
      </c>
      <c r="AE28" s="100">
        <v>0.17310140008485364</v>
      </c>
      <c r="AF28" s="100">
        <v>0.08</v>
      </c>
      <c r="AG28" s="98">
        <v>410.125866214114</v>
      </c>
      <c r="AH28" s="98">
        <v>353.5567812190638</v>
      </c>
      <c r="AI28" s="100">
        <v>0.013000000000000001</v>
      </c>
      <c r="AJ28" s="100">
        <v>0.799189</v>
      </c>
      <c r="AK28" s="100">
        <v>0.792453</v>
      </c>
      <c r="AL28" s="100">
        <v>0.83427</v>
      </c>
      <c r="AM28" s="100">
        <v>0.652715</v>
      </c>
      <c r="AN28" s="100">
        <v>0.676404</v>
      </c>
      <c r="AO28" s="98">
        <v>1244.5198698911045</v>
      </c>
      <c r="AP28" s="158">
        <v>0.6224495697</v>
      </c>
      <c r="AQ28" s="100">
        <v>0.125</v>
      </c>
      <c r="AR28" s="100">
        <v>0.28205128205128205</v>
      </c>
      <c r="AS28" s="98">
        <v>282.84542497525103</v>
      </c>
      <c r="AT28" s="98" t="s">
        <v>540</v>
      </c>
      <c r="AU28" s="98">
        <v>183.84952623391317</v>
      </c>
      <c r="AV28" s="98">
        <v>141.42271248762552</v>
      </c>
      <c r="AW28" s="98">
        <v>806.1094611794654</v>
      </c>
      <c r="AX28" s="98">
        <v>551.5485787017395</v>
      </c>
      <c r="AY28" s="98">
        <v>1046.528072408429</v>
      </c>
      <c r="AZ28" s="98">
        <v>862.6785461745156</v>
      </c>
      <c r="BA28" s="100" t="s">
        <v>540</v>
      </c>
      <c r="BB28" s="100" t="s">
        <v>540</v>
      </c>
      <c r="BC28" s="100" t="s">
        <v>540</v>
      </c>
      <c r="BD28" s="158">
        <v>0.4992227554</v>
      </c>
      <c r="BE28" s="158">
        <v>0.7668752288999999</v>
      </c>
      <c r="BF28" s="162">
        <v>986</v>
      </c>
      <c r="BG28" s="162">
        <v>954</v>
      </c>
      <c r="BH28" s="162">
        <v>1780</v>
      </c>
      <c r="BI28" s="162">
        <v>884</v>
      </c>
      <c r="BJ28" s="162">
        <v>445</v>
      </c>
      <c r="BK28" s="97"/>
      <c r="BL28" s="97"/>
      <c r="BM28" s="97"/>
      <c r="BN28" s="97"/>
    </row>
    <row r="29" spans="1:66" ht="12.75">
      <c r="A29" s="79" t="s">
        <v>550</v>
      </c>
      <c r="B29" s="79" t="s">
        <v>291</v>
      </c>
      <c r="C29" s="79" t="s">
        <v>207</v>
      </c>
      <c r="D29" s="99">
        <v>10916</v>
      </c>
      <c r="E29" s="99">
        <v>2457</v>
      </c>
      <c r="F29" s="99" t="s">
        <v>344</v>
      </c>
      <c r="G29" s="99">
        <v>96</v>
      </c>
      <c r="H29" s="99">
        <v>27</v>
      </c>
      <c r="I29" s="99">
        <v>259</v>
      </c>
      <c r="J29" s="99">
        <v>1396</v>
      </c>
      <c r="K29" s="99">
        <v>19</v>
      </c>
      <c r="L29" s="99">
        <v>2130</v>
      </c>
      <c r="M29" s="99">
        <v>1242</v>
      </c>
      <c r="N29" s="99">
        <v>641</v>
      </c>
      <c r="O29" s="99">
        <v>202</v>
      </c>
      <c r="P29" s="159">
        <v>202</v>
      </c>
      <c r="Q29" s="99">
        <v>28</v>
      </c>
      <c r="R29" s="99">
        <v>73</v>
      </c>
      <c r="S29" s="99">
        <v>42</v>
      </c>
      <c r="T29" s="99">
        <v>34</v>
      </c>
      <c r="U29" s="99">
        <v>13</v>
      </c>
      <c r="V29" s="99">
        <v>31</v>
      </c>
      <c r="W29" s="99">
        <v>90</v>
      </c>
      <c r="X29" s="99">
        <v>68</v>
      </c>
      <c r="Y29" s="99">
        <v>151</v>
      </c>
      <c r="Z29" s="99">
        <v>78</v>
      </c>
      <c r="AA29" s="99" t="s">
        <v>540</v>
      </c>
      <c r="AB29" s="99" t="s">
        <v>540</v>
      </c>
      <c r="AC29" s="99" t="s">
        <v>540</v>
      </c>
      <c r="AD29" s="98" t="s">
        <v>321</v>
      </c>
      <c r="AE29" s="100">
        <v>0.2250824477830707</v>
      </c>
      <c r="AF29" s="100">
        <v>0.08</v>
      </c>
      <c r="AG29" s="98">
        <v>879.4430194210333</v>
      </c>
      <c r="AH29" s="98">
        <v>247.34334921216563</v>
      </c>
      <c r="AI29" s="100">
        <v>0.024</v>
      </c>
      <c r="AJ29" s="100">
        <v>0.748525</v>
      </c>
      <c r="AK29" s="100">
        <v>0.76</v>
      </c>
      <c r="AL29" s="100">
        <v>0.791527</v>
      </c>
      <c r="AM29" s="100">
        <v>0.639218</v>
      </c>
      <c r="AN29" s="100">
        <v>0.638446</v>
      </c>
      <c r="AO29" s="98">
        <v>1850.4946866984244</v>
      </c>
      <c r="AP29" s="158">
        <v>0.823062439</v>
      </c>
      <c r="AQ29" s="100">
        <v>0.13861386138613863</v>
      </c>
      <c r="AR29" s="100">
        <v>0.3835616438356164</v>
      </c>
      <c r="AS29" s="98">
        <v>384.7563209967021</v>
      </c>
      <c r="AT29" s="98">
        <v>311.469402711616</v>
      </c>
      <c r="AU29" s="98">
        <v>119.09124221326493</v>
      </c>
      <c r="AV29" s="98">
        <v>283.98680835470867</v>
      </c>
      <c r="AW29" s="98">
        <v>824.4778307072188</v>
      </c>
      <c r="AX29" s="98">
        <v>622.938805423232</v>
      </c>
      <c r="AY29" s="98">
        <v>1383.2905826310005</v>
      </c>
      <c r="AZ29" s="98">
        <v>714.5474532795896</v>
      </c>
      <c r="BA29" s="100" t="s">
        <v>540</v>
      </c>
      <c r="BB29" s="100" t="s">
        <v>540</v>
      </c>
      <c r="BC29" s="100" t="s">
        <v>540</v>
      </c>
      <c r="BD29" s="158">
        <v>0.7134671021</v>
      </c>
      <c r="BE29" s="158">
        <v>0.944728775</v>
      </c>
      <c r="BF29" s="162">
        <v>1865</v>
      </c>
      <c r="BG29" s="162">
        <v>25</v>
      </c>
      <c r="BH29" s="162">
        <v>2691</v>
      </c>
      <c r="BI29" s="162">
        <v>1943</v>
      </c>
      <c r="BJ29" s="162">
        <v>1004</v>
      </c>
      <c r="BK29" s="97"/>
      <c r="BL29" s="97"/>
      <c r="BM29" s="97"/>
      <c r="BN29" s="97"/>
    </row>
    <row r="30" spans="1:66" ht="12.75">
      <c r="A30" s="79" t="s">
        <v>505</v>
      </c>
      <c r="B30" s="79" t="s">
        <v>284</v>
      </c>
      <c r="C30" s="79" t="s">
        <v>207</v>
      </c>
      <c r="D30" s="99">
        <v>8680</v>
      </c>
      <c r="E30" s="99">
        <v>1596</v>
      </c>
      <c r="F30" s="99" t="s">
        <v>344</v>
      </c>
      <c r="G30" s="99">
        <v>47</v>
      </c>
      <c r="H30" s="99">
        <v>26</v>
      </c>
      <c r="I30" s="99">
        <v>119</v>
      </c>
      <c r="J30" s="99">
        <v>1055</v>
      </c>
      <c r="K30" s="99">
        <v>998</v>
      </c>
      <c r="L30" s="99">
        <v>1800</v>
      </c>
      <c r="M30" s="99">
        <v>779</v>
      </c>
      <c r="N30" s="99">
        <v>375</v>
      </c>
      <c r="O30" s="99">
        <v>145</v>
      </c>
      <c r="P30" s="159">
        <v>145</v>
      </c>
      <c r="Q30" s="99">
        <v>26</v>
      </c>
      <c r="R30" s="99">
        <v>57</v>
      </c>
      <c r="S30" s="99">
        <v>34</v>
      </c>
      <c r="T30" s="99">
        <v>23</v>
      </c>
      <c r="U30" s="99">
        <v>7</v>
      </c>
      <c r="V30" s="99">
        <v>12</v>
      </c>
      <c r="W30" s="99">
        <v>47</v>
      </c>
      <c r="X30" s="99">
        <v>53</v>
      </c>
      <c r="Y30" s="99">
        <v>117</v>
      </c>
      <c r="Z30" s="99">
        <v>59</v>
      </c>
      <c r="AA30" s="99" t="s">
        <v>540</v>
      </c>
      <c r="AB30" s="99" t="s">
        <v>540</v>
      </c>
      <c r="AC30" s="99" t="s">
        <v>540</v>
      </c>
      <c r="AD30" s="98" t="s">
        <v>321</v>
      </c>
      <c r="AE30" s="100">
        <v>0.18387096774193548</v>
      </c>
      <c r="AF30" s="100">
        <v>0.07</v>
      </c>
      <c r="AG30" s="98">
        <v>541.4746543778801</v>
      </c>
      <c r="AH30" s="98">
        <v>299.53917050691246</v>
      </c>
      <c r="AI30" s="100">
        <v>0.013999999999999999</v>
      </c>
      <c r="AJ30" s="100">
        <v>0.860522</v>
      </c>
      <c r="AK30" s="100">
        <v>0.840067</v>
      </c>
      <c r="AL30" s="100">
        <v>0.810446</v>
      </c>
      <c r="AM30" s="100">
        <v>0.636438</v>
      </c>
      <c r="AN30" s="100">
        <v>0.651042</v>
      </c>
      <c r="AO30" s="98">
        <v>1670.5069124423962</v>
      </c>
      <c r="AP30" s="158">
        <v>0.8264118958000001</v>
      </c>
      <c r="AQ30" s="100">
        <v>0.1793103448275862</v>
      </c>
      <c r="AR30" s="100">
        <v>0.45614035087719296</v>
      </c>
      <c r="AS30" s="98">
        <v>391.70506912442397</v>
      </c>
      <c r="AT30" s="98">
        <v>264.9769585253456</v>
      </c>
      <c r="AU30" s="98">
        <v>80.64516129032258</v>
      </c>
      <c r="AV30" s="98">
        <v>138.24884792626727</v>
      </c>
      <c r="AW30" s="98">
        <v>541.4746543778801</v>
      </c>
      <c r="AX30" s="98">
        <v>610.5990783410139</v>
      </c>
      <c r="AY30" s="98">
        <v>1347.926267281106</v>
      </c>
      <c r="AZ30" s="98">
        <v>679.7235023041475</v>
      </c>
      <c r="BA30" s="100" t="s">
        <v>540</v>
      </c>
      <c r="BB30" s="100" t="s">
        <v>540</v>
      </c>
      <c r="BC30" s="100" t="s">
        <v>540</v>
      </c>
      <c r="BD30" s="158">
        <v>0.6973768616</v>
      </c>
      <c r="BE30" s="158">
        <v>0.9724008179000001</v>
      </c>
      <c r="BF30" s="162">
        <v>1226</v>
      </c>
      <c r="BG30" s="162">
        <v>1188</v>
      </c>
      <c r="BH30" s="162">
        <v>2221</v>
      </c>
      <c r="BI30" s="162">
        <v>1224</v>
      </c>
      <c r="BJ30" s="162">
        <v>576</v>
      </c>
      <c r="BK30" s="97"/>
      <c r="BL30" s="97"/>
      <c r="BM30" s="97"/>
      <c r="BN30" s="97"/>
    </row>
    <row r="31" spans="1:66" ht="12.75">
      <c r="A31" s="79" t="s">
        <v>507</v>
      </c>
      <c r="B31" s="79" t="s">
        <v>286</v>
      </c>
      <c r="C31" s="79" t="s">
        <v>207</v>
      </c>
      <c r="D31" s="99">
        <v>9515</v>
      </c>
      <c r="E31" s="99">
        <v>1541</v>
      </c>
      <c r="F31" s="99" t="s">
        <v>343</v>
      </c>
      <c r="G31" s="99">
        <v>33</v>
      </c>
      <c r="H31" s="99">
        <v>28</v>
      </c>
      <c r="I31" s="99">
        <v>109</v>
      </c>
      <c r="J31" s="99">
        <v>782</v>
      </c>
      <c r="K31" s="99">
        <v>768</v>
      </c>
      <c r="L31" s="99">
        <v>1595</v>
      </c>
      <c r="M31" s="99">
        <v>544</v>
      </c>
      <c r="N31" s="99">
        <v>278</v>
      </c>
      <c r="O31" s="99">
        <v>172</v>
      </c>
      <c r="P31" s="159">
        <v>172</v>
      </c>
      <c r="Q31" s="99">
        <v>29</v>
      </c>
      <c r="R31" s="99">
        <v>50</v>
      </c>
      <c r="S31" s="99">
        <v>31</v>
      </c>
      <c r="T31" s="99">
        <v>38</v>
      </c>
      <c r="U31" s="99">
        <v>21</v>
      </c>
      <c r="V31" s="99">
        <v>26</v>
      </c>
      <c r="W31" s="99">
        <v>71</v>
      </c>
      <c r="X31" s="99">
        <v>51</v>
      </c>
      <c r="Y31" s="99">
        <v>115</v>
      </c>
      <c r="Z31" s="99">
        <v>60</v>
      </c>
      <c r="AA31" s="99" t="s">
        <v>540</v>
      </c>
      <c r="AB31" s="99" t="s">
        <v>540</v>
      </c>
      <c r="AC31" s="99" t="s">
        <v>540</v>
      </c>
      <c r="AD31" s="98" t="s">
        <v>321</v>
      </c>
      <c r="AE31" s="100">
        <v>0.16195480819758276</v>
      </c>
      <c r="AF31" s="100">
        <v>0.15</v>
      </c>
      <c r="AG31" s="98">
        <v>346.8208092485549</v>
      </c>
      <c r="AH31" s="98">
        <v>294.27220178665266</v>
      </c>
      <c r="AI31" s="100">
        <v>0.011000000000000001</v>
      </c>
      <c r="AJ31" s="100">
        <v>0.732896</v>
      </c>
      <c r="AK31" s="100">
        <v>0.742747</v>
      </c>
      <c r="AL31" s="100">
        <v>0.679881</v>
      </c>
      <c r="AM31" s="100">
        <v>0.565489</v>
      </c>
      <c r="AN31" s="100">
        <v>0.590234</v>
      </c>
      <c r="AO31" s="98">
        <v>1807.6720966894377</v>
      </c>
      <c r="AP31" s="158">
        <v>1.002735596</v>
      </c>
      <c r="AQ31" s="100">
        <v>0.1686046511627907</v>
      </c>
      <c r="AR31" s="100">
        <v>0.58</v>
      </c>
      <c r="AS31" s="98">
        <v>325.801366263794</v>
      </c>
      <c r="AT31" s="98">
        <v>399.3694167104572</v>
      </c>
      <c r="AU31" s="98">
        <v>220.7041513399895</v>
      </c>
      <c r="AV31" s="98">
        <v>273.25275880189173</v>
      </c>
      <c r="AW31" s="98">
        <v>746.1902259590121</v>
      </c>
      <c r="AX31" s="98">
        <v>535.995796111403</v>
      </c>
      <c r="AY31" s="98">
        <v>1208.617971623752</v>
      </c>
      <c r="AZ31" s="98">
        <v>630.5832895428271</v>
      </c>
      <c r="BA31" s="100" t="s">
        <v>540</v>
      </c>
      <c r="BB31" s="100" t="s">
        <v>540</v>
      </c>
      <c r="BC31" s="100" t="s">
        <v>540</v>
      </c>
      <c r="BD31" s="158">
        <v>0.8584767151</v>
      </c>
      <c r="BE31" s="158">
        <v>1.164298477</v>
      </c>
      <c r="BF31" s="162">
        <v>1067</v>
      </c>
      <c r="BG31" s="162">
        <v>1034</v>
      </c>
      <c r="BH31" s="162">
        <v>2346</v>
      </c>
      <c r="BI31" s="162">
        <v>962</v>
      </c>
      <c r="BJ31" s="162">
        <v>471</v>
      </c>
      <c r="BK31" s="97"/>
      <c r="BL31" s="97"/>
      <c r="BM31" s="97"/>
      <c r="BN31" s="97"/>
    </row>
    <row r="32" spans="1:66" ht="12.75">
      <c r="A32" s="79" t="s">
        <v>520</v>
      </c>
      <c r="B32" s="79" t="s">
        <v>305</v>
      </c>
      <c r="C32" s="79" t="s">
        <v>207</v>
      </c>
      <c r="D32" s="99">
        <v>5957</v>
      </c>
      <c r="E32" s="99">
        <v>1074</v>
      </c>
      <c r="F32" s="99" t="s">
        <v>344</v>
      </c>
      <c r="G32" s="99">
        <v>26</v>
      </c>
      <c r="H32" s="99">
        <v>12</v>
      </c>
      <c r="I32" s="99">
        <v>93</v>
      </c>
      <c r="J32" s="99">
        <v>604</v>
      </c>
      <c r="K32" s="99">
        <v>8</v>
      </c>
      <c r="L32" s="99">
        <v>1308</v>
      </c>
      <c r="M32" s="99">
        <v>476</v>
      </c>
      <c r="N32" s="99">
        <v>251</v>
      </c>
      <c r="O32" s="99">
        <v>42</v>
      </c>
      <c r="P32" s="159">
        <v>42</v>
      </c>
      <c r="Q32" s="99">
        <v>13</v>
      </c>
      <c r="R32" s="99">
        <v>29</v>
      </c>
      <c r="S32" s="99" t="s">
        <v>540</v>
      </c>
      <c r="T32" s="99">
        <v>7</v>
      </c>
      <c r="U32" s="99" t="s">
        <v>540</v>
      </c>
      <c r="V32" s="99">
        <v>7</v>
      </c>
      <c r="W32" s="99">
        <v>31</v>
      </c>
      <c r="X32" s="99">
        <v>25</v>
      </c>
      <c r="Y32" s="99">
        <v>52</v>
      </c>
      <c r="Z32" s="99">
        <v>26</v>
      </c>
      <c r="AA32" s="99" t="s">
        <v>540</v>
      </c>
      <c r="AB32" s="99" t="s">
        <v>540</v>
      </c>
      <c r="AC32" s="99" t="s">
        <v>540</v>
      </c>
      <c r="AD32" s="98" t="s">
        <v>321</v>
      </c>
      <c r="AE32" s="100">
        <v>0.18029209333557158</v>
      </c>
      <c r="AF32" s="100">
        <v>0.06</v>
      </c>
      <c r="AG32" s="98">
        <v>436.4613060265234</v>
      </c>
      <c r="AH32" s="98">
        <v>201.44367970454928</v>
      </c>
      <c r="AI32" s="100">
        <v>0.016</v>
      </c>
      <c r="AJ32" s="100">
        <v>0.754057</v>
      </c>
      <c r="AK32" s="100">
        <v>0.8</v>
      </c>
      <c r="AL32" s="100">
        <v>0.832591</v>
      </c>
      <c r="AM32" s="100">
        <v>0.660194</v>
      </c>
      <c r="AN32" s="100">
        <v>0.680217</v>
      </c>
      <c r="AO32" s="98">
        <v>705.0528789659224</v>
      </c>
      <c r="AP32" s="158">
        <v>0.3484850311</v>
      </c>
      <c r="AQ32" s="100">
        <v>0.30952380952380953</v>
      </c>
      <c r="AR32" s="100">
        <v>0.4482758620689655</v>
      </c>
      <c r="AS32" s="98" t="s">
        <v>540</v>
      </c>
      <c r="AT32" s="98">
        <v>117.50881316098707</v>
      </c>
      <c r="AU32" s="98" t="s">
        <v>540</v>
      </c>
      <c r="AV32" s="98">
        <v>117.50881316098707</v>
      </c>
      <c r="AW32" s="98">
        <v>520.3961725700856</v>
      </c>
      <c r="AX32" s="98">
        <v>419.67433271781096</v>
      </c>
      <c r="AY32" s="98">
        <v>872.9226120530468</v>
      </c>
      <c r="AZ32" s="98">
        <v>436.4613060265234</v>
      </c>
      <c r="BA32" s="100" t="s">
        <v>540</v>
      </c>
      <c r="BB32" s="100" t="s">
        <v>540</v>
      </c>
      <c r="BC32" s="100" t="s">
        <v>540</v>
      </c>
      <c r="BD32" s="158">
        <v>0.2511573601</v>
      </c>
      <c r="BE32" s="158">
        <v>0.47105052950000004</v>
      </c>
      <c r="BF32" s="162">
        <v>801</v>
      </c>
      <c r="BG32" s="162">
        <v>10</v>
      </c>
      <c r="BH32" s="162">
        <v>1571</v>
      </c>
      <c r="BI32" s="162">
        <v>721</v>
      </c>
      <c r="BJ32" s="162">
        <v>369</v>
      </c>
      <c r="BK32" s="97"/>
      <c r="BL32" s="97"/>
      <c r="BM32" s="97"/>
      <c r="BN32" s="97"/>
    </row>
    <row r="33" spans="1:66" ht="12.75">
      <c r="A33" s="79" t="s">
        <v>516</v>
      </c>
      <c r="B33" s="79" t="s">
        <v>298</v>
      </c>
      <c r="C33" s="79" t="s">
        <v>207</v>
      </c>
      <c r="D33" s="99">
        <v>10782</v>
      </c>
      <c r="E33" s="99">
        <v>2482</v>
      </c>
      <c r="F33" s="99" t="s">
        <v>344</v>
      </c>
      <c r="G33" s="99">
        <v>74</v>
      </c>
      <c r="H33" s="99">
        <v>33</v>
      </c>
      <c r="I33" s="99">
        <v>319</v>
      </c>
      <c r="J33" s="99">
        <v>1309</v>
      </c>
      <c r="K33" s="99">
        <v>10</v>
      </c>
      <c r="L33" s="99">
        <v>2140</v>
      </c>
      <c r="M33" s="99">
        <v>1059</v>
      </c>
      <c r="N33" s="99">
        <v>545</v>
      </c>
      <c r="O33" s="99">
        <v>259</v>
      </c>
      <c r="P33" s="159">
        <v>259</v>
      </c>
      <c r="Q33" s="99">
        <v>42</v>
      </c>
      <c r="R33" s="99">
        <v>66</v>
      </c>
      <c r="S33" s="99">
        <v>42</v>
      </c>
      <c r="T33" s="99">
        <v>56</v>
      </c>
      <c r="U33" s="99">
        <v>14</v>
      </c>
      <c r="V33" s="99">
        <v>62</v>
      </c>
      <c r="W33" s="99">
        <v>66</v>
      </c>
      <c r="X33" s="99">
        <v>86</v>
      </c>
      <c r="Y33" s="99">
        <v>127</v>
      </c>
      <c r="Z33" s="99">
        <v>95</v>
      </c>
      <c r="AA33" s="99" t="s">
        <v>540</v>
      </c>
      <c r="AB33" s="99" t="s">
        <v>540</v>
      </c>
      <c r="AC33" s="99" t="s">
        <v>540</v>
      </c>
      <c r="AD33" s="98" t="s">
        <v>321</v>
      </c>
      <c r="AE33" s="100">
        <v>0.23019847894639214</v>
      </c>
      <c r="AF33" s="100">
        <v>0.08</v>
      </c>
      <c r="AG33" s="98">
        <v>686.3290669634576</v>
      </c>
      <c r="AH33" s="98">
        <v>306.0656649972176</v>
      </c>
      <c r="AI33" s="100">
        <v>0.03</v>
      </c>
      <c r="AJ33" s="100">
        <v>0.791415</v>
      </c>
      <c r="AK33" s="100">
        <v>0.769231</v>
      </c>
      <c r="AL33" s="100">
        <v>0.80542</v>
      </c>
      <c r="AM33" s="100">
        <v>0.669829</v>
      </c>
      <c r="AN33" s="100">
        <v>0.693384</v>
      </c>
      <c r="AO33" s="98">
        <v>2402.1517343721016</v>
      </c>
      <c r="AP33" s="158">
        <v>1.075506134</v>
      </c>
      <c r="AQ33" s="100">
        <v>0.16216216216216217</v>
      </c>
      <c r="AR33" s="100">
        <v>0.6363636363636364</v>
      </c>
      <c r="AS33" s="98">
        <v>389.5381190873678</v>
      </c>
      <c r="AT33" s="98">
        <v>519.3841587831571</v>
      </c>
      <c r="AU33" s="98">
        <v>129.84603969578927</v>
      </c>
      <c r="AV33" s="98">
        <v>575.0324615099239</v>
      </c>
      <c r="AW33" s="98">
        <v>612.1313299944352</v>
      </c>
      <c r="AX33" s="98">
        <v>797.6256724169913</v>
      </c>
      <c r="AY33" s="98">
        <v>1177.8890743832312</v>
      </c>
      <c r="AZ33" s="98">
        <v>881.0981265071415</v>
      </c>
      <c r="BA33" s="100" t="s">
        <v>540</v>
      </c>
      <c r="BB33" s="100" t="s">
        <v>540</v>
      </c>
      <c r="BC33" s="100" t="s">
        <v>540</v>
      </c>
      <c r="BD33" s="158">
        <v>0.9485005951</v>
      </c>
      <c r="BE33" s="158">
        <v>1.214780884</v>
      </c>
      <c r="BF33" s="162">
        <v>1654</v>
      </c>
      <c r="BG33" s="162">
        <v>13</v>
      </c>
      <c r="BH33" s="162">
        <v>2657</v>
      </c>
      <c r="BI33" s="162">
        <v>1581</v>
      </c>
      <c r="BJ33" s="162">
        <v>786</v>
      </c>
      <c r="BK33" s="97"/>
      <c r="BL33" s="97"/>
      <c r="BM33" s="97"/>
      <c r="BN33" s="97"/>
    </row>
    <row r="34" spans="1:66" ht="12.75">
      <c r="A34" s="79" t="s">
        <v>527</v>
      </c>
      <c r="B34" s="79" t="s">
        <v>314</v>
      </c>
      <c r="C34" s="79" t="s">
        <v>207</v>
      </c>
      <c r="D34" s="99">
        <v>4236</v>
      </c>
      <c r="E34" s="99">
        <v>932</v>
      </c>
      <c r="F34" s="99" t="s">
        <v>342</v>
      </c>
      <c r="G34" s="99">
        <v>23</v>
      </c>
      <c r="H34" s="99">
        <v>22</v>
      </c>
      <c r="I34" s="99">
        <v>60</v>
      </c>
      <c r="J34" s="99">
        <v>483</v>
      </c>
      <c r="K34" s="99">
        <v>454</v>
      </c>
      <c r="L34" s="99">
        <v>858</v>
      </c>
      <c r="M34" s="99">
        <v>334</v>
      </c>
      <c r="N34" s="99">
        <v>181</v>
      </c>
      <c r="O34" s="99">
        <v>50</v>
      </c>
      <c r="P34" s="159">
        <v>50</v>
      </c>
      <c r="Q34" s="99">
        <v>9</v>
      </c>
      <c r="R34" s="99">
        <v>19</v>
      </c>
      <c r="S34" s="99">
        <v>16</v>
      </c>
      <c r="T34" s="99" t="s">
        <v>540</v>
      </c>
      <c r="U34" s="99" t="s">
        <v>540</v>
      </c>
      <c r="V34" s="99" t="s">
        <v>540</v>
      </c>
      <c r="W34" s="99">
        <v>23</v>
      </c>
      <c r="X34" s="99">
        <v>19</v>
      </c>
      <c r="Y34" s="99">
        <v>40</v>
      </c>
      <c r="Z34" s="99">
        <v>26</v>
      </c>
      <c r="AA34" s="99" t="s">
        <v>540</v>
      </c>
      <c r="AB34" s="99" t="s">
        <v>540</v>
      </c>
      <c r="AC34" s="99" t="s">
        <v>540</v>
      </c>
      <c r="AD34" s="98" t="s">
        <v>321</v>
      </c>
      <c r="AE34" s="100">
        <v>0.22001888574126535</v>
      </c>
      <c r="AF34" s="100">
        <v>0.1</v>
      </c>
      <c r="AG34" s="98">
        <v>542.9650613786591</v>
      </c>
      <c r="AH34" s="98">
        <v>519.3578847969783</v>
      </c>
      <c r="AI34" s="100">
        <v>0.013999999999999999</v>
      </c>
      <c r="AJ34" s="100">
        <v>0.841463</v>
      </c>
      <c r="AK34" s="100">
        <v>0.826958</v>
      </c>
      <c r="AL34" s="100">
        <v>0.81327</v>
      </c>
      <c r="AM34" s="100">
        <v>0.652344</v>
      </c>
      <c r="AN34" s="100">
        <v>0.677903</v>
      </c>
      <c r="AO34" s="98">
        <v>1180.3588290840416</v>
      </c>
      <c r="AP34" s="158">
        <v>0.5495740509</v>
      </c>
      <c r="AQ34" s="100">
        <v>0.18</v>
      </c>
      <c r="AR34" s="100">
        <v>0.47368421052631576</v>
      </c>
      <c r="AS34" s="98">
        <v>377.7148253068933</v>
      </c>
      <c r="AT34" s="98" t="s">
        <v>540</v>
      </c>
      <c r="AU34" s="98" t="s">
        <v>540</v>
      </c>
      <c r="AV34" s="98" t="s">
        <v>540</v>
      </c>
      <c r="AW34" s="98">
        <v>542.9650613786591</v>
      </c>
      <c r="AX34" s="98">
        <v>448.5363550519358</v>
      </c>
      <c r="AY34" s="98">
        <v>944.2870632672333</v>
      </c>
      <c r="AZ34" s="98">
        <v>613.7865911237016</v>
      </c>
      <c r="BA34" s="100" t="s">
        <v>540</v>
      </c>
      <c r="BB34" s="100" t="s">
        <v>540</v>
      </c>
      <c r="BC34" s="100" t="s">
        <v>540</v>
      </c>
      <c r="BD34" s="158">
        <v>0.4079044724</v>
      </c>
      <c r="BE34" s="158">
        <v>0.7245449066</v>
      </c>
      <c r="BF34" s="162">
        <v>574</v>
      </c>
      <c r="BG34" s="162">
        <v>549</v>
      </c>
      <c r="BH34" s="162">
        <v>1055</v>
      </c>
      <c r="BI34" s="162">
        <v>512</v>
      </c>
      <c r="BJ34" s="162">
        <v>267</v>
      </c>
      <c r="BK34" s="97"/>
      <c r="BL34" s="97"/>
      <c r="BM34" s="97"/>
      <c r="BN34" s="97"/>
    </row>
    <row r="35" spans="1:66" ht="12.75">
      <c r="A35" s="79" t="s">
        <v>511</v>
      </c>
      <c r="B35" s="79" t="s">
        <v>292</v>
      </c>
      <c r="C35" s="79" t="s">
        <v>207</v>
      </c>
      <c r="D35" s="99">
        <v>15304</v>
      </c>
      <c r="E35" s="99">
        <v>3042</v>
      </c>
      <c r="F35" s="99" t="s">
        <v>344</v>
      </c>
      <c r="G35" s="99">
        <v>82</v>
      </c>
      <c r="H35" s="99">
        <v>38</v>
      </c>
      <c r="I35" s="99">
        <v>364</v>
      </c>
      <c r="J35" s="99">
        <v>1937</v>
      </c>
      <c r="K35" s="99">
        <v>1808</v>
      </c>
      <c r="L35" s="99">
        <v>2971</v>
      </c>
      <c r="M35" s="99">
        <v>1416</v>
      </c>
      <c r="N35" s="99">
        <v>759</v>
      </c>
      <c r="O35" s="99">
        <v>263</v>
      </c>
      <c r="P35" s="159">
        <v>263</v>
      </c>
      <c r="Q35" s="99">
        <v>43</v>
      </c>
      <c r="R35" s="99">
        <v>99</v>
      </c>
      <c r="S35" s="99">
        <v>48</v>
      </c>
      <c r="T35" s="99">
        <v>46</v>
      </c>
      <c r="U35" s="99">
        <v>9</v>
      </c>
      <c r="V35" s="99">
        <v>59</v>
      </c>
      <c r="W35" s="99">
        <v>91</v>
      </c>
      <c r="X35" s="99">
        <v>78</v>
      </c>
      <c r="Y35" s="99">
        <v>160</v>
      </c>
      <c r="Z35" s="99">
        <v>66</v>
      </c>
      <c r="AA35" s="99" t="s">
        <v>540</v>
      </c>
      <c r="AB35" s="99" t="s">
        <v>540</v>
      </c>
      <c r="AC35" s="99" t="s">
        <v>540</v>
      </c>
      <c r="AD35" s="98" t="s">
        <v>321</v>
      </c>
      <c r="AE35" s="100">
        <v>0.19877156299006796</v>
      </c>
      <c r="AF35" s="100">
        <v>0.07</v>
      </c>
      <c r="AG35" s="98">
        <v>535.8076319916362</v>
      </c>
      <c r="AH35" s="98">
        <v>248.30109775222164</v>
      </c>
      <c r="AI35" s="100">
        <v>0.024</v>
      </c>
      <c r="AJ35" s="100">
        <v>0.850681</v>
      </c>
      <c r="AK35" s="100">
        <v>0.813681</v>
      </c>
      <c r="AL35" s="100">
        <v>0.78953</v>
      </c>
      <c r="AM35" s="100">
        <v>0.638701</v>
      </c>
      <c r="AN35" s="100">
        <v>0.648718</v>
      </c>
      <c r="AO35" s="98">
        <v>1718.504966021955</v>
      </c>
      <c r="AP35" s="158">
        <v>0.8213166046000001</v>
      </c>
      <c r="AQ35" s="100">
        <v>0.1634980988593156</v>
      </c>
      <c r="AR35" s="100">
        <v>0.43434343434343436</v>
      </c>
      <c r="AS35" s="98">
        <v>313.64349189754313</v>
      </c>
      <c r="AT35" s="98">
        <v>300.5750130684788</v>
      </c>
      <c r="AU35" s="98">
        <v>58.80815473078933</v>
      </c>
      <c r="AV35" s="98">
        <v>385.5201254573968</v>
      </c>
      <c r="AW35" s="98">
        <v>594.6157867224255</v>
      </c>
      <c r="AX35" s="98">
        <v>509.6706743335076</v>
      </c>
      <c r="AY35" s="98">
        <v>1045.4783063251436</v>
      </c>
      <c r="AZ35" s="98">
        <v>431.2598013591218</v>
      </c>
      <c r="BA35" s="100" t="s">
        <v>540</v>
      </c>
      <c r="BB35" s="100" t="s">
        <v>540</v>
      </c>
      <c r="BC35" s="100" t="s">
        <v>540</v>
      </c>
      <c r="BD35" s="158">
        <v>0.7250452423</v>
      </c>
      <c r="BE35" s="158">
        <v>0.9268135834</v>
      </c>
      <c r="BF35" s="162">
        <v>2277</v>
      </c>
      <c r="BG35" s="162">
        <v>2222</v>
      </c>
      <c r="BH35" s="162">
        <v>3763</v>
      </c>
      <c r="BI35" s="162">
        <v>2217</v>
      </c>
      <c r="BJ35" s="162">
        <v>1170</v>
      </c>
      <c r="BK35" s="97"/>
      <c r="BL35" s="97"/>
      <c r="BM35" s="97"/>
      <c r="BN35" s="97"/>
    </row>
    <row r="36" spans="1:66" ht="12.75">
      <c r="A36" s="79" t="s">
        <v>509</v>
      </c>
      <c r="B36" s="79" t="s">
        <v>289</v>
      </c>
      <c r="C36" s="79" t="s">
        <v>207</v>
      </c>
      <c r="D36" s="99">
        <v>12386</v>
      </c>
      <c r="E36" s="99">
        <v>2842</v>
      </c>
      <c r="F36" s="99" t="s">
        <v>341</v>
      </c>
      <c r="G36" s="99">
        <v>85</v>
      </c>
      <c r="H36" s="99">
        <v>43</v>
      </c>
      <c r="I36" s="99">
        <v>313</v>
      </c>
      <c r="J36" s="99">
        <v>1379</v>
      </c>
      <c r="K36" s="99">
        <v>27</v>
      </c>
      <c r="L36" s="99">
        <v>2006</v>
      </c>
      <c r="M36" s="99">
        <v>1179</v>
      </c>
      <c r="N36" s="99">
        <v>628</v>
      </c>
      <c r="O36" s="99">
        <v>254</v>
      </c>
      <c r="P36" s="159">
        <v>254</v>
      </c>
      <c r="Q36" s="99">
        <v>46</v>
      </c>
      <c r="R36" s="99">
        <v>90</v>
      </c>
      <c r="S36" s="99">
        <v>25</v>
      </c>
      <c r="T36" s="99">
        <v>45</v>
      </c>
      <c r="U36" s="99">
        <v>35</v>
      </c>
      <c r="V36" s="99">
        <v>34</v>
      </c>
      <c r="W36" s="99">
        <v>95</v>
      </c>
      <c r="X36" s="99">
        <v>92</v>
      </c>
      <c r="Y36" s="99">
        <v>158</v>
      </c>
      <c r="Z36" s="99">
        <v>87</v>
      </c>
      <c r="AA36" s="99" t="s">
        <v>540</v>
      </c>
      <c r="AB36" s="99" t="s">
        <v>540</v>
      </c>
      <c r="AC36" s="99" t="s">
        <v>540</v>
      </c>
      <c r="AD36" s="98" t="s">
        <v>321</v>
      </c>
      <c r="AE36" s="100">
        <v>0.2294526077829808</v>
      </c>
      <c r="AF36" s="100">
        <v>0.19</v>
      </c>
      <c r="AG36" s="98">
        <v>686.2586791538835</v>
      </c>
      <c r="AH36" s="98">
        <v>347.16615533667044</v>
      </c>
      <c r="AI36" s="100">
        <v>0.025</v>
      </c>
      <c r="AJ36" s="100">
        <v>0.710825</v>
      </c>
      <c r="AK36" s="100">
        <v>0.519231</v>
      </c>
      <c r="AL36" s="100">
        <v>0.689821</v>
      </c>
      <c r="AM36" s="100">
        <v>0.587151</v>
      </c>
      <c r="AN36" s="100">
        <v>0.60735</v>
      </c>
      <c r="AO36" s="98">
        <v>2050.702405942193</v>
      </c>
      <c r="AP36" s="158">
        <v>0.931815033</v>
      </c>
      <c r="AQ36" s="100">
        <v>0.18110236220472442</v>
      </c>
      <c r="AR36" s="100">
        <v>0.5111111111111111</v>
      </c>
      <c r="AS36" s="98">
        <v>201.8407879864363</v>
      </c>
      <c r="AT36" s="98">
        <v>363.31341837558534</v>
      </c>
      <c r="AU36" s="98">
        <v>282.57710318101084</v>
      </c>
      <c r="AV36" s="98">
        <v>274.50347166155336</v>
      </c>
      <c r="AW36" s="98">
        <v>766.9949943484579</v>
      </c>
      <c r="AX36" s="98">
        <v>742.7740997900855</v>
      </c>
      <c r="AY36" s="98">
        <v>1275.6337800742774</v>
      </c>
      <c r="AZ36" s="98">
        <v>702.4059421927983</v>
      </c>
      <c r="BA36" s="100" t="s">
        <v>540</v>
      </c>
      <c r="BB36" s="100" t="s">
        <v>540</v>
      </c>
      <c r="BC36" s="100" t="s">
        <v>540</v>
      </c>
      <c r="BD36" s="158">
        <v>0.8207345581</v>
      </c>
      <c r="BE36" s="158">
        <v>1.0537369540000001</v>
      </c>
      <c r="BF36" s="162">
        <v>1940</v>
      </c>
      <c r="BG36" s="162">
        <v>52</v>
      </c>
      <c r="BH36" s="162">
        <v>2908</v>
      </c>
      <c r="BI36" s="162">
        <v>2008</v>
      </c>
      <c r="BJ36" s="162">
        <v>1034</v>
      </c>
      <c r="BK36" s="97"/>
      <c r="BL36" s="97"/>
      <c r="BM36" s="97"/>
      <c r="BN36" s="97"/>
    </row>
    <row r="37" spans="1:66" ht="12.75">
      <c r="A37" s="79" t="s">
        <v>532</v>
      </c>
      <c r="B37" s="79" t="s">
        <v>319</v>
      </c>
      <c r="C37" s="79" t="s">
        <v>207</v>
      </c>
      <c r="D37" s="99">
        <v>2164</v>
      </c>
      <c r="E37" s="99">
        <v>520</v>
      </c>
      <c r="F37" s="99" t="s">
        <v>344</v>
      </c>
      <c r="G37" s="99">
        <v>22</v>
      </c>
      <c r="H37" s="99">
        <v>7</v>
      </c>
      <c r="I37" s="99">
        <v>55</v>
      </c>
      <c r="J37" s="99">
        <v>204</v>
      </c>
      <c r="K37" s="99" t="s">
        <v>540</v>
      </c>
      <c r="L37" s="99">
        <v>425</v>
      </c>
      <c r="M37" s="99">
        <v>191</v>
      </c>
      <c r="N37" s="99">
        <v>91</v>
      </c>
      <c r="O37" s="99">
        <v>31</v>
      </c>
      <c r="P37" s="159">
        <v>31</v>
      </c>
      <c r="Q37" s="99">
        <v>7</v>
      </c>
      <c r="R37" s="99">
        <v>15</v>
      </c>
      <c r="S37" s="99" t="s">
        <v>540</v>
      </c>
      <c r="T37" s="99">
        <v>6</v>
      </c>
      <c r="U37" s="99" t="s">
        <v>540</v>
      </c>
      <c r="V37" s="99">
        <v>8</v>
      </c>
      <c r="W37" s="99" t="s">
        <v>540</v>
      </c>
      <c r="X37" s="99">
        <v>20</v>
      </c>
      <c r="Y37" s="99">
        <v>20</v>
      </c>
      <c r="Z37" s="99">
        <v>14</v>
      </c>
      <c r="AA37" s="99" t="s">
        <v>540</v>
      </c>
      <c r="AB37" s="99" t="s">
        <v>540</v>
      </c>
      <c r="AC37" s="99" t="s">
        <v>540</v>
      </c>
      <c r="AD37" s="98" t="s">
        <v>321</v>
      </c>
      <c r="AE37" s="100">
        <v>0.24029574861367836</v>
      </c>
      <c r="AF37" s="100">
        <v>0.04</v>
      </c>
      <c r="AG37" s="98">
        <v>1016.6358595194085</v>
      </c>
      <c r="AH37" s="98">
        <v>323.4750462107209</v>
      </c>
      <c r="AI37" s="100">
        <v>0.025</v>
      </c>
      <c r="AJ37" s="100">
        <v>0.723404</v>
      </c>
      <c r="AK37" s="100" t="s">
        <v>540</v>
      </c>
      <c r="AL37" s="100">
        <v>0.862069</v>
      </c>
      <c r="AM37" s="100">
        <v>0.68705</v>
      </c>
      <c r="AN37" s="100">
        <v>0.728</v>
      </c>
      <c r="AO37" s="98">
        <v>1432.5323475046212</v>
      </c>
      <c r="AP37" s="158">
        <v>0.6465293884000001</v>
      </c>
      <c r="AQ37" s="100">
        <v>0.22580645161290322</v>
      </c>
      <c r="AR37" s="100">
        <v>0.4666666666666667</v>
      </c>
      <c r="AS37" s="98" t="s">
        <v>540</v>
      </c>
      <c r="AT37" s="98">
        <v>277.264325323475</v>
      </c>
      <c r="AU37" s="98" t="s">
        <v>540</v>
      </c>
      <c r="AV37" s="98">
        <v>369.68576709796673</v>
      </c>
      <c r="AW37" s="98" t="s">
        <v>540</v>
      </c>
      <c r="AX37" s="98">
        <v>924.2144177449168</v>
      </c>
      <c r="AY37" s="98">
        <v>924.2144177449168</v>
      </c>
      <c r="AZ37" s="98">
        <v>646.9500924214418</v>
      </c>
      <c r="BA37" s="100" t="s">
        <v>540</v>
      </c>
      <c r="BB37" s="100" t="s">
        <v>540</v>
      </c>
      <c r="BC37" s="100" t="s">
        <v>540</v>
      </c>
      <c r="BD37" s="158">
        <v>0.4392853546</v>
      </c>
      <c r="BE37" s="158">
        <v>0.9176968383999999</v>
      </c>
      <c r="BF37" s="162">
        <v>282</v>
      </c>
      <c r="BG37" s="162" t="s">
        <v>540</v>
      </c>
      <c r="BH37" s="162">
        <v>493</v>
      </c>
      <c r="BI37" s="162">
        <v>278</v>
      </c>
      <c r="BJ37" s="162">
        <v>125</v>
      </c>
      <c r="BK37" s="97"/>
      <c r="BL37" s="97"/>
      <c r="BM37" s="97"/>
      <c r="BN37" s="97"/>
    </row>
    <row r="38" spans="1:66" ht="12.75">
      <c r="A38" s="79" t="s">
        <v>529</v>
      </c>
      <c r="B38" s="79" t="s">
        <v>316</v>
      </c>
      <c r="C38" s="79" t="s">
        <v>207</v>
      </c>
      <c r="D38" s="99">
        <v>4454</v>
      </c>
      <c r="E38" s="99">
        <v>688</v>
      </c>
      <c r="F38" s="99" t="s">
        <v>342</v>
      </c>
      <c r="G38" s="99">
        <v>32</v>
      </c>
      <c r="H38" s="99">
        <v>8</v>
      </c>
      <c r="I38" s="99">
        <v>59</v>
      </c>
      <c r="J38" s="99">
        <v>401</v>
      </c>
      <c r="K38" s="99">
        <v>7</v>
      </c>
      <c r="L38" s="99">
        <v>821</v>
      </c>
      <c r="M38" s="99">
        <v>312</v>
      </c>
      <c r="N38" s="99">
        <v>159</v>
      </c>
      <c r="O38" s="99">
        <v>81</v>
      </c>
      <c r="P38" s="159">
        <v>81</v>
      </c>
      <c r="Q38" s="99" t="s">
        <v>540</v>
      </c>
      <c r="R38" s="99">
        <v>19</v>
      </c>
      <c r="S38" s="99">
        <v>21</v>
      </c>
      <c r="T38" s="99">
        <v>11</v>
      </c>
      <c r="U38" s="99" t="s">
        <v>540</v>
      </c>
      <c r="V38" s="99" t="s">
        <v>540</v>
      </c>
      <c r="W38" s="99">
        <v>30</v>
      </c>
      <c r="X38" s="99">
        <v>23</v>
      </c>
      <c r="Y38" s="99">
        <v>56</v>
      </c>
      <c r="Z38" s="99">
        <v>26</v>
      </c>
      <c r="AA38" s="99" t="s">
        <v>540</v>
      </c>
      <c r="AB38" s="99" t="s">
        <v>540</v>
      </c>
      <c r="AC38" s="99" t="s">
        <v>540</v>
      </c>
      <c r="AD38" s="98" t="s">
        <v>321</v>
      </c>
      <c r="AE38" s="100">
        <v>0.15446789402784014</v>
      </c>
      <c r="AF38" s="100">
        <v>0.09</v>
      </c>
      <c r="AG38" s="98">
        <v>718.4553210597217</v>
      </c>
      <c r="AH38" s="98">
        <v>179.6138302649304</v>
      </c>
      <c r="AI38" s="100">
        <v>0.013000000000000001</v>
      </c>
      <c r="AJ38" s="100">
        <v>0.749533</v>
      </c>
      <c r="AK38" s="100">
        <v>0.875</v>
      </c>
      <c r="AL38" s="100">
        <v>0.84465</v>
      </c>
      <c r="AM38" s="100">
        <v>0.635438</v>
      </c>
      <c r="AN38" s="100">
        <v>0.623529</v>
      </c>
      <c r="AO38" s="98">
        <v>1818.5900314324203</v>
      </c>
      <c r="AP38" s="158">
        <v>1.034073181</v>
      </c>
      <c r="AQ38" s="100" t="s">
        <v>540</v>
      </c>
      <c r="AR38" s="100" t="s">
        <v>540</v>
      </c>
      <c r="AS38" s="98">
        <v>471.4863044454423</v>
      </c>
      <c r="AT38" s="98">
        <v>246.9690166142793</v>
      </c>
      <c r="AU38" s="98" t="s">
        <v>540</v>
      </c>
      <c r="AV38" s="98" t="s">
        <v>540</v>
      </c>
      <c r="AW38" s="98">
        <v>673.551863493489</v>
      </c>
      <c r="AX38" s="98">
        <v>516.3897620116749</v>
      </c>
      <c r="AY38" s="98">
        <v>1257.2968118545127</v>
      </c>
      <c r="AZ38" s="98">
        <v>583.7449483610238</v>
      </c>
      <c r="BA38" s="100" t="s">
        <v>540</v>
      </c>
      <c r="BB38" s="100" t="s">
        <v>540</v>
      </c>
      <c r="BC38" s="100" t="s">
        <v>540</v>
      </c>
      <c r="BD38" s="158">
        <v>0.8212033844</v>
      </c>
      <c r="BE38" s="158">
        <v>1.285258484</v>
      </c>
      <c r="BF38" s="162">
        <v>535</v>
      </c>
      <c r="BG38" s="162">
        <v>8</v>
      </c>
      <c r="BH38" s="162">
        <v>972</v>
      </c>
      <c r="BI38" s="162">
        <v>491</v>
      </c>
      <c r="BJ38" s="162">
        <v>255</v>
      </c>
      <c r="BK38" s="97"/>
      <c r="BL38" s="97"/>
      <c r="BM38" s="97"/>
      <c r="BN38" s="97"/>
    </row>
    <row r="39" spans="1:66" ht="12.75">
      <c r="A39" s="79" t="s">
        <v>510</v>
      </c>
      <c r="B39" s="79" t="s">
        <v>290</v>
      </c>
      <c r="C39" s="79" t="s">
        <v>207</v>
      </c>
      <c r="D39" s="99">
        <v>10076</v>
      </c>
      <c r="E39" s="99">
        <v>1765</v>
      </c>
      <c r="F39" s="99" t="s">
        <v>344</v>
      </c>
      <c r="G39" s="99">
        <v>59</v>
      </c>
      <c r="H39" s="99">
        <v>25</v>
      </c>
      <c r="I39" s="99">
        <v>220</v>
      </c>
      <c r="J39" s="99">
        <v>1094</v>
      </c>
      <c r="K39" s="99">
        <v>186</v>
      </c>
      <c r="L39" s="99">
        <v>2078</v>
      </c>
      <c r="M39" s="99">
        <v>865</v>
      </c>
      <c r="N39" s="99">
        <v>459</v>
      </c>
      <c r="O39" s="99">
        <v>130</v>
      </c>
      <c r="P39" s="159">
        <v>130</v>
      </c>
      <c r="Q39" s="99">
        <v>24</v>
      </c>
      <c r="R39" s="99">
        <v>58</v>
      </c>
      <c r="S39" s="99">
        <v>29</v>
      </c>
      <c r="T39" s="99">
        <v>15</v>
      </c>
      <c r="U39" s="99">
        <v>22</v>
      </c>
      <c r="V39" s="99">
        <v>7</v>
      </c>
      <c r="W39" s="99">
        <v>88</v>
      </c>
      <c r="X39" s="99">
        <v>50</v>
      </c>
      <c r="Y39" s="99">
        <v>86</v>
      </c>
      <c r="Z39" s="99">
        <v>77</v>
      </c>
      <c r="AA39" s="99" t="s">
        <v>540</v>
      </c>
      <c r="AB39" s="99" t="s">
        <v>540</v>
      </c>
      <c r="AC39" s="99" t="s">
        <v>540</v>
      </c>
      <c r="AD39" s="98" t="s">
        <v>321</v>
      </c>
      <c r="AE39" s="100">
        <v>0.17516871774513695</v>
      </c>
      <c r="AF39" s="100">
        <v>0.08</v>
      </c>
      <c r="AG39" s="98">
        <v>585.5498213576816</v>
      </c>
      <c r="AH39" s="98">
        <v>248.1143310837634</v>
      </c>
      <c r="AI39" s="100">
        <v>0.022000000000000002</v>
      </c>
      <c r="AJ39" s="100">
        <v>0.778648</v>
      </c>
      <c r="AK39" s="100">
        <v>0.69145</v>
      </c>
      <c r="AL39" s="100">
        <v>0.820371</v>
      </c>
      <c r="AM39" s="100">
        <v>0.631387</v>
      </c>
      <c r="AN39" s="100">
        <v>0.641061</v>
      </c>
      <c r="AO39" s="98">
        <v>1290.1945216355696</v>
      </c>
      <c r="AP39" s="158">
        <v>0.6475794983000001</v>
      </c>
      <c r="AQ39" s="100">
        <v>0.18461538461538463</v>
      </c>
      <c r="AR39" s="100">
        <v>0.41379310344827586</v>
      </c>
      <c r="AS39" s="98">
        <v>287.8126240571655</v>
      </c>
      <c r="AT39" s="98">
        <v>148.86859865025804</v>
      </c>
      <c r="AU39" s="98">
        <v>218.34061135371178</v>
      </c>
      <c r="AV39" s="98">
        <v>69.47201270345376</v>
      </c>
      <c r="AW39" s="98">
        <v>873.3624454148471</v>
      </c>
      <c r="AX39" s="98">
        <v>496.2286621675268</v>
      </c>
      <c r="AY39" s="98">
        <v>853.5132989281461</v>
      </c>
      <c r="AZ39" s="98">
        <v>764.1921397379913</v>
      </c>
      <c r="BA39" s="100" t="s">
        <v>540</v>
      </c>
      <c r="BB39" s="100" t="s">
        <v>540</v>
      </c>
      <c r="BC39" s="100" t="s">
        <v>540</v>
      </c>
      <c r="BD39" s="158">
        <v>0.5410509491</v>
      </c>
      <c r="BE39" s="158">
        <v>0.7689480591</v>
      </c>
      <c r="BF39" s="162">
        <v>1405</v>
      </c>
      <c r="BG39" s="162">
        <v>269</v>
      </c>
      <c r="BH39" s="162">
        <v>2533</v>
      </c>
      <c r="BI39" s="162">
        <v>1370</v>
      </c>
      <c r="BJ39" s="162">
        <v>716</v>
      </c>
      <c r="BK39" s="97"/>
      <c r="BL39" s="97"/>
      <c r="BM39" s="97"/>
      <c r="BN39" s="97"/>
    </row>
    <row r="40" spans="1:66" ht="12.75">
      <c r="A40" s="79" t="s">
        <v>508</v>
      </c>
      <c r="B40" s="79" t="s">
        <v>288</v>
      </c>
      <c r="C40" s="79" t="s">
        <v>207</v>
      </c>
      <c r="D40" s="99">
        <v>6611</v>
      </c>
      <c r="E40" s="99">
        <v>1740</v>
      </c>
      <c r="F40" s="99" t="s">
        <v>344</v>
      </c>
      <c r="G40" s="99">
        <v>48</v>
      </c>
      <c r="H40" s="99">
        <v>17</v>
      </c>
      <c r="I40" s="99">
        <v>177</v>
      </c>
      <c r="J40" s="99">
        <v>903</v>
      </c>
      <c r="K40" s="99">
        <v>847</v>
      </c>
      <c r="L40" s="99">
        <v>1299</v>
      </c>
      <c r="M40" s="99">
        <v>702</v>
      </c>
      <c r="N40" s="99">
        <v>370</v>
      </c>
      <c r="O40" s="99">
        <v>111</v>
      </c>
      <c r="P40" s="159">
        <v>111</v>
      </c>
      <c r="Q40" s="99">
        <v>21</v>
      </c>
      <c r="R40" s="99">
        <v>48</v>
      </c>
      <c r="S40" s="99">
        <v>26</v>
      </c>
      <c r="T40" s="99">
        <v>28</v>
      </c>
      <c r="U40" s="99">
        <v>11</v>
      </c>
      <c r="V40" s="99" t="s">
        <v>540</v>
      </c>
      <c r="W40" s="99">
        <v>71</v>
      </c>
      <c r="X40" s="99">
        <v>62</v>
      </c>
      <c r="Y40" s="99">
        <v>114</v>
      </c>
      <c r="Z40" s="99">
        <v>65</v>
      </c>
      <c r="AA40" s="99" t="s">
        <v>540</v>
      </c>
      <c r="AB40" s="99" t="s">
        <v>540</v>
      </c>
      <c r="AC40" s="99" t="s">
        <v>540</v>
      </c>
      <c r="AD40" s="98" t="s">
        <v>321</v>
      </c>
      <c r="AE40" s="100">
        <v>0.26319770080169413</v>
      </c>
      <c r="AF40" s="100">
        <v>0.05</v>
      </c>
      <c r="AG40" s="98">
        <v>726.0626229012253</v>
      </c>
      <c r="AH40" s="98">
        <v>257.14717894418396</v>
      </c>
      <c r="AI40" s="100">
        <v>0.027000000000000003</v>
      </c>
      <c r="AJ40" s="100">
        <v>0.851084</v>
      </c>
      <c r="AK40" s="100">
        <v>0.829579</v>
      </c>
      <c r="AL40" s="100">
        <v>0.848465</v>
      </c>
      <c r="AM40" s="100">
        <v>0.710526</v>
      </c>
      <c r="AN40" s="100">
        <v>0.72549</v>
      </c>
      <c r="AO40" s="98">
        <v>1679.0198154590832</v>
      </c>
      <c r="AP40" s="158">
        <v>0.6915232849</v>
      </c>
      <c r="AQ40" s="100">
        <v>0.1891891891891892</v>
      </c>
      <c r="AR40" s="100">
        <v>0.4375</v>
      </c>
      <c r="AS40" s="98">
        <v>393.28392073816366</v>
      </c>
      <c r="AT40" s="98">
        <v>423.53653002571474</v>
      </c>
      <c r="AU40" s="98">
        <v>166.38935108153078</v>
      </c>
      <c r="AV40" s="98" t="s">
        <v>540</v>
      </c>
      <c r="AW40" s="98">
        <v>1073.9676297080623</v>
      </c>
      <c r="AX40" s="98">
        <v>937.8308879140826</v>
      </c>
      <c r="AY40" s="98">
        <v>1724.39872939041</v>
      </c>
      <c r="AZ40" s="98">
        <v>983.2098018454092</v>
      </c>
      <c r="BA40" s="100" t="s">
        <v>540</v>
      </c>
      <c r="BB40" s="100" t="s">
        <v>540</v>
      </c>
      <c r="BC40" s="100" t="s">
        <v>540</v>
      </c>
      <c r="BD40" s="158">
        <v>0.5688765335</v>
      </c>
      <c r="BE40" s="158">
        <v>0.8327724457</v>
      </c>
      <c r="BF40" s="162">
        <v>1061</v>
      </c>
      <c r="BG40" s="162">
        <v>1021</v>
      </c>
      <c r="BH40" s="162">
        <v>1531</v>
      </c>
      <c r="BI40" s="162">
        <v>988</v>
      </c>
      <c r="BJ40" s="162">
        <v>510</v>
      </c>
      <c r="BK40" s="97"/>
      <c r="BL40" s="97"/>
      <c r="BM40" s="97"/>
      <c r="BN40" s="97"/>
    </row>
    <row r="41" spans="1:66" ht="12.75">
      <c r="A41" s="79" t="s">
        <v>528</v>
      </c>
      <c r="B41" s="79" t="s">
        <v>315</v>
      </c>
      <c r="C41" s="79" t="s">
        <v>207</v>
      </c>
      <c r="D41" s="99">
        <v>4124</v>
      </c>
      <c r="E41" s="99">
        <v>729</v>
      </c>
      <c r="F41" s="99" t="s">
        <v>344</v>
      </c>
      <c r="G41" s="99">
        <v>16</v>
      </c>
      <c r="H41" s="99">
        <v>7</v>
      </c>
      <c r="I41" s="99">
        <v>80</v>
      </c>
      <c r="J41" s="99">
        <v>435</v>
      </c>
      <c r="K41" s="99" t="s">
        <v>540</v>
      </c>
      <c r="L41" s="99">
        <v>911</v>
      </c>
      <c r="M41" s="99">
        <v>301</v>
      </c>
      <c r="N41" s="99">
        <v>141</v>
      </c>
      <c r="O41" s="99">
        <v>92</v>
      </c>
      <c r="P41" s="159">
        <v>92</v>
      </c>
      <c r="Q41" s="99">
        <v>12</v>
      </c>
      <c r="R41" s="99">
        <v>20</v>
      </c>
      <c r="S41" s="99">
        <v>21</v>
      </c>
      <c r="T41" s="99">
        <v>11</v>
      </c>
      <c r="U41" s="99" t="s">
        <v>540</v>
      </c>
      <c r="V41" s="99">
        <v>21</v>
      </c>
      <c r="W41" s="99">
        <v>33</v>
      </c>
      <c r="X41" s="99">
        <v>21</v>
      </c>
      <c r="Y41" s="99">
        <v>57</v>
      </c>
      <c r="Z41" s="99">
        <v>21</v>
      </c>
      <c r="AA41" s="99" t="s">
        <v>540</v>
      </c>
      <c r="AB41" s="99" t="s">
        <v>540</v>
      </c>
      <c r="AC41" s="99" t="s">
        <v>540</v>
      </c>
      <c r="AD41" s="98" t="s">
        <v>321</v>
      </c>
      <c r="AE41" s="100">
        <v>0.17677012609117362</v>
      </c>
      <c r="AF41" s="100">
        <v>0.08</v>
      </c>
      <c r="AG41" s="98">
        <v>387.97284190106694</v>
      </c>
      <c r="AH41" s="98">
        <v>169.73811833171678</v>
      </c>
      <c r="AI41" s="100">
        <v>0.019</v>
      </c>
      <c r="AJ41" s="100">
        <v>0.768551</v>
      </c>
      <c r="AK41" s="100" t="s">
        <v>540</v>
      </c>
      <c r="AL41" s="100">
        <v>0.785345</v>
      </c>
      <c r="AM41" s="100">
        <v>0.631027</v>
      </c>
      <c r="AN41" s="100">
        <v>0.640909</v>
      </c>
      <c r="AO41" s="98">
        <v>2230.8438409311348</v>
      </c>
      <c r="AP41" s="158">
        <v>1.11333847</v>
      </c>
      <c r="AQ41" s="100">
        <v>0.13043478260869565</v>
      </c>
      <c r="AR41" s="100">
        <v>0.6</v>
      </c>
      <c r="AS41" s="98">
        <v>509.21435499515036</v>
      </c>
      <c r="AT41" s="98">
        <v>266.7313288069835</v>
      </c>
      <c r="AU41" s="98" t="s">
        <v>540</v>
      </c>
      <c r="AV41" s="98">
        <v>509.21435499515036</v>
      </c>
      <c r="AW41" s="98">
        <v>800.1939864209505</v>
      </c>
      <c r="AX41" s="98">
        <v>509.21435499515036</v>
      </c>
      <c r="AY41" s="98">
        <v>1382.153249272551</v>
      </c>
      <c r="AZ41" s="98">
        <v>509.21435499515036</v>
      </c>
      <c r="BA41" s="100" t="s">
        <v>540</v>
      </c>
      <c r="BB41" s="100" t="s">
        <v>540</v>
      </c>
      <c r="BC41" s="100" t="s">
        <v>540</v>
      </c>
      <c r="BD41" s="158">
        <v>0.8975079346</v>
      </c>
      <c r="BE41" s="158">
        <v>1.365410767</v>
      </c>
      <c r="BF41" s="162">
        <v>566</v>
      </c>
      <c r="BG41" s="162" t="s">
        <v>540</v>
      </c>
      <c r="BH41" s="162">
        <v>1160</v>
      </c>
      <c r="BI41" s="162">
        <v>477</v>
      </c>
      <c r="BJ41" s="162">
        <v>220</v>
      </c>
      <c r="BK41" s="97"/>
      <c r="BL41" s="97"/>
      <c r="BM41" s="97"/>
      <c r="BN41" s="97"/>
    </row>
    <row r="42" spans="1:66" ht="12.75">
      <c r="A42" s="79" t="s">
        <v>208</v>
      </c>
      <c r="B42" s="94" t="s">
        <v>207</v>
      </c>
      <c r="C42" s="94" t="s">
        <v>7</v>
      </c>
      <c r="D42" s="99">
        <v>314578</v>
      </c>
      <c r="E42" s="99">
        <v>66300</v>
      </c>
      <c r="F42" s="99">
        <v>33689.24999999999</v>
      </c>
      <c r="G42" s="99">
        <v>1914</v>
      </c>
      <c r="H42" s="99">
        <v>968</v>
      </c>
      <c r="I42" s="99">
        <v>7019</v>
      </c>
      <c r="J42" s="99">
        <v>35478</v>
      </c>
      <c r="K42" s="99">
        <v>14476</v>
      </c>
      <c r="L42" s="99">
        <v>60408</v>
      </c>
      <c r="M42" s="99">
        <v>28040</v>
      </c>
      <c r="N42" s="99">
        <v>14441</v>
      </c>
      <c r="O42" s="99">
        <v>5361</v>
      </c>
      <c r="P42" s="99">
        <v>5361</v>
      </c>
      <c r="Q42" s="99">
        <v>897</v>
      </c>
      <c r="R42" s="99">
        <v>1983</v>
      </c>
      <c r="S42" s="99">
        <v>941</v>
      </c>
      <c r="T42" s="99">
        <v>913</v>
      </c>
      <c r="U42" s="99">
        <v>438</v>
      </c>
      <c r="V42" s="99">
        <v>932</v>
      </c>
      <c r="W42" s="99">
        <v>2321</v>
      </c>
      <c r="X42" s="99">
        <v>1913</v>
      </c>
      <c r="Y42" s="99">
        <v>3991</v>
      </c>
      <c r="Z42" s="99">
        <v>2185</v>
      </c>
      <c r="AA42" s="99">
        <v>0</v>
      </c>
      <c r="AB42" s="99">
        <v>0</v>
      </c>
      <c r="AC42" s="99">
        <v>0</v>
      </c>
      <c r="AD42" s="98">
        <v>0</v>
      </c>
      <c r="AE42" s="101">
        <v>0.210758540012334</v>
      </c>
      <c r="AF42" s="101">
        <v>0.10709347125355236</v>
      </c>
      <c r="AG42" s="98">
        <v>608.4341562347017</v>
      </c>
      <c r="AH42" s="98">
        <v>307.71382614168823</v>
      </c>
      <c r="AI42" s="101">
        <v>0.022312431257112703</v>
      </c>
      <c r="AJ42" s="101">
        <v>0.7794279186255987</v>
      </c>
      <c r="AK42" s="101">
        <v>0.7882814201698977</v>
      </c>
      <c r="AL42" s="101">
        <v>0.796403475234341</v>
      </c>
      <c r="AM42" s="101">
        <v>0.6345039826212889</v>
      </c>
      <c r="AN42" s="101">
        <v>0.6456675310739516</v>
      </c>
      <c r="AO42" s="98">
        <v>1704.18783258842</v>
      </c>
      <c r="AP42" s="98">
        <v>0</v>
      </c>
      <c r="AQ42" s="101">
        <v>0.16731952993844432</v>
      </c>
      <c r="AR42" s="101">
        <v>0.4523449319213313</v>
      </c>
      <c r="AS42" s="98">
        <v>299.13089917286015</v>
      </c>
      <c r="AT42" s="98">
        <v>290.2300860200014</v>
      </c>
      <c r="AU42" s="98">
        <v>139.23414860543332</v>
      </c>
      <c r="AV42" s="98">
        <v>296.26992351658413</v>
      </c>
      <c r="AW42" s="98">
        <v>737.8138331351843</v>
      </c>
      <c r="AX42" s="98">
        <v>608.116270050671</v>
      </c>
      <c r="AY42" s="98">
        <v>1268.6837604664026</v>
      </c>
      <c r="AZ42" s="98">
        <v>694.5813121070132</v>
      </c>
      <c r="BA42" s="101">
        <v>0</v>
      </c>
      <c r="BB42" s="101">
        <v>0</v>
      </c>
      <c r="BC42" s="101">
        <v>0</v>
      </c>
      <c r="BD42" s="98">
        <v>0</v>
      </c>
      <c r="BE42" s="98">
        <v>0</v>
      </c>
      <c r="BF42" s="99">
        <v>45518</v>
      </c>
      <c r="BG42" s="99">
        <v>18364</v>
      </c>
      <c r="BH42" s="99">
        <v>75851</v>
      </c>
      <c r="BI42" s="99">
        <v>44192</v>
      </c>
      <c r="BJ42" s="99">
        <v>22366</v>
      </c>
      <c r="BK42" s="97"/>
      <c r="BL42" s="97"/>
      <c r="BM42" s="97"/>
      <c r="BN42" s="97"/>
    </row>
    <row r="43" spans="1:66" ht="12.75">
      <c r="A43" s="79" t="s">
        <v>24</v>
      </c>
      <c r="B43" s="94" t="s">
        <v>7</v>
      </c>
      <c r="C43" s="94" t="s">
        <v>7</v>
      </c>
      <c r="D43" s="99">
        <v>54615830</v>
      </c>
      <c r="E43" s="99">
        <v>8737890</v>
      </c>
      <c r="F43" s="99">
        <v>8198344.169999988</v>
      </c>
      <c r="G43" s="99">
        <v>243379</v>
      </c>
      <c r="H43" s="99">
        <v>127868</v>
      </c>
      <c r="I43" s="99">
        <v>870616</v>
      </c>
      <c r="J43" s="99">
        <v>4592627</v>
      </c>
      <c r="K43" s="99">
        <v>1679592</v>
      </c>
      <c r="L43" s="99">
        <v>10150944</v>
      </c>
      <c r="M43" s="99">
        <v>2959539</v>
      </c>
      <c r="N43" s="99">
        <v>1629320</v>
      </c>
      <c r="O43" s="99">
        <v>989730</v>
      </c>
      <c r="P43" s="99">
        <v>989730</v>
      </c>
      <c r="Q43" s="99">
        <v>108072</v>
      </c>
      <c r="R43" s="99">
        <v>238330</v>
      </c>
      <c r="S43" s="99">
        <v>206300</v>
      </c>
      <c r="T43" s="99">
        <v>154264</v>
      </c>
      <c r="U43" s="99">
        <v>38486</v>
      </c>
      <c r="V43" s="99">
        <v>176535</v>
      </c>
      <c r="W43" s="99">
        <v>307276</v>
      </c>
      <c r="X43" s="99">
        <v>221506</v>
      </c>
      <c r="Y43" s="99">
        <v>578574</v>
      </c>
      <c r="Z43" s="99">
        <v>318377</v>
      </c>
      <c r="AA43" s="99">
        <v>0</v>
      </c>
      <c r="AB43" s="99">
        <v>0</v>
      </c>
      <c r="AC43" s="99">
        <v>0</v>
      </c>
      <c r="AD43" s="98">
        <v>0</v>
      </c>
      <c r="AE43" s="101">
        <v>0.1599882305185145</v>
      </c>
      <c r="AF43" s="101">
        <v>0.15010930292554353</v>
      </c>
      <c r="AG43" s="98">
        <v>445.6198871279627</v>
      </c>
      <c r="AH43" s="98">
        <v>234.12259778895606</v>
      </c>
      <c r="AI43" s="101">
        <v>0.015940726342527432</v>
      </c>
      <c r="AJ43" s="101">
        <v>0.7248631360507991</v>
      </c>
      <c r="AK43" s="101">
        <v>0.7467412166569077</v>
      </c>
      <c r="AL43" s="101">
        <v>0.7559681673907895</v>
      </c>
      <c r="AM43" s="101">
        <v>0.5147293797466616</v>
      </c>
      <c r="AN43" s="101">
        <v>0.5752927626212945</v>
      </c>
      <c r="AO43" s="98">
        <v>1812.1669120472948</v>
      </c>
      <c r="AP43" s="98">
        <v>1</v>
      </c>
      <c r="AQ43" s="101">
        <v>0.10919341638628717</v>
      </c>
      <c r="AR43" s="101">
        <v>0.4534552930810221</v>
      </c>
      <c r="AS43" s="98">
        <v>377.7293140102421</v>
      </c>
      <c r="AT43" s="98">
        <v>282.45290788403287</v>
      </c>
      <c r="AU43" s="98">
        <v>70.46674929228394</v>
      </c>
      <c r="AV43" s="98">
        <v>323.23046266988894</v>
      </c>
      <c r="AW43" s="98">
        <v>562.6134400960308</v>
      </c>
      <c r="AX43" s="98">
        <v>405.57105879375996</v>
      </c>
      <c r="AY43" s="98">
        <v>1059.3522061277838</v>
      </c>
      <c r="AZ43" s="98">
        <v>582.9390489900089</v>
      </c>
      <c r="BA43" s="101">
        <v>0</v>
      </c>
      <c r="BB43" s="101">
        <v>0</v>
      </c>
      <c r="BC43" s="101">
        <v>0</v>
      </c>
      <c r="BD43" s="98">
        <v>0</v>
      </c>
      <c r="BE43" s="98">
        <v>0</v>
      </c>
      <c r="BF43" s="99">
        <v>6335854</v>
      </c>
      <c r="BG43" s="99">
        <v>2249229</v>
      </c>
      <c r="BH43" s="99">
        <v>13427740</v>
      </c>
      <c r="BI43" s="99">
        <v>5749699</v>
      </c>
      <c r="BJ43" s="99">
        <v>2832158</v>
      </c>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2"/>
      <c r="BB52" s="302"/>
      <c r="BC52" s="302"/>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2"/>
      <c r="BB57" s="302"/>
      <c r="BC57" s="302"/>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2"/>
      <c r="BB59" s="302"/>
      <c r="BC59" s="302"/>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2"/>
      <c r="BB64" s="302"/>
      <c r="BC64" s="302"/>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2"/>
      <c r="BB68" s="302"/>
      <c r="BC68" s="302"/>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2"/>
      <c r="BB79" s="302"/>
      <c r="BC79" s="302"/>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2"/>
      <c r="BB94" s="302"/>
      <c r="BC94" s="302"/>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298"/>
      <c r="C102" s="298"/>
      <c r="D102" s="299"/>
      <c r="E102" s="299"/>
      <c r="F102" s="299"/>
      <c r="G102" s="299"/>
      <c r="H102" s="299"/>
      <c r="I102" s="299"/>
      <c r="J102" s="299"/>
      <c r="K102" s="299"/>
      <c r="L102" s="299"/>
      <c r="M102" s="299"/>
      <c r="N102" s="299"/>
      <c r="O102" s="299"/>
      <c r="P102" s="299"/>
      <c r="Q102" s="299"/>
      <c r="R102" s="299"/>
      <c r="S102" s="299"/>
      <c r="T102" s="299"/>
      <c r="U102" s="299"/>
      <c r="V102" s="299"/>
      <c r="W102" s="299"/>
      <c r="X102" s="299"/>
      <c r="Y102" s="299"/>
      <c r="Z102" s="299"/>
      <c r="AA102" s="299"/>
      <c r="AB102" s="299"/>
      <c r="AC102" s="299"/>
      <c r="AD102" s="295"/>
      <c r="AE102" s="302"/>
      <c r="AF102" s="302"/>
      <c r="AG102" s="295"/>
      <c r="AH102" s="295"/>
      <c r="AI102" s="302"/>
      <c r="AJ102" s="302"/>
      <c r="AK102" s="302"/>
      <c r="AL102" s="302"/>
      <c r="AM102" s="302"/>
      <c r="AN102" s="302"/>
      <c r="AO102" s="295"/>
      <c r="AP102" s="295"/>
      <c r="AQ102" s="302"/>
      <c r="AR102" s="302"/>
      <c r="AS102" s="295"/>
      <c r="AT102" s="295"/>
      <c r="AU102" s="295"/>
      <c r="AV102" s="295"/>
      <c r="AW102" s="295"/>
      <c r="AX102" s="295"/>
      <c r="AY102" s="295"/>
      <c r="AZ102" s="295"/>
      <c r="BA102" s="302"/>
      <c r="BB102" s="302"/>
      <c r="BC102" s="302"/>
      <c r="BD102" s="295"/>
      <c r="BE102" s="295"/>
      <c r="BF102" s="299"/>
      <c r="BG102" s="299"/>
      <c r="BH102" s="299"/>
      <c r="BI102" s="299"/>
      <c r="BJ102" s="299"/>
      <c r="BK102" s="97"/>
      <c r="BL102" s="97"/>
      <c r="BM102" s="97"/>
      <c r="BN102" s="97"/>
    </row>
    <row r="103" spans="1:66" ht="12.75">
      <c r="A103" s="8"/>
      <c r="B103" s="298"/>
      <c r="C103" s="298"/>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5"/>
      <c r="AE103" s="302"/>
      <c r="AF103" s="302"/>
      <c r="AG103" s="295"/>
      <c r="AH103" s="295"/>
      <c r="AI103" s="302"/>
      <c r="AJ103" s="302"/>
      <c r="AK103" s="302"/>
      <c r="AL103" s="302"/>
      <c r="AM103" s="302"/>
      <c r="AN103" s="302"/>
      <c r="AO103" s="295"/>
      <c r="AP103" s="295"/>
      <c r="AQ103" s="302"/>
      <c r="AR103" s="302"/>
      <c r="AS103" s="295"/>
      <c r="AT103" s="295"/>
      <c r="AU103" s="295"/>
      <c r="AV103" s="295"/>
      <c r="AW103" s="295"/>
      <c r="AX103" s="295"/>
      <c r="AY103" s="295"/>
      <c r="AZ103" s="295"/>
      <c r="BA103" s="302"/>
      <c r="BB103" s="302"/>
      <c r="BC103" s="302"/>
      <c r="BD103" s="295"/>
      <c r="BE103" s="295"/>
      <c r="BF103" s="299"/>
      <c r="BG103" s="299"/>
      <c r="BH103" s="299"/>
      <c r="BI103" s="299"/>
      <c r="BJ103" s="299"/>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370</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326</v>
      </c>
      <c r="O4" s="75" t="s">
        <v>325</v>
      </c>
      <c r="P4" s="75" t="s">
        <v>452</v>
      </c>
      <c r="Q4" s="75" t="s">
        <v>453</v>
      </c>
      <c r="R4" s="75" t="s">
        <v>454</v>
      </c>
      <c r="S4" s="75" t="s">
        <v>455</v>
      </c>
      <c r="T4" s="39" t="s">
        <v>278</v>
      </c>
      <c r="U4" s="40" t="s">
        <v>279</v>
      </c>
      <c r="V4" s="41" t="s">
        <v>7</v>
      </c>
      <c r="W4" s="24" t="s">
        <v>2</v>
      </c>
      <c r="X4" s="24" t="s">
        <v>3</v>
      </c>
      <c r="Y4" s="75" t="s">
        <v>554</v>
      </c>
      <c r="Z4" s="75" t="s">
        <v>553</v>
      </c>
      <c r="AA4" s="26" t="s">
        <v>280</v>
      </c>
      <c r="AB4" s="24" t="s">
        <v>5</v>
      </c>
      <c r="AC4" s="75" t="s">
        <v>35</v>
      </c>
      <c r="AD4" s="24" t="s">
        <v>6</v>
      </c>
      <c r="AE4" s="24" t="s">
        <v>281</v>
      </c>
      <c r="AF4" s="24" t="s">
        <v>16</v>
      </c>
      <c r="AG4" s="24" t="s">
        <v>15</v>
      </c>
      <c r="AH4" s="24" t="s">
        <v>14</v>
      </c>
      <c r="AI4" s="25" t="s">
        <v>30</v>
      </c>
      <c r="AJ4" s="47" t="s">
        <v>10</v>
      </c>
      <c r="AK4" s="26" t="s">
        <v>21</v>
      </c>
      <c r="AL4" s="25" t="s">
        <v>22</v>
      </c>
      <c r="AQ4" s="102" t="s">
        <v>367</v>
      </c>
      <c r="AR4" s="102" t="s">
        <v>369</v>
      </c>
      <c r="AS4" s="102" t="s">
        <v>368</v>
      </c>
      <c r="AY4" s="102" t="s">
        <v>449</v>
      </c>
      <c r="AZ4" s="102" t="s">
        <v>450</v>
      </c>
      <c r="BA4" s="102" t="s">
        <v>451</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390</v>
      </c>
      <c r="BA5" s="103" t="s">
        <v>321</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375</v>
      </c>
      <c r="BA6" s="103" t="s">
        <v>321</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2357</v>
      </c>
      <c r="E7" s="38">
        <f>IF(LEFT(VLOOKUP($B7,'Indicator chart'!$D$1:$J$36,5,FALSE),1)=" "," ",VLOOKUP($B7,'Indicator chart'!$D$1:$J$36,5,FALSE))</f>
        <v>0.19405565618310555</v>
      </c>
      <c r="F7" s="38">
        <f>IF(LEFT(VLOOKUP($B7,'Indicator chart'!$D$1:$J$36,6,FALSE),1)=" "," ",VLOOKUP($B7,'Indicator chart'!$D$1:$J$36,6,FALSE))</f>
        <v>0.18711960319847884</v>
      </c>
      <c r="G7" s="38">
        <f>IF(LEFT(VLOOKUP($B7,'Indicator chart'!$D$1:$J$36,7,FALSE),1)=" "," ",VLOOKUP($B7,'Indicator chart'!$D$1:$J$36,7,FALSE))</f>
        <v>0.2011851793099614</v>
      </c>
      <c r="H7" s="50">
        <f aca="true" t="shared" si="0" ref="H7:H31">IF(LEFT(F7,1)=" ",4,IF(AND(ABS(N7-E7)&gt;SQRT((E7-G7)^2+(N7-R7)^2),E7&lt;N7),1,IF(AND(ABS(N7-E7)&gt;SQRT((E7-F7)^2+(N7-S7)^2),E7&gt;N7),3,2)))</f>
        <v>1</v>
      </c>
      <c r="I7" s="38">
        <v>0.09242144227027893</v>
      </c>
      <c r="J7" s="38">
        <v>0.1755690723657608</v>
      </c>
      <c r="K7" s="38">
        <v>0.19920271635055542</v>
      </c>
      <c r="L7" s="38">
        <v>0.23946714401245117</v>
      </c>
      <c r="M7" s="38">
        <v>0.3145748972892761</v>
      </c>
      <c r="N7" s="80">
        <f>VLOOKUP('Hide - Control'!B$3,'All practice data'!A:CA,A7+29,FALSE)</f>
        <v>0.210758540012334</v>
      </c>
      <c r="O7" s="80">
        <f>VLOOKUP('Hide - Control'!C$3,'All practice data'!A:CA,A7+29,FALSE)</f>
        <v>0.1599882305185145</v>
      </c>
      <c r="P7" s="38">
        <f>VLOOKUP('Hide - Control'!$B$4,'All practice data'!B:BC,A7+2,FALSE)</f>
        <v>66300</v>
      </c>
      <c r="Q7" s="38">
        <f>VLOOKUP('Hide - Control'!$B$4,'All practice data'!B:BC,3,FALSE)</f>
        <v>314578</v>
      </c>
      <c r="R7" s="38">
        <f>+((2*P7+1.96^2-1.96*SQRT(1.96^2+4*P7*(1-P7/Q7)))/(2*(Q7+1.96^2)))</f>
        <v>0.20933683178859305</v>
      </c>
      <c r="S7" s="38">
        <f>+((2*P7+1.96^2+1.96*SQRT(1.96^2+4*P7*(1-P7/Q7)))/(2*(Q7+1.96^2)))</f>
        <v>0.2121873125344276</v>
      </c>
      <c r="T7" s="53">
        <f>IF($C7=1,M7,I7)</f>
        <v>0.3145748972892761</v>
      </c>
      <c r="U7" s="51">
        <f aca="true" t="shared" si="1" ref="U7:U15">IF($C7=1,I7,M7)</f>
        <v>0.09242144227027893</v>
      </c>
      <c r="V7" s="7">
        <v>1</v>
      </c>
      <c r="W7" s="27">
        <f aca="true" t="shared" si="2" ref="W7:W31">IF((K7-I7)&gt;(M7-K7),I7,(K7-(M7-K7)))</f>
        <v>0.08383053541183472</v>
      </c>
      <c r="X7" s="27">
        <f aca="true" t="shared" si="3" ref="X7:X31">IF(W7=I7,K7+(K7-I7),M7)</f>
        <v>0.3145748972892761</v>
      </c>
      <c r="Y7" s="27">
        <f aca="true" t="shared" si="4" ref="Y7:Y31">IF(C7=1,W7,X7)</f>
        <v>0.08383053541183472</v>
      </c>
      <c r="Z7" s="27">
        <f aca="true" t="shared" si="5" ref="Z7:Z31">IF(C7=1,X7,W7)</f>
        <v>0.3145748972892761</v>
      </c>
      <c r="AA7" s="32">
        <f aca="true" t="shared" si="6" ref="AA7:AA31">IF(ISERROR(IF(C7=1,(I7-$Y7)/($Z7-$Y7),(U7-$Y7)/($Z7-$Y7))),"",IF(C7=1,(I7-$Y7)/($Z7-$Y7),(U7-$Y7)/($Z7-$Y7)))</f>
        <v>0.037231275289002407</v>
      </c>
      <c r="AB7" s="33">
        <f aca="true" t="shared" si="7" ref="AB7:AB31">IF(ISERROR(IF(C7=1,(J7-$Y7)/($Z7-$Y7),(L7-$Y7)/($Z7-$Y7))),"",IF(C7=1,(J7-$Y7)/($Z7-$Y7),(L7-$Y7)/($Z7-$Y7)))</f>
        <v>0.39757650504436814</v>
      </c>
      <c r="AC7" s="33">
        <v>0.5</v>
      </c>
      <c r="AD7" s="33">
        <f aca="true" t="shared" si="8" ref="AD7:AD31">IF(ISERROR(IF(C7=1,(L7-$Y7)/($Z7-$Y7),(J7-$Y7)/($Z7-$Y7))),"",IF(C7=1,(L7-$Y7)/($Z7-$Y7),(J7-$Y7)/($Z7-$Y7)))</f>
        <v>0.6744979913454265</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0.47769366876152014</v>
      </c>
      <c r="AI7" s="34">
        <f aca="true" t="shared" si="13" ref="AI7:AI31">IF(ISERROR((O7-$Y7)/($Z7-$Y7)),-999,(O7-$Y7)/($Z7-$Y7))</f>
        <v>0.3300522469412731</v>
      </c>
      <c r="AJ7" s="4">
        <v>2.7020512924389086</v>
      </c>
      <c r="AK7" s="32">
        <f aca="true" t="shared" si="14" ref="AK7:AK31">IF(H7=1,(E7-$Y7)/($Z7-$Y7),-999)</f>
        <v>0.47769366876152014</v>
      </c>
      <c r="AL7" s="34">
        <f aca="true" t="shared" si="15" ref="AL7:AL31">IF(H7=3,(E7-$Y7)/($Z7-$Y7),-999)</f>
        <v>-999</v>
      </c>
      <c r="AQ7" s="103">
        <v>2</v>
      </c>
      <c r="AR7" s="103">
        <v>0.2422</v>
      </c>
      <c r="AS7" s="103">
        <v>7.2247</v>
      </c>
      <c r="AY7" s="103" t="s">
        <v>68</v>
      </c>
      <c r="AZ7" s="103" t="s">
        <v>374</v>
      </c>
      <c r="BA7" s="103" t="s">
        <v>321</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0.09</v>
      </c>
      <c r="F8" s="38">
        <f>IF(LEFT(VLOOKUP($B8,'Indicator chart'!$D$1:$J$36,6,FALSE),1)=" "," ",VLOOKUP($B8,'Indicator chart'!$D$1:$J$36,6,FALSE))</f>
        <v>0.0850392162304239</v>
      </c>
      <c r="G8" s="38">
        <f>IF(LEFT(VLOOKUP($B8,'Indicator chart'!$D$1:$J$36,7,FALSE),1)=" "," ",VLOOKUP($B8,'Indicator chart'!$D$1:$J$36,7,FALSE))</f>
        <v>0.09522005562707916</v>
      </c>
      <c r="H8" s="50">
        <f t="shared" si="0"/>
        <v>1</v>
      </c>
      <c r="I8" s="38">
        <v>0.03999999910593033</v>
      </c>
      <c r="J8" s="38">
        <v>0.07999999821186066</v>
      </c>
      <c r="K8" s="38">
        <v>0.09000000357627869</v>
      </c>
      <c r="L8" s="38">
        <v>0.1274999976158142</v>
      </c>
      <c r="M8" s="38">
        <v>0.20999999344348907</v>
      </c>
      <c r="N8" s="80">
        <f>VLOOKUP('Hide - Control'!B$3,'All practice data'!A:CA,A8+29,FALSE)</f>
        <v>0.10709347125355236</v>
      </c>
      <c r="O8" s="80">
        <f>VLOOKUP('Hide - Control'!C$3,'All practice data'!A:CA,A8+29,FALSE)</f>
        <v>0.15010930292554353</v>
      </c>
      <c r="P8" s="38">
        <f>VLOOKUP('Hide - Control'!$B$4,'All practice data'!B:BC,A8+2,FALSE)</f>
        <v>33689.24999999999</v>
      </c>
      <c r="Q8" s="38">
        <f>VLOOKUP('Hide - Control'!$B$4,'All practice data'!B:BC,3,FALSE)</f>
        <v>314578</v>
      </c>
      <c r="R8" s="38">
        <f>+((2*P8+1.96^2-1.96*SQRT(1.96^2+4*P8*(1-P8/Q8)))/(2*(Q8+1.96^2)))</f>
        <v>0.1060176368380587</v>
      </c>
      <c r="S8" s="38">
        <f>+((2*P8+1.96^2+1.96*SQRT(1.96^2+4*P8*(1-P8/Q8)))/(2*(Q8+1.96^2)))</f>
        <v>0.10817890183462986</v>
      </c>
      <c r="T8" s="53">
        <f aca="true" t="shared" si="16" ref="T8:T15">IF($C8=1,M8,I8)</f>
        <v>0.20999999344348907</v>
      </c>
      <c r="U8" s="51">
        <f t="shared" si="1"/>
        <v>0.03999999910593033</v>
      </c>
      <c r="V8" s="7"/>
      <c r="W8" s="27">
        <f t="shared" si="2"/>
        <v>-0.0299999862909317</v>
      </c>
      <c r="X8" s="27">
        <f t="shared" si="3"/>
        <v>0.20999999344348907</v>
      </c>
      <c r="Y8" s="27">
        <f t="shared" si="4"/>
        <v>-0.0299999862909317</v>
      </c>
      <c r="Z8" s="27">
        <f t="shared" si="5"/>
        <v>0.20999999344348907</v>
      </c>
      <c r="AA8" s="32">
        <f t="shared" si="6"/>
        <v>0.2916666304485635</v>
      </c>
      <c r="AB8" s="33">
        <f t="shared" si="7"/>
        <v>0.4583333074632596</v>
      </c>
      <c r="AC8" s="33">
        <v>0.5</v>
      </c>
      <c r="AD8" s="33">
        <f t="shared" si="8"/>
        <v>0.6562499883584668</v>
      </c>
      <c r="AE8" s="33">
        <f t="shared" si="9"/>
        <v>1</v>
      </c>
      <c r="AF8" s="33">
        <f t="shared" si="10"/>
        <v>-999</v>
      </c>
      <c r="AG8" s="33">
        <f t="shared" si="11"/>
        <v>-999</v>
      </c>
      <c r="AH8" s="33">
        <f t="shared" si="12"/>
        <v>0.49999998509883753</v>
      </c>
      <c r="AI8" s="34">
        <f t="shared" si="13"/>
        <v>0.7504554351037055</v>
      </c>
      <c r="AJ8" s="4">
        <v>3.778046717820832</v>
      </c>
      <c r="AK8" s="32">
        <f t="shared" si="14"/>
        <v>0.49999998509883753</v>
      </c>
      <c r="AL8" s="34">
        <f t="shared" si="15"/>
        <v>-999</v>
      </c>
      <c r="AQ8" s="103">
        <v>3</v>
      </c>
      <c r="AR8" s="103">
        <v>0.6187</v>
      </c>
      <c r="AS8" s="103">
        <v>8.7673</v>
      </c>
      <c r="AY8" s="103" t="s">
        <v>118</v>
      </c>
      <c r="AZ8" s="103" t="s">
        <v>119</v>
      </c>
      <c r="BA8" s="103" t="s">
        <v>321</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84</v>
      </c>
      <c r="E9" s="38">
        <f>IF(LEFT(VLOOKUP($B9,'Indicator chart'!$D$1:$J$36,5,FALSE),1)=" "," ",VLOOKUP($B9,'Indicator chart'!$D$1:$J$36,5,FALSE))</f>
        <v>691.5857072287173</v>
      </c>
      <c r="F9" s="38">
        <f>IF(LEFT(VLOOKUP($B9,'Indicator chart'!$D$1:$J$36,6,FALSE),1)=" "," ",VLOOKUP($B9,'Indicator chart'!$D$1:$J$36,6,FALSE))</f>
        <v>551.6162880828632</v>
      </c>
      <c r="G9" s="38">
        <f>IF(LEFT(VLOOKUP($B9,'Indicator chart'!$D$1:$J$36,7,FALSE),1)=" "," ",VLOOKUP($B9,'Indicator chart'!$D$1:$J$36,7,FALSE))</f>
        <v>856.2432480172845</v>
      </c>
      <c r="H9" s="50">
        <f t="shared" si="0"/>
        <v>2</v>
      </c>
      <c r="I9" s="38">
        <v>92.60600280761719</v>
      </c>
      <c r="J9" s="38">
        <v>475.7463684082031</v>
      </c>
      <c r="K9" s="38">
        <v>581.7725830078125</v>
      </c>
      <c r="L9" s="38">
        <v>714.783447265625</v>
      </c>
      <c r="M9" s="38">
        <v>1016.6358642578125</v>
      </c>
      <c r="N9" s="80">
        <f>VLOOKUP('Hide - Control'!B$3,'All practice data'!A:CA,A9+29,FALSE)</f>
        <v>608.4341562347017</v>
      </c>
      <c r="O9" s="80">
        <f>VLOOKUP('Hide - Control'!C$3,'All practice data'!A:CA,A9+29,FALSE)</f>
        <v>445.6198871279627</v>
      </c>
      <c r="P9" s="38">
        <f>VLOOKUP('Hide - Control'!$B$4,'All practice data'!B:BC,A9+2,FALSE)</f>
        <v>1914</v>
      </c>
      <c r="Q9" s="38">
        <f>VLOOKUP('Hide - Control'!$B$4,'All practice data'!B:BC,3,FALSE)</f>
        <v>314578</v>
      </c>
      <c r="R9" s="38">
        <f>100000*(P9*(1-1/(9*P9)-1.96/(3*SQRT(P9)))^3)/Q9</f>
        <v>581.4780836991429</v>
      </c>
      <c r="S9" s="38">
        <f>100000*((P9+1)*(1-1/(9*(P9+1))+1.96/(3*SQRT(P9+1)))^3)/Q9</f>
        <v>636.3174037253707</v>
      </c>
      <c r="T9" s="53">
        <f t="shared" si="16"/>
        <v>1016.6358642578125</v>
      </c>
      <c r="U9" s="51">
        <f t="shared" si="1"/>
        <v>92.60600280761719</v>
      </c>
      <c r="V9" s="7"/>
      <c r="W9" s="27">
        <f t="shared" si="2"/>
        <v>92.60600280761719</v>
      </c>
      <c r="X9" s="27">
        <f t="shared" si="3"/>
        <v>1070.9391632080078</v>
      </c>
      <c r="Y9" s="27">
        <f t="shared" si="4"/>
        <v>92.60600280761719</v>
      </c>
      <c r="Z9" s="27">
        <f t="shared" si="5"/>
        <v>1070.9391632080078</v>
      </c>
      <c r="AA9" s="32">
        <f t="shared" si="6"/>
        <v>0</v>
      </c>
      <c r="AB9" s="33">
        <f t="shared" si="7"/>
        <v>0.39162565586940007</v>
      </c>
      <c r="AC9" s="33">
        <v>0.5</v>
      </c>
      <c r="AD9" s="33">
        <f t="shared" si="8"/>
        <v>0.6359566144148449</v>
      </c>
      <c r="AE9" s="33">
        <f t="shared" si="9"/>
        <v>0.9444940628119247</v>
      </c>
      <c r="AF9" s="33">
        <f t="shared" si="10"/>
        <v>-999</v>
      </c>
      <c r="AG9" s="33">
        <f t="shared" si="11"/>
        <v>0.6122451212590636</v>
      </c>
      <c r="AH9" s="33">
        <f t="shared" si="12"/>
        <v>-999</v>
      </c>
      <c r="AI9" s="34">
        <f t="shared" si="13"/>
        <v>0.36083197279735646</v>
      </c>
      <c r="AJ9" s="4">
        <v>4.854042143202755</v>
      </c>
      <c r="AK9" s="32">
        <f t="shared" si="14"/>
        <v>-999</v>
      </c>
      <c r="AL9" s="34">
        <f t="shared" si="15"/>
        <v>-999</v>
      </c>
      <c r="AQ9" s="103">
        <v>4</v>
      </c>
      <c r="AR9" s="103">
        <v>1.0899</v>
      </c>
      <c r="AS9" s="103">
        <v>10.2416</v>
      </c>
      <c r="AY9" s="103" t="s">
        <v>90</v>
      </c>
      <c r="AZ9" s="103" t="s">
        <v>384</v>
      </c>
      <c r="BA9" s="103" t="s">
        <v>321</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31</v>
      </c>
      <c r="E10" s="38">
        <f>IF(LEFT(VLOOKUP($B10,'Indicator chart'!$D$1:$J$36,5,FALSE),1)=" "," ",VLOOKUP($B10,'Indicator chart'!$D$1:$J$36,5,FALSE))</f>
        <v>255.22805862012186</v>
      </c>
      <c r="F10" s="38">
        <f>IF(LEFT(VLOOKUP($B10,'Indicator chart'!$D$1:$J$36,6,FALSE),1)=" "," ",VLOOKUP($B10,'Indicator chart'!$D$1:$J$36,6,FALSE))</f>
        <v>173.382072255831</v>
      </c>
      <c r="G10" s="38">
        <f>IF(LEFT(VLOOKUP($B10,'Indicator chart'!$D$1:$J$36,7,FALSE),1)=" "," ",VLOOKUP($B10,'Indicator chart'!$D$1:$J$36,7,FALSE))</f>
        <v>362.29029903444075</v>
      </c>
      <c r="H10" s="50">
        <f t="shared" si="0"/>
        <v>2</v>
      </c>
      <c r="I10" s="38">
        <v>44.173431396484375</v>
      </c>
      <c r="J10" s="38">
        <v>248.16102600097656</v>
      </c>
      <c r="K10" s="38">
        <v>309.7258605957031</v>
      </c>
      <c r="L10" s="38">
        <v>349.92059326171875</v>
      </c>
      <c r="M10" s="38">
        <v>519.35791015625</v>
      </c>
      <c r="N10" s="80">
        <f>VLOOKUP('Hide - Control'!B$3,'All practice data'!A:CA,A10+29,FALSE)</f>
        <v>307.71382614168823</v>
      </c>
      <c r="O10" s="80">
        <f>VLOOKUP('Hide - Control'!C$3,'All practice data'!A:CA,A10+29,FALSE)</f>
        <v>234.12259778895606</v>
      </c>
      <c r="P10" s="38">
        <f>VLOOKUP('Hide - Control'!$B$4,'All practice data'!B:BC,A10+2,FALSE)</f>
        <v>968</v>
      </c>
      <c r="Q10" s="38">
        <f>VLOOKUP('Hide - Control'!$B$4,'All practice data'!B:BC,3,FALSE)</f>
        <v>314578</v>
      </c>
      <c r="R10" s="38">
        <f>100000*(P10*(1-1/(9*P10)-1.96/(3*SQRT(P10)))^3)/Q10</f>
        <v>288.63151195305903</v>
      </c>
      <c r="S10" s="38">
        <f>100000*((P10+1)*(1-1/(9*(P10+1))+1.96/(3*SQRT(P10+1)))^3)/Q10</f>
        <v>327.7261721578224</v>
      </c>
      <c r="T10" s="53">
        <f t="shared" si="16"/>
        <v>519.35791015625</v>
      </c>
      <c r="U10" s="51">
        <f t="shared" si="1"/>
        <v>44.173431396484375</v>
      </c>
      <c r="V10" s="7"/>
      <c r="W10" s="27">
        <f t="shared" si="2"/>
        <v>44.173431396484375</v>
      </c>
      <c r="X10" s="27">
        <f t="shared" si="3"/>
        <v>575.2782897949219</v>
      </c>
      <c r="Y10" s="27">
        <f t="shared" si="4"/>
        <v>44.173431396484375</v>
      </c>
      <c r="Z10" s="27">
        <f t="shared" si="5"/>
        <v>575.2782897949219</v>
      </c>
      <c r="AA10" s="32">
        <f t="shared" si="6"/>
        <v>0</v>
      </c>
      <c r="AB10" s="33">
        <f t="shared" si="7"/>
        <v>0.38408158272101456</v>
      </c>
      <c r="AC10" s="33">
        <v>0.5</v>
      </c>
      <c r="AD10" s="33">
        <f t="shared" si="8"/>
        <v>0.5756813499827963</v>
      </c>
      <c r="AE10" s="33">
        <f t="shared" si="9"/>
        <v>0.8947093426949596</v>
      </c>
      <c r="AF10" s="33">
        <f t="shared" si="10"/>
        <v>-999</v>
      </c>
      <c r="AG10" s="33">
        <f t="shared" si="11"/>
        <v>0.3973878677368514</v>
      </c>
      <c r="AH10" s="33">
        <f t="shared" si="12"/>
        <v>-999</v>
      </c>
      <c r="AI10" s="34">
        <f t="shared" si="13"/>
        <v>0.35764908452404115</v>
      </c>
      <c r="AJ10" s="4">
        <v>5.930037568584676</v>
      </c>
      <c r="AK10" s="32">
        <f t="shared" si="14"/>
        <v>-999</v>
      </c>
      <c r="AL10" s="34">
        <f t="shared" si="15"/>
        <v>-999</v>
      </c>
      <c r="AY10" s="103" t="s">
        <v>96</v>
      </c>
      <c r="AZ10" s="103" t="s">
        <v>97</v>
      </c>
      <c r="BA10" s="103" t="s">
        <v>501</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295</v>
      </c>
      <c r="E11" s="38">
        <f>IF(LEFT(VLOOKUP($B11,'Indicator chart'!$D$1:$J$36,5,FALSE),1)=" "," ",VLOOKUP($B11,'Indicator chart'!$D$1:$J$36,5,FALSE))</f>
        <v>0.024</v>
      </c>
      <c r="F11" s="38">
        <f>IF(LEFT(VLOOKUP($B11,'Indicator chart'!$D$1:$J$36,6,FALSE),1)=" "," ",VLOOKUP($B11,'Indicator chart'!$D$1:$J$36,6,FALSE))</f>
        <v>0.021696792450473602</v>
      </c>
      <c r="G11" s="38">
        <f>IF(LEFT(VLOOKUP($B11,'Indicator chart'!$D$1:$J$36,7,FALSE),1)=" "," ",VLOOKUP($B11,'Indicator chart'!$D$1:$J$36,7,FALSE))</f>
        <v>0.027179696605976317</v>
      </c>
      <c r="H11" s="50">
        <f t="shared" si="0"/>
        <v>2</v>
      </c>
      <c r="I11" s="38">
        <v>0.009999999776482582</v>
      </c>
      <c r="J11" s="38">
        <v>0.0182499997317791</v>
      </c>
      <c r="K11" s="38">
        <v>0.02199999988079071</v>
      </c>
      <c r="L11" s="38">
        <v>0.024000000208616257</v>
      </c>
      <c r="M11" s="38">
        <v>0.03700000047683716</v>
      </c>
      <c r="N11" s="80">
        <f>VLOOKUP('Hide - Control'!B$3,'All practice data'!A:CA,A11+29,FALSE)</f>
        <v>0.022312431257112703</v>
      </c>
      <c r="O11" s="80">
        <f>VLOOKUP('Hide - Control'!C$3,'All practice data'!A:CA,A11+29,FALSE)</f>
        <v>0.015940726342527432</v>
      </c>
      <c r="P11" s="38">
        <f>VLOOKUP('Hide - Control'!$B$4,'All practice data'!B:BC,A11+2,FALSE)</f>
        <v>7019</v>
      </c>
      <c r="Q11" s="38">
        <f>VLOOKUP('Hide - Control'!$B$4,'All practice data'!B:BC,3,FALSE)</f>
        <v>314578</v>
      </c>
      <c r="R11" s="80">
        <f aca="true" t="shared" si="17" ref="R11:R16">+((2*P11+1.96^2-1.96*SQRT(1.96^2+4*P11*(1-P11/Q11)))/(2*(Q11+1.96^2)))</f>
        <v>0.021802097379610304</v>
      </c>
      <c r="S11" s="80">
        <f aca="true" t="shared" si="18" ref="S11:S16">+((2*P11+1.96^2+1.96*SQRT(1.96^2+4*P11*(1-P11/Q11)))/(2*(Q11+1.96^2)))</f>
        <v>0.0228344319527299</v>
      </c>
      <c r="T11" s="53">
        <f t="shared" si="16"/>
        <v>0.03700000047683716</v>
      </c>
      <c r="U11" s="51">
        <f t="shared" si="1"/>
        <v>0.009999999776482582</v>
      </c>
      <c r="V11" s="7"/>
      <c r="W11" s="27">
        <f t="shared" si="2"/>
        <v>0.006999999284744263</v>
      </c>
      <c r="X11" s="27">
        <f t="shared" si="3"/>
        <v>0.03700000047683716</v>
      </c>
      <c r="Y11" s="27">
        <f t="shared" si="4"/>
        <v>0.006999999284744263</v>
      </c>
      <c r="Z11" s="27">
        <f t="shared" si="5"/>
        <v>0.03700000047683716</v>
      </c>
      <c r="AA11" s="32">
        <f t="shared" si="6"/>
        <v>0.10000001241763383</v>
      </c>
      <c r="AB11" s="33">
        <f t="shared" si="7"/>
        <v>0.375</v>
      </c>
      <c r="AC11" s="33">
        <v>0.5</v>
      </c>
      <c r="AD11" s="33">
        <f t="shared" si="8"/>
        <v>0.5666666749450893</v>
      </c>
      <c r="AE11" s="33">
        <f t="shared" si="9"/>
        <v>1</v>
      </c>
      <c r="AF11" s="33">
        <f t="shared" si="10"/>
        <v>-999</v>
      </c>
      <c r="AG11" s="33">
        <f t="shared" si="11"/>
        <v>0.5666666679912143</v>
      </c>
      <c r="AH11" s="33">
        <f t="shared" si="12"/>
        <v>-999</v>
      </c>
      <c r="AI11" s="34">
        <f t="shared" si="13"/>
        <v>0.29802422341702034</v>
      </c>
      <c r="AJ11" s="4">
        <v>7.0060329939666</v>
      </c>
      <c r="AK11" s="32">
        <f t="shared" si="14"/>
        <v>-999</v>
      </c>
      <c r="AL11" s="34">
        <f t="shared" si="15"/>
        <v>-999</v>
      </c>
      <c r="AY11" s="103" t="s">
        <v>214</v>
      </c>
      <c r="AZ11" s="103" t="s">
        <v>215</v>
      </c>
      <c r="BA11" s="103" t="s">
        <v>501</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1499</v>
      </c>
      <c r="E12" s="38">
        <f>IF(LEFT(VLOOKUP($B12,'Indicator chart'!$D$1:$J$36,5,FALSE),1)=" "," ",VLOOKUP($B12,'Indicator chart'!$D$1:$J$36,5,FALSE))</f>
        <v>0.802463</v>
      </c>
      <c r="F12" s="38">
        <f>IF(LEFT(VLOOKUP($B12,'Indicator chart'!$D$1:$J$36,6,FALSE),1)=" "," ",VLOOKUP($B12,'Indicator chart'!$D$1:$J$36,6,FALSE))</f>
        <v>0.7837943360381551</v>
      </c>
      <c r="G12" s="38">
        <f>IF(LEFT(VLOOKUP($B12,'Indicator chart'!$D$1:$J$36,7,FALSE),1)=" "," ",VLOOKUP($B12,'Indicator chart'!$D$1:$J$36,7,FALSE))</f>
        <v>0.8198892235109009</v>
      </c>
      <c r="H12" s="50">
        <f t="shared" si="0"/>
        <v>3</v>
      </c>
      <c r="I12" s="38">
        <v>0.5362319946289062</v>
      </c>
      <c r="J12" s="38">
        <v>0.7438727617263794</v>
      </c>
      <c r="K12" s="38">
        <v>0.7693434953689575</v>
      </c>
      <c r="L12" s="38">
        <v>0.801644504070282</v>
      </c>
      <c r="M12" s="38">
        <v>0.8849560022354126</v>
      </c>
      <c r="N12" s="80">
        <f>VLOOKUP('Hide - Control'!B$3,'All practice data'!A:CA,A12+29,FALSE)</f>
        <v>0.7794279186255987</v>
      </c>
      <c r="O12" s="80">
        <f>VLOOKUP('Hide - Control'!C$3,'All practice data'!A:CA,A12+29,FALSE)</f>
        <v>0.7248631360507991</v>
      </c>
      <c r="P12" s="38">
        <f>VLOOKUP('Hide - Control'!$B$4,'All practice data'!B:BC,A12+2,FALSE)</f>
        <v>35478</v>
      </c>
      <c r="Q12" s="38">
        <f>VLOOKUP('Hide - Control'!$B$4,'All practice data'!B:BJ,57,FALSE)</f>
        <v>45518</v>
      </c>
      <c r="R12" s="38">
        <f t="shared" si="17"/>
        <v>0.7755952783494794</v>
      </c>
      <c r="S12" s="38">
        <f t="shared" si="18"/>
        <v>0.7832133969129028</v>
      </c>
      <c r="T12" s="53">
        <f t="shared" si="16"/>
        <v>0.8849560022354126</v>
      </c>
      <c r="U12" s="51">
        <f t="shared" si="1"/>
        <v>0.5362319946289062</v>
      </c>
      <c r="V12" s="7"/>
      <c r="W12" s="27">
        <f t="shared" si="2"/>
        <v>0.5362319946289062</v>
      </c>
      <c r="X12" s="27">
        <f t="shared" si="3"/>
        <v>1.0024549961090088</v>
      </c>
      <c r="Y12" s="27">
        <f t="shared" si="4"/>
        <v>0.5362319946289062</v>
      </c>
      <c r="Z12" s="27">
        <f t="shared" si="5"/>
        <v>1.0024549961090088</v>
      </c>
      <c r="AA12" s="32">
        <f t="shared" si="6"/>
        <v>0</v>
      </c>
      <c r="AB12" s="33">
        <f t="shared" si="7"/>
        <v>0.44536791715184143</v>
      </c>
      <c r="AC12" s="33">
        <v>0.5</v>
      </c>
      <c r="AD12" s="33">
        <f t="shared" si="8"/>
        <v>0.5692823146837018</v>
      </c>
      <c r="AE12" s="33">
        <f t="shared" si="9"/>
        <v>0.7479768404806797</v>
      </c>
      <c r="AF12" s="33">
        <f t="shared" si="10"/>
        <v>-999</v>
      </c>
      <c r="AG12" s="33">
        <f t="shared" si="11"/>
        <v>-999</v>
      </c>
      <c r="AH12" s="33">
        <f t="shared" si="12"/>
        <v>0.5710379035909836</v>
      </c>
      <c r="AI12" s="34">
        <f t="shared" si="13"/>
        <v>0.40459424100280744</v>
      </c>
      <c r="AJ12" s="4">
        <v>8.082028419348523</v>
      </c>
      <c r="AK12" s="32">
        <f t="shared" si="14"/>
        <v>-999</v>
      </c>
      <c r="AL12" s="34">
        <f t="shared" si="15"/>
        <v>0.5710379035909836</v>
      </c>
      <c r="AY12" s="103" t="s">
        <v>261</v>
      </c>
      <c r="AZ12" s="103" t="s">
        <v>437</v>
      </c>
      <c r="BA12" s="103" t="s">
        <v>321</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7</v>
      </c>
      <c r="E13" s="38">
        <f>IF(LEFT(VLOOKUP($B13,'Indicator chart'!$D$1:$J$36,5,FALSE),1)=" "," ",VLOOKUP($B13,'Indicator chart'!$D$1:$J$36,5,FALSE))</f>
        <v>0.4375</v>
      </c>
      <c r="F13" s="38">
        <f>IF(LEFT(VLOOKUP($B13,'Indicator chart'!$D$1:$J$36,6,FALSE),1)=" "," ",VLOOKUP($B13,'Indicator chart'!$D$1:$J$36,6,FALSE))</f>
        <v>0.2309836333518552</v>
      </c>
      <c r="G13" s="38">
        <f>IF(LEFT(VLOOKUP($B13,'Indicator chart'!$D$1:$J$36,7,FALSE),1)=" "," ",VLOOKUP($B13,'Indicator chart'!$D$1:$J$36,7,FALSE))</f>
        <v>0.6682180439322348</v>
      </c>
      <c r="H13" s="50">
        <f t="shared" si="0"/>
        <v>1</v>
      </c>
      <c r="I13" s="38">
        <v>0</v>
      </c>
      <c r="J13" s="38">
        <v>0.548147976398468</v>
      </c>
      <c r="K13" s="38">
        <v>0.7556585073471069</v>
      </c>
      <c r="L13" s="38">
        <v>0.800000011920929</v>
      </c>
      <c r="M13" s="38">
        <v>1</v>
      </c>
      <c r="N13" s="80">
        <f>VLOOKUP('Hide - Control'!B$3,'All practice data'!A:CA,A13+29,FALSE)</f>
        <v>0.7882814201698977</v>
      </c>
      <c r="O13" s="80">
        <f>VLOOKUP('Hide - Control'!C$3,'All practice data'!A:CA,A13+29,FALSE)</f>
        <v>0.7467412166569077</v>
      </c>
      <c r="P13" s="38">
        <f>VLOOKUP('Hide - Control'!$B$4,'All practice data'!B:BC,A13+2,FALSE)</f>
        <v>14476</v>
      </c>
      <c r="Q13" s="38">
        <f>VLOOKUP('Hide - Control'!$B$4,'All practice data'!B:BJ,58,FALSE)</f>
        <v>18364</v>
      </c>
      <c r="R13" s="38">
        <f t="shared" si="17"/>
        <v>0.7823127284894219</v>
      </c>
      <c r="S13" s="38">
        <f t="shared" si="18"/>
        <v>0.7941295248017868</v>
      </c>
      <c r="T13" s="53">
        <f t="shared" si="16"/>
        <v>1</v>
      </c>
      <c r="U13" s="51">
        <f t="shared" si="1"/>
        <v>0</v>
      </c>
      <c r="V13" s="7"/>
      <c r="W13" s="27">
        <f t="shared" si="2"/>
        <v>0</v>
      </c>
      <c r="X13" s="27">
        <f t="shared" si="3"/>
        <v>1.5113170146942139</v>
      </c>
      <c r="Y13" s="27">
        <f t="shared" si="4"/>
        <v>0</v>
      </c>
      <c r="Z13" s="27">
        <f t="shared" si="5"/>
        <v>1.5113170146942139</v>
      </c>
      <c r="AA13" s="32">
        <f t="shared" si="6"/>
        <v>0</v>
      </c>
      <c r="AB13" s="33">
        <f t="shared" si="7"/>
        <v>0.3626955635839085</v>
      </c>
      <c r="AC13" s="33">
        <v>0.5</v>
      </c>
      <c r="AD13" s="33">
        <f t="shared" si="8"/>
        <v>0.5293396449207539</v>
      </c>
      <c r="AE13" s="33">
        <f t="shared" si="9"/>
        <v>0.6616745462912232</v>
      </c>
      <c r="AF13" s="33">
        <f t="shared" si="10"/>
        <v>-999</v>
      </c>
      <c r="AG13" s="33">
        <f t="shared" si="11"/>
        <v>-999</v>
      </c>
      <c r="AH13" s="33">
        <f t="shared" si="12"/>
        <v>0.2894826140024102</v>
      </c>
      <c r="AI13" s="34">
        <f t="shared" si="13"/>
        <v>0.4940996557284155</v>
      </c>
      <c r="AJ13" s="4">
        <v>9.158023844730446</v>
      </c>
      <c r="AK13" s="32">
        <f t="shared" si="14"/>
        <v>0.2894826140024102</v>
      </c>
      <c r="AL13" s="34">
        <f t="shared" si="15"/>
        <v>-999</v>
      </c>
      <c r="AY13" s="103" t="s">
        <v>260</v>
      </c>
      <c r="AZ13" s="103" t="s">
        <v>436</v>
      </c>
      <c r="BA13" s="103" t="s">
        <v>321</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2554</v>
      </c>
      <c r="E14" s="38">
        <f>IF(LEFT(VLOOKUP($B14,'Indicator chart'!$D$1:$J$36,5,FALSE),1)=" "," ",VLOOKUP($B14,'Indicator chart'!$D$1:$J$36,5,FALSE))</f>
        <v>0.82949</v>
      </c>
      <c r="F14" s="38">
        <f>IF(LEFT(VLOOKUP($B14,'Indicator chart'!$D$1:$J$36,6,FALSE),1)=" "," ",VLOOKUP($B14,'Indicator chart'!$D$1:$J$36,6,FALSE))</f>
        <v>0.8157973560261265</v>
      </c>
      <c r="G14" s="38">
        <f>IF(LEFT(VLOOKUP($B14,'Indicator chart'!$D$1:$J$36,7,FALSE),1)=" "," ",VLOOKUP($B14,'Indicator chart'!$D$1:$J$36,7,FALSE))</f>
        <v>0.8423616619396359</v>
      </c>
      <c r="H14" s="50">
        <f t="shared" si="0"/>
        <v>3</v>
      </c>
      <c r="I14" s="38">
        <v>0.6798809766769409</v>
      </c>
      <c r="J14" s="38">
        <v>0.7858505249023438</v>
      </c>
      <c r="K14" s="38">
        <v>0.8118579983711243</v>
      </c>
      <c r="L14" s="38">
        <v>0.8304072618484497</v>
      </c>
      <c r="M14" s="38">
        <v>0.8905720114707947</v>
      </c>
      <c r="N14" s="80">
        <f>VLOOKUP('Hide - Control'!B$3,'All practice data'!A:CA,A14+29,FALSE)</f>
        <v>0.796403475234341</v>
      </c>
      <c r="O14" s="80">
        <f>VLOOKUP('Hide - Control'!C$3,'All practice data'!A:CA,A14+29,FALSE)</f>
        <v>0.7559681673907895</v>
      </c>
      <c r="P14" s="38">
        <f>VLOOKUP('Hide - Control'!$B$4,'All practice data'!B:BC,A14+2,FALSE)</f>
        <v>60408</v>
      </c>
      <c r="Q14" s="38">
        <f>VLOOKUP('Hide - Control'!$B$4,'All practice data'!B:BJ,59,FALSE)</f>
        <v>75851</v>
      </c>
      <c r="R14" s="38">
        <f t="shared" si="17"/>
        <v>0.7935228208490954</v>
      </c>
      <c r="S14" s="38">
        <f t="shared" si="18"/>
        <v>0.7992541074465402</v>
      </c>
      <c r="T14" s="53">
        <f t="shared" si="16"/>
        <v>0.8905720114707947</v>
      </c>
      <c r="U14" s="51">
        <f t="shared" si="1"/>
        <v>0.6798809766769409</v>
      </c>
      <c r="V14" s="7"/>
      <c r="W14" s="27">
        <f t="shared" si="2"/>
        <v>0.6798809766769409</v>
      </c>
      <c r="X14" s="27">
        <f t="shared" si="3"/>
        <v>0.9438350200653076</v>
      </c>
      <c r="Y14" s="27">
        <f t="shared" si="4"/>
        <v>0.6798809766769409</v>
      </c>
      <c r="Z14" s="27">
        <f t="shared" si="5"/>
        <v>0.9438350200653076</v>
      </c>
      <c r="AA14" s="32">
        <f t="shared" si="6"/>
        <v>0</v>
      </c>
      <c r="AB14" s="33">
        <f t="shared" si="7"/>
        <v>0.4014696909548204</v>
      </c>
      <c r="AC14" s="33">
        <v>0.5</v>
      </c>
      <c r="AD14" s="33">
        <f t="shared" si="8"/>
        <v>0.5702745949226969</v>
      </c>
      <c r="AE14" s="33">
        <f t="shared" si="9"/>
        <v>0.7982110525348353</v>
      </c>
      <c r="AF14" s="33">
        <f t="shared" si="10"/>
        <v>-999</v>
      </c>
      <c r="AG14" s="33">
        <f t="shared" si="11"/>
        <v>-999</v>
      </c>
      <c r="AH14" s="33">
        <f t="shared" si="12"/>
        <v>0.5667995132885044</v>
      </c>
      <c r="AI14" s="34">
        <f t="shared" si="13"/>
        <v>0.2882592353468832</v>
      </c>
      <c r="AJ14" s="4">
        <v>10.234019270112368</v>
      </c>
      <c r="AK14" s="32">
        <f t="shared" si="14"/>
        <v>-999</v>
      </c>
      <c r="AL14" s="34">
        <f t="shared" si="15"/>
        <v>0.5667995132885044</v>
      </c>
      <c r="AY14" s="103" t="s">
        <v>53</v>
      </c>
      <c r="AZ14" s="103" t="s">
        <v>444</v>
      </c>
      <c r="BA14" s="103" t="s">
        <v>501</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1260</v>
      </c>
      <c r="E15" s="38">
        <f>IF(LEFT(VLOOKUP($B15,'Indicator chart'!$D$1:$J$36,5,FALSE),1)=" "," ",VLOOKUP($B15,'Indicator chart'!$D$1:$J$36,5,FALSE))</f>
        <v>0.697288</v>
      </c>
      <c r="F15" s="38">
        <f>IF(LEFT(VLOOKUP($B15,'Indicator chart'!$D$1:$J$36,6,FALSE),1)=" "," ",VLOOKUP($B15,'Indicator chart'!$D$1:$J$36,6,FALSE))</f>
        <v>0.6757046270813026</v>
      </c>
      <c r="G15" s="38">
        <f>IF(LEFT(VLOOKUP($B15,'Indicator chart'!$D$1:$J$36,7,FALSE),1)=" "," ",VLOOKUP($B15,'Indicator chart'!$D$1:$J$36,7,FALSE))</f>
        <v>0.7180349468273155</v>
      </c>
      <c r="H15" s="50">
        <f t="shared" si="0"/>
        <v>3</v>
      </c>
      <c r="I15" s="38">
        <v>0.4836069941520691</v>
      </c>
      <c r="J15" s="38">
        <v>0.6011384725570679</v>
      </c>
      <c r="K15" s="38">
        <v>0.6386275291442871</v>
      </c>
      <c r="L15" s="38">
        <v>0.6639274954795837</v>
      </c>
      <c r="M15" s="38">
        <v>0.7197449803352356</v>
      </c>
      <c r="N15" s="80">
        <f>VLOOKUP('Hide - Control'!B$3,'All practice data'!A:CA,A15+29,FALSE)</f>
        <v>0.6345039826212889</v>
      </c>
      <c r="O15" s="80">
        <f>VLOOKUP('Hide - Control'!C$3,'All practice data'!A:CA,A15+29,FALSE)</f>
        <v>0.5147293797466616</v>
      </c>
      <c r="P15" s="38">
        <f>VLOOKUP('Hide - Control'!$B$4,'All practice data'!B:BC,A15+2,FALSE)</f>
        <v>28040</v>
      </c>
      <c r="Q15" s="38">
        <f>VLOOKUP('Hide - Control'!$B$4,'All practice data'!B:BJ,60,FALSE)</f>
        <v>44192</v>
      </c>
      <c r="R15" s="38">
        <f t="shared" si="17"/>
        <v>0.6300025083510727</v>
      </c>
      <c r="S15" s="38">
        <f t="shared" si="18"/>
        <v>0.6389820741260261</v>
      </c>
      <c r="T15" s="53">
        <f t="shared" si="16"/>
        <v>0.7197449803352356</v>
      </c>
      <c r="U15" s="51">
        <f t="shared" si="1"/>
        <v>0.4836069941520691</v>
      </c>
      <c r="V15" s="7"/>
      <c r="W15" s="27">
        <f t="shared" si="2"/>
        <v>0.4836069941520691</v>
      </c>
      <c r="X15" s="27">
        <f t="shared" si="3"/>
        <v>0.7936480641365051</v>
      </c>
      <c r="Y15" s="27">
        <f t="shared" si="4"/>
        <v>0.4836069941520691</v>
      </c>
      <c r="Z15" s="27">
        <f t="shared" si="5"/>
        <v>0.7936480641365051</v>
      </c>
      <c r="AA15" s="32">
        <f t="shared" si="6"/>
        <v>0</v>
      </c>
      <c r="AB15" s="33">
        <f t="shared" si="7"/>
        <v>0.3790835788655317</v>
      </c>
      <c r="AC15" s="33">
        <v>0.5</v>
      </c>
      <c r="AD15" s="33">
        <f t="shared" si="8"/>
        <v>0.5816019836874086</v>
      </c>
      <c r="AE15" s="33">
        <f t="shared" si="9"/>
        <v>0.7616345350473102</v>
      </c>
      <c r="AF15" s="33">
        <f t="shared" si="10"/>
        <v>-999</v>
      </c>
      <c r="AG15" s="33">
        <f t="shared" si="11"/>
        <v>-999</v>
      </c>
      <c r="AH15" s="33">
        <f t="shared" si="12"/>
        <v>0.6892022591028267</v>
      </c>
      <c r="AI15" s="34">
        <f t="shared" si="13"/>
        <v>0.10038149331685249</v>
      </c>
      <c r="AJ15" s="4">
        <v>11.310014695494289</v>
      </c>
      <c r="AK15" s="32">
        <f t="shared" si="14"/>
        <v>-999</v>
      </c>
      <c r="AL15" s="34">
        <f t="shared" si="15"/>
        <v>0.6892022591028267</v>
      </c>
      <c r="AY15" s="103" t="s">
        <v>229</v>
      </c>
      <c r="AZ15" s="103" t="s">
        <v>230</v>
      </c>
      <c r="BA15" s="103" t="s">
        <v>321</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634</v>
      </c>
      <c r="E16" s="38">
        <f>IF(LEFT(VLOOKUP($B16,'Indicator chart'!$D$1:$J$36,5,FALSE),1)=" "," ",VLOOKUP($B16,'Indicator chart'!$D$1:$J$36,5,FALSE))</f>
        <v>0.693654</v>
      </c>
      <c r="F16" s="38">
        <f>IF(LEFT(VLOOKUP($B16,'Indicator chart'!$D$1:$J$36,6,FALSE),1)=" "," ",VLOOKUP($B16,'Indicator chart'!$D$1:$J$36,6,FALSE))</f>
        <v>0.6630098352508463</v>
      </c>
      <c r="G16" s="38">
        <f>IF(LEFT(VLOOKUP($B16,'Indicator chart'!$D$1:$J$36,7,FALSE),1)=" "," ",VLOOKUP($B16,'Indicator chart'!$D$1:$J$36,7,FALSE))</f>
        <v>0.7226776297757987</v>
      </c>
      <c r="H16" s="50">
        <f t="shared" si="0"/>
        <v>3</v>
      </c>
      <c r="I16" s="38">
        <v>0.5</v>
      </c>
      <c r="J16" s="38">
        <v>0.6103442311286926</v>
      </c>
      <c r="K16" s="38">
        <v>0.6525409817695618</v>
      </c>
      <c r="L16" s="38">
        <v>0.679915726184845</v>
      </c>
      <c r="M16" s="38">
        <v>0.7279999852180481</v>
      </c>
      <c r="N16" s="80">
        <f>VLOOKUP('Hide - Control'!B$3,'All practice data'!A:CA,A16+29,FALSE)</f>
        <v>0.6456675310739516</v>
      </c>
      <c r="O16" s="80">
        <f>VLOOKUP('Hide - Control'!C$3,'All practice data'!A:CA,A16+29,FALSE)</f>
        <v>0.5752927626212945</v>
      </c>
      <c r="P16" s="38">
        <f>VLOOKUP('Hide - Control'!$B$4,'All practice data'!B:BC,A16+2,FALSE)</f>
        <v>14441</v>
      </c>
      <c r="Q16" s="38">
        <f>VLOOKUP('Hide - Control'!$B$4,'All practice data'!B:BJ,61,FALSE)</f>
        <v>22366</v>
      </c>
      <c r="R16" s="38">
        <f t="shared" si="17"/>
        <v>0.6393743849888107</v>
      </c>
      <c r="S16" s="38">
        <f t="shared" si="18"/>
        <v>0.6519106458359046</v>
      </c>
      <c r="T16" s="53">
        <f aca="true" t="shared" si="19" ref="T16:T31">IF($C16=1,M16,I16)</f>
        <v>0.7279999852180481</v>
      </c>
      <c r="U16" s="51">
        <f aca="true" t="shared" si="20" ref="U16:U31">IF($C16=1,I16,M16)</f>
        <v>0.5</v>
      </c>
      <c r="V16" s="7"/>
      <c r="W16" s="27">
        <f t="shared" si="2"/>
        <v>0.5</v>
      </c>
      <c r="X16" s="27">
        <f t="shared" si="3"/>
        <v>0.8050819635391235</v>
      </c>
      <c r="Y16" s="27">
        <f t="shared" si="4"/>
        <v>0.5</v>
      </c>
      <c r="Z16" s="27">
        <f t="shared" si="5"/>
        <v>0.8050819635391235</v>
      </c>
      <c r="AA16" s="32">
        <f t="shared" si="6"/>
        <v>0</v>
      </c>
      <c r="AB16" s="33">
        <f t="shared" si="7"/>
        <v>0.36168716710957627</v>
      </c>
      <c r="AC16" s="33">
        <v>0.5</v>
      </c>
      <c r="AD16" s="33">
        <f t="shared" si="8"/>
        <v>0.5897291472026752</v>
      </c>
      <c r="AE16" s="33">
        <f t="shared" si="9"/>
        <v>0.7473401002573838</v>
      </c>
      <c r="AF16" s="33">
        <f t="shared" si="10"/>
        <v>-999</v>
      </c>
      <c r="AG16" s="33">
        <f t="shared" si="11"/>
        <v>-999</v>
      </c>
      <c r="AH16" s="33">
        <f t="shared" si="12"/>
        <v>0.6347605664835244</v>
      </c>
      <c r="AI16" s="34">
        <f t="shared" si="13"/>
        <v>0.24679519479898382</v>
      </c>
      <c r="AJ16" s="4">
        <v>12.386010120876215</v>
      </c>
      <c r="AK16" s="32">
        <f t="shared" si="14"/>
        <v>-999</v>
      </c>
      <c r="AL16" s="34">
        <f t="shared" si="15"/>
        <v>0.6347605664835244</v>
      </c>
      <c r="AY16" s="103" t="s">
        <v>320</v>
      </c>
      <c r="AZ16" s="103" t="s">
        <v>340</v>
      </c>
      <c r="BA16" s="103" t="s">
        <v>501</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259</v>
      </c>
      <c r="E17" s="38">
        <f>IF(LEFT(VLOOKUP($B17,'Indicator chart'!$D$1:$J$36,5,FALSE),1)=" "," ",VLOOKUP($B17,'Indicator chart'!$D$1:$J$36,5,FALSE))</f>
        <v>2132.3892639552114</v>
      </c>
      <c r="F17" s="38">
        <f>IF(LEFT(VLOOKUP($B17,'Indicator chart'!$D$1:$J$36,6,FALSE),1)=" "," ",VLOOKUP($B17,'Indicator chart'!$D$1:$J$36,6,FALSE))</f>
        <v>1880.5640448266054</v>
      </c>
      <c r="G17" s="38">
        <f>IF(LEFT(VLOOKUP($B17,'Indicator chart'!$D$1:$J$36,7,FALSE),1)=" "," ",VLOOKUP($B17,'Indicator chart'!$D$1:$J$36,7,FALSE))</f>
        <v>2408.5388952619855</v>
      </c>
      <c r="H17" s="50">
        <f t="shared" si="0"/>
        <v>3</v>
      </c>
      <c r="I17" s="38">
        <v>417.9031066894531</v>
      </c>
      <c r="J17" s="38">
        <v>1222.0115966796875</v>
      </c>
      <c r="K17" s="38">
        <v>1678.2337646484375</v>
      </c>
      <c r="L17" s="38">
        <v>2031.7379150390625</v>
      </c>
      <c r="M17" s="38">
        <v>2916.12060546875</v>
      </c>
      <c r="N17" s="80">
        <f>VLOOKUP('Hide - Control'!B$3,'All practice data'!A:CA,A17+29,FALSE)</f>
        <v>1704.18783258842</v>
      </c>
      <c r="O17" s="80">
        <f>VLOOKUP('Hide - Control'!C$3,'All practice data'!A:CA,A17+29,FALSE)</f>
        <v>1812.1669120472948</v>
      </c>
      <c r="P17" s="38">
        <f>VLOOKUP('Hide - Control'!$B$4,'All practice data'!B:BC,A17+2,FALSE)</f>
        <v>5361</v>
      </c>
      <c r="Q17" s="38">
        <f>VLOOKUP('Hide - Control'!$B$4,'All practice data'!B:BC,3,FALSE)</f>
        <v>314578</v>
      </c>
      <c r="R17" s="38">
        <f>100000*(P17*(1-1/(9*P17)-1.96/(3*SQRT(P17)))^3)/Q17</f>
        <v>1658.8700971405883</v>
      </c>
      <c r="S17" s="38">
        <f>100000*((P17+1)*(1-1/(9*(P17+1))+1.96/(3*SQRT(P17+1)))^3)/Q17</f>
        <v>1750.429899949942</v>
      </c>
      <c r="T17" s="53">
        <f t="shared" si="19"/>
        <v>2916.12060546875</v>
      </c>
      <c r="U17" s="51">
        <f t="shared" si="20"/>
        <v>417.9031066894531</v>
      </c>
      <c r="V17" s="7"/>
      <c r="W17" s="27">
        <f t="shared" si="2"/>
        <v>417.9031066894531</v>
      </c>
      <c r="X17" s="27">
        <f t="shared" si="3"/>
        <v>2938.564422607422</v>
      </c>
      <c r="Y17" s="27">
        <f t="shared" si="4"/>
        <v>417.9031066894531</v>
      </c>
      <c r="Z17" s="27">
        <f t="shared" si="5"/>
        <v>2938.564422607422</v>
      </c>
      <c r="AA17" s="32">
        <f t="shared" si="6"/>
        <v>0</v>
      </c>
      <c r="AB17" s="33">
        <f t="shared" si="7"/>
        <v>0.3190069546084163</v>
      </c>
      <c r="AC17" s="33">
        <v>0.5</v>
      </c>
      <c r="AD17" s="33">
        <f t="shared" si="8"/>
        <v>0.6402426213145921</v>
      </c>
      <c r="AE17" s="33">
        <f t="shared" si="9"/>
        <v>0.9910960599915033</v>
      </c>
      <c r="AF17" s="33">
        <f t="shared" si="10"/>
        <v>-999</v>
      </c>
      <c r="AG17" s="33">
        <f t="shared" si="11"/>
        <v>-999</v>
      </c>
      <c r="AH17" s="33">
        <f t="shared" si="12"/>
        <v>0.6801731539413023</v>
      </c>
      <c r="AI17" s="34">
        <f t="shared" si="13"/>
        <v>0.5531341305367246</v>
      </c>
      <c r="AJ17" s="4">
        <v>13.462005546258133</v>
      </c>
      <c r="AK17" s="32">
        <f t="shared" si="14"/>
        <v>-999</v>
      </c>
      <c r="AL17" s="34">
        <f t="shared" si="15"/>
        <v>0.6801731539413023</v>
      </c>
      <c r="AY17" s="103" t="s">
        <v>103</v>
      </c>
      <c r="AZ17" s="103" t="s">
        <v>104</v>
      </c>
      <c r="BA17" s="103" t="s">
        <v>321</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259</v>
      </c>
      <c r="E18" s="80">
        <f>IF(LEFT(VLOOKUP($B18,'Indicator chart'!$D$1:$J$36,5,FALSE),1)=" "," ",VLOOKUP($B18,'Indicator chart'!$D$1:$J$36,5,FALSE))</f>
        <v>1.022420731</v>
      </c>
      <c r="F18" s="81">
        <f>IF(LEFT(VLOOKUP($B18,'Indicator chart'!$D$1:$J$36,6,FALSE),1)=" "," ",VLOOKUP($B18,'Indicator chart'!$D$1:$J$36,6,FALSE))</f>
        <v>0.9016839600000001</v>
      </c>
      <c r="G18" s="38">
        <f>IF(LEFT(VLOOKUP($B18,'Indicator chart'!$D$1:$J$36,7,FALSE),1)=" "," ",VLOOKUP($B18,'Indicator chart'!$D$1:$J$36,7,FALSE))</f>
        <v>1.1548210140000001</v>
      </c>
      <c r="H18" s="50">
        <f>IF(LEFT(F18,1)=" ",4,IF(AND(ABS(N18-E18)&gt;SQRT((E18-G18)^2+(N18-R18)^2),E18&lt;N18),1,IF(AND(ABS(N18-E18)&gt;SQRT((E18-F18)^2+(N18-S18)^2),E18&gt;N18),3,2)))</f>
        <v>2</v>
      </c>
      <c r="I18" s="38">
        <v>0.2566588222980499</v>
      </c>
      <c r="J18" s="38"/>
      <c r="K18" s="38">
        <v>1</v>
      </c>
      <c r="L18" s="38"/>
      <c r="M18" s="38">
        <v>1.319453239440918</v>
      </c>
      <c r="N18" s="80">
        <v>1</v>
      </c>
      <c r="O18" s="80">
        <f>VLOOKUP('Hide - Control'!C$3,'All practice data'!A:CA,A18+29,FALSE)</f>
        <v>1</v>
      </c>
      <c r="P18" s="38">
        <f>VLOOKUP('Hide - Control'!$B$4,'All practice data'!B:BC,A18+2,FALSE)</f>
        <v>5361</v>
      </c>
      <c r="Q18" s="38">
        <f>VLOOKUP('Hide - Control'!$B$4,'All practice data'!B:BC,14,FALSE)</f>
        <v>5361</v>
      </c>
      <c r="R18" s="81">
        <v>1</v>
      </c>
      <c r="S18" s="38">
        <v>1</v>
      </c>
      <c r="T18" s="53">
        <f t="shared" si="19"/>
        <v>1.319453239440918</v>
      </c>
      <c r="U18" s="51">
        <f t="shared" si="20"/>
        <v>0.2566588222980499</v>
      </c>
      <c r="V18" s="7"/>
      <c r="W18" s="27">
        <f>IF((K18-I18)&gt;(M18-K18),I18,(K18-(M18-K18)))</f>
        <v>0.2566588222980499</v>
      </c>
      <c r="X18" s="27">
        <f t="shared" si="3"/>
        <v>1.74334117770195</v>
      </c>
      <c r="Y18" s="27">
        <f t="shared" si="4"/>
        <v>0.2566588222980499</v>
      </c>
      <c r="Z18" s="27">
        <f t="shared" si="5"/>
        <v>1.74334117770195</v>
      </c>
      <c r="AA18" s="32" t="s">
        <v>321</v>
      </c>
      <c r="AB18" s="33" t="s">
        <v>321</v>
      </c>
      <c r="AC18" s="33">
        <v>0.5</v>
      </c>
      <c r="AD18" s="33" t="s">
        <v>321</v>
      </c>
      <c r="AE18" s="33" t="s">
        <v>321</v>
      </c>
      <c r="AF18" s="33">
        <f t="shared" si="10"/>
        <v>-999</v>
      </c>
      <c r="AG18" s="33">
        <f t="shared" si="11"/>
        <v>0.515081050043073</v>
      </c>
      <c r="AH18" s="33">
        <f t="shared" si="12"/>
        <v>-999</v>
      </c>
      <c r="AI18" s="34">
        <v>0.5</v>
      </c>
      <c r="AJ18" s="4">
        <v>14.538000971640056</v>
      </c>
      <c r="AK18" s="32">
        <f t="shared" si="14"/>
        <v>-999</v>
      </c>
      <c r="AL18" s="34">
        <f t="shared" si="15"/>
        <v>-999</v>
      </c>
      <c r="AY18" s="103" t="s">
        <v>105</v>
      </c>
      <c r="AZ18" s="103" t="s">
        <v>106</v>
      </c>
      <c r="BA18" s="103" t="s">
        <v>321</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40</v>
      </c>
      <c r="E19" s="38">
        <f>IF(LEFT(VLOOKUP($B19,'Indicator chart'!$D$1:$J$36,5,FALSE),1)=" "," ",VLOOKUP($B19,'Indicator chart'!$D$1:$J$36,5,FALSE))</f>
        <v>0.15444015444015444</v>
      </c>
      <c r="F19" s="38">
        <f>IF(LEFT(VLOOKUP($B19,'Indicator chart'!$D$1:$J$36,6,FALSE),1)=" "," ",VLOOKUP($B19,'Indicator chart'!$D$1:$J$36,6,FALSE))</f>
        <v>0.11551185153159188</v>
      </c>
      <c r="G19" s="38">
        <f>IF(LEFT(VLOOKUP($B19,'Indicator chart'!$D$1:$J$36,7,FALSE),1)=" "," ",VLOOKUP($B19,'Indicator chart'!$D$1:$J$36,7,FALSE))</f>
        <v>0.20346961867708135</v>
      </c>
      <c r="H19" s="50">
        <f t="shared" si="0"/>
        <v>2</v>
      </c>
      <c r="I19" s="38">
        <v>0.02070442959666252</v>
      </c>
      <c r="J19" s="38">
        <v>0.1531933695077896</v>
      </c>
      <c r="K19" s="38">
        <v>0.17076848447322845</v>
      </c>
      <c r="L19" s="38">
        <v>0.18804574012756348</v>
      </c>
      <c r="M19" s="38">
        <v>0.3095238208770752</v>
      </c>
      <c r="N19" s="80">
        <f>VLOOKUP('Hide - Control'!B$3,'All practice data'!A:CA,A19+29,FALSE)</f>
        <v>0.16731952993844432</v>
      </c>
      <c r="O19" s="80">
        <f>VLOOKUP('Hide - Control'!C$3,'All practice data'!A:CA,A19+29,FALSE)</f>
        <v>0.10919341638628717</v>
      </c>
      <c r="P19" s="38">
        <f>VLOOKUP('Hide - Control'!$B$4,'All practice data'!B:BC,A19+2,FALSE)</f>
        <v>897</v>
      </c>
      <c r="Q19" s="38">
        <f>VLOOKUP('Hide - Control'!$B$4,'All practice data'!B:BC,15,FALSE)</f>
        <v>5361</v>
      </c>
      <c r="R19" s="38">
        <f>+((2*P19+1.96^2-1.96*SQRT(1.96^2+4*P19*(1-P19/Q19)))/(2*(Q19+1.96^2)))</f>
        <v>0.15756664526261938</v>
      </c>
      <c r="S19" s="38">
        <f>+((2*P19+1.96^2+1.96*SQRT(1.96^2+4*P19*(1-P19/Q19)))/(2*(Q19+1.96^2)))</f>
        <v>0.177548859359176</v>
      </c>
      <c r="T19" s="53">
        <f t="shared" si="19"/>
        <v>0.3095238208770752</v>
      </c>
      <c r="U19" s="51">
        <f t="shared" si="20"/>
        <v>0.02070442959666252</v>
      </c>
      <c r="V19" s="7"/>
      <c r="W19" s="27">
        <f t="shared" si="2"/>
        <v>0.02070442959666252</v>
      </c>
      <c r="X19" s="27">
        <f t="shared" si="3"/>
        <v>0.3208325393497944</v>
      </c>
      <c r="Y19" s="27">
        <f t="shared" si="4"/>
        <v>0.02070442959666252</v>
      </c>
      <c r="Z19" s="27">
        <f t="shared" si="5"/>
        <v>0.3208325393497944</v>
      </c>
      <c r="AA19" s="32">
        <f t="shared" si="6"/>
        <v>0</v>
      </c>
      <c r="AB19" s="33">
        <f t="shared" si="7"/>
        <v>0.4414412899215101</v>
      </c>
      <c r="AC19" s="33">
        <v>0.5</v>
      </c>
      <c r="AD19" s="33">
        <f t="shared" si="8"/>
        <v>0.5575662695125302</v>
      </c>
      <c r="AE19" s="33">
        <f t="shared" si="9"/>
        <v>0.96232036218793</v>
      </c>
      <c r="AF19" s="33">
        <f t="shared" si="10"/>
        <v>-999</v>
      </c>
      <c r="AG19" s="33">
        <f t="shared" si="11"/>
        <v>0.4455954657279361</v>
      </c>
      <c r="AH19" s="33">
        <f t="shared" si="12"/>
        <v>-999</v>
      </c>
      <c r="AI19" s="34">
        <f t="shared" si="13"/>
        <v>0.29483738415042365</v>
      </c>
      <c r="AJ19" s="4">
        <v>15.61399639702198</v>
      </c>
      <c r="AK19" s="32">
        <f t="shared" si="14"/>
        <v>-999</v>
      </c>
      <c r="AL19" s="34">
        <f t="shared" si="15"/>
        <v>-999</v>
      </c>
      <c r="AY19" s="103" t="s">
        <v>270</v>
      </c>
      <c r="AZ19" s="103" t="s">
        <v>440</v>
      </c>
      <c r="BA19" s="103" t="s">
        <v>321</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77</v>
      </c>
      <c r="E20" s="38">
        <f>IF(LEFT(VLOOKUP($B20,'Indicator chart'!$D$1:$J$36,5,FALSE),1)=" "," ",VLOOKUP($B20,'Indicator chart'!$D$1:$J$36,5,FALSE))</f>
        <v>0.5194805194805194</v>
      </c>
      <c r="F20" s="38">
        <f>IF(LEFT(VLOOKUP($B20,'Indicator chart'!$D$1:$J$36,6,FALSE),1)=" "," ",VLOOKUP($B20,'Indicator chart'!$D$1:$J$36,6,FALSE))</f>
        <v>0.40963811196379807</v>
      </c>
      <c r="G20" s="38">
        <f>IF(LEFT(VLOOKUP($B20,'Indicator chart'!$D$1:$J$36,7,FALSE),1)=" "," ",VLOOKUP($B20,'Indicator chart'!$D$1:$J$36,7,FALSE))</f>
        <v>0.6274714949712453</v>
      </c>
      <c r="H20" s="50">
        <f t="shared" si="0"/>
        <v>2</v>
      </c>
      <c r="I20" s="38">
        <v>0.09238772839307785</v>
      </c>
      <c r="J20" s="38">
        <v>0.3395833373069763</v>
      </c>
      <c r="K20" s="38">
        <v>0.4447261691093445</v>
      </c>
      <c r="L20" s="38">
        <v>0.5173881649971008</v>
      </c>
      <c r="M20" s="38">
        <v>0.6363636255264282</v>
      </c>
      <c r="N20" s="80">
        <f>VLOOKUP('Hide - Control'!B$3,'All practice data'!A:CA,A20+29,FALSE)</f>
        <v>0.4523449319213313</v>
      </c>
      <c r="O20" s="80">
        <f>VLOOKUP('Hide - Control'!C$3,'All practice data'!A:CA,A20+29,FALSE)</f>
        <v>0.4534552930810221</v>
      </c>
      <c r="P20" s="38">
        <f>VLOOKUP('Hide - Control'!$B$4,'All practice data'!B:BC,A20+1,FALSE)</f>
        <v>897</v>
      </c>
      <c r="Q20" s="38">
        <f>VLOOKUP('Hide - Control'!$B$4,'All practice data'!B:BC,A20+2,FALSE)</f>
        <v>1983</v>
      </c>
      <c r="R20" s="38">
        <f>+((2*P20+1.96^2-1.96*SQRT(1.96^2+4*P20*(1-P20/Q20)))/(2*(Q20+1.96^2)))</f>
        <v>0.4305510577165702</v>
      </c>
      <c r="S20" s="38">
        <f>+((2*P20+1.96^2+1.96*SQRT(1.96^2+4*P20*(1-P20/Q20)))/(2*(Q20+1.96^2)))</f>
        <v>0.4743230902779151</v>
      </c>
      <c r="T20" s="53">
        <f t="shared" si="19"/>
        <v>0.6363636255264282</v>
      </c>
      <c r="U20" s="51">
        <f t="shared" si="20"/>
        <v>0.09238772839307785</v>
      </c>
      <c r="V20" s="7"/>
      <c r="W20" s="27">
        <f t="shared" si="2"/>
        <v>0.09238772839307785</v>
      </c>
      <c r="X20" s="27">
        <f t="shared" si="3"/>
        <v>0.7970646098256111</v>
      </c>
      <c r="Y20" s="27">
        <f t="shared" si="4"/>
        <v>0.09238772839307785</v>
      </c>
      <c r="Z20" s="27">
        <f t="shared" si="5"/>
        <v>0.7970646098256111</v>
      </c>
      <c r="AA20" s="32">
        <f t="shared" si="6"/>
        <v>0</v>
      </c>
      <c r="AB20" s="33">
        <f t="shared" si="7"/>
        <v>0.3507928462352505</v>
      </c>
      <c r="AC20" s="33">
        <v>0.5</v>
      </c>
      <c r="AD20" s="33">
        <f t="shared" si="8"/>
        <v>0.6031139204397372</v>
      </c>
      <c r="AE20" s="33">
        <f t="shared" si="9"/>
        <v>0.7719508209599627</v>
      </c>
      <c r="AF20" s="33">
        <f t="shared" si="10"/>
        <v>-999</v>
      </c>
      <c r="AG20" s="33">
        <f t="shared" si="11"/>
        <v>0.6060831600140014</v>
      </c>
      <c r="AH20" s="33">
        <f t="shared" si="12"/>
        <v>-999</v>
      </c>
      <c r="AI20" s="34">
        <f t="shared" si="13"/>
        <v>0.5123874135815727</v>
      </c>
      <c r="AJ20" s="4">
        <v>16.689991822403904</v>
      </c>
      <c r="AK20" s="32">
        <f t="shared" si="14"/>
        <v>-999</v>
      </c>
      <c r="AL20" s="34">
        <f t="shared" si="15"/>
        <v>-999</v>
      </c>
      <c r="AY20" s="103" t="s">
        <v>211</v>
      </c>
      <c r="AZ20" s="103" t="s">
        <v>421</v>
      </c>
      <c r="BA20" s="103" t="s">
        <v>321</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36</v>
      </c>
      <c r="E21" s="38">
        <f>IF(LEFT(VLOOKUP($B21,'Indicator chart'!$D$1:$J$36,5,FALSE),1)=" "," ",VLOOKUP($B21,'Indicator chart'!$D$1:$J$36,5,FALSE))</f>
        <v>296.3938745265931</v>
      </c>
      <c r="F21" s="38">
        <f>IF(LEFT(VLOOKUP($B21,'Indicator chart'!$D$1:$J$36,6,FALSE),1)=" "," ",VLOOKUP($B21,'Indicator chart'!$D$1:$J$36,6,FALSE))</f>
        <v>207.56032796368908</v>
      </c>
      <c r="G21" s="38">
        <f>IF(LEFT(VLOOKUP($B21,'Indicator chart'!$D$1:$J$36,7,FALSE),1)=" "," ",VLOOKUP($B21,'Indicator chart'!$D$1:$J$36,7,FALSE))</f>
        <v>410.3484106802135</v>
      </c>
      <c r="H21" s="50">
        <f t="shared" si="0"/>
        <v>2</v>
      </c>
      <c r="I21" s="38">
        <v>61.46357345581055</v>
      </c>
      <c r="J21" s="38">
        <v>201.98788452148438</v>
      </c>
      <c r="K21" s="38">
        <v>286.4345397949219</v>
      </c>
      <c r="L21" s="38">
        <v>387.1259460449219</v>
      </c>
      <c r="M21" s="38">
        <v>509.21435546875</v>
      </c>
      <c r="N21" s="80">
        <f>VLOOKUP('Hide - Control'!B$3,'All practice data'!A:CA,A21+29,FALSE)</f>
        <v>299.13089917286015</v>
      </c>
      <c r="O21" s="80">
        <f>VLOOKUP('Hide - Control'!C$3,'All practice data'!A:CA,A21+29,FALSE)</f>
        <v>377.7293140102421</v>
      </c>
      <c r="P21" s="38">
        <f>VLOOKUP('Hide - Control'!$B$4,'All practice data'!B:BC,A21+2,FALSE)</f>
        <v>941</v>
      </c>
      <c r="Q21" s="38">
        <f>VLOOKUP('Hide - Control'!$B$4,'All practice data'!B:BC,3,FALSE)</f>
        <v>314578</v>
      </c>
      <c r="R21" s="38">
        <f aca="true" t="shared" si="21" ref="R21:R27">100000*(P21*(1-1/(9*P21)-1.96/(3*SQRT(P21)))^3)/Q21</f>
        <v>280.3208671286225</v>
      </c>
      <c r="S21" s="38">
        <f aca="true" t="shared" si="22" ref="S21:S27">100000*((P21+1)*(1-1/(9*(P21+1))+1.96/(3*SQRT(P21+1)))^3)/Q21</f>
        <v>318.87110362066323</v>
      </c>
      <c r="T21" s="53">
        <f t="shared" si="19"/>
        <v>509.21435546875</v>
      </c>
      <c r="U21" s="51">
        <f t="shared" si="20"/>
        <v>61.46357345581055</v>
      </c>
      <c r="V21" s="7"/>
      <c r="W21" s="27">
        <f t="shared" si="2"/>
        <v>61.46357345581055</v>
      </c>
      <c r="X21" s="27">
        <f t="shared" si="3"/>
        <v>511.4055061340332</v>
      </c>
      <c r="Y21" s="27">
        <f t="shared" si="4"/>
        <v>61.46357345581055</v>
      </c>
      <c r="Z21" s="27">
        <f t="shared" si="5"/>
        <v>511.4055061340332</v>
      </c>
      <c r="AA21" s="32">
        <f t="shared" si="6"/>
        <v>0</v>
      </c>
      <c r="AB21" s="33">
        <f t="shared" si="7"/>
        <v>0.3123165476692083</v>
      </c>
      <c r="AC21" s="33">
        <v>0.5</v>
      </c>
      <c r="AD21" s="33">
        <f t="shared" si="8"/>
        <v>0.7237875577647256</v>
      </c>
      <c r="AE21" s="33">
        <f t="shared" si="9"/>
        <v>0.9951301479009954</v>
      </c>
      <c r="AF21" s="33">
        <f t="shared" si="10"/>
        <v>-999</v>
      </c>
      <c r="AG21" s="33">
        <f t="shared" si="11"/>
        <v>0.5221347111890406</v>
      </c>
      <c r="AH21" s="33">
        <f t="shared" si="12"/>
        <v>-999</v>
      </c>
      <c r="AI21" s="34">
        <f t="shared" si="13"/>
        <v>0.7029034583905074</v>
      </c>
      <c r="AJ21" s="4">
        <v>17.765987247785823</v>
      </c>
      <c r="AK21" s="32">
        <f t="shared" si="14"/>
        <v>-999</v>
      </c>
      <c r="AL21" s="34">
        <f t="shared" si="15"/>
        <v>-999</v>
      </c>
      <c r="AY21" s="103" t="s">
        <v>123</v>
      </c>
      <c r="AZ21" s="103" t="s">
        <v>395</v>
      </c>
      <c r="BA21" s="103" t="s">
        <v>321</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34</v>
      </c>
      <c r="E22" s="38">
        <f>IF(LEFT(VLOOKUP($B22,'Indicator chart'!$D$1:$J$36,5,FALSE),1)=" "," ",VLOOKUP($B22,'Indicator chart'!$D$1:$J$36,5,FALSE))</f>
        <v>279.92754816400463</v>
      </c>
      <c r="F22" s="38">
        <f>IF(LEFT(VLOOKUP($B22,'Indicator chart'!$D$1:$J$36,6,FALSE),1)=" "," ",VLOOKUP($B22,'Indicator chart'!$D$1:$J$36,6,FALSE))</f>
        <v>193.82666457566492</v>
      </c>
      <c r="G22" s="38">
        <f>IF(LEFT(VLOOKUP($B22,'Indicator chart'!$D$1:$J$36,7,FALSE),1)=" "," ",VLOOKUP($B22,'Indicator chart'!$D$1:$J$36,7,FALSE))</f>
        <v>391.1850874937102</v>
      </c>
      <c r="H22" s="50">
        <f t="shared" si="0"/>
        <v>2</v>
      </c>
      <c r="I22" s="38">
        <v>18.07059669494629</v>
      </c>
      <c r="J22" s="38">
        <v>151.27110290527344</v>
      </c>
      <c r="K22" s="38">
        <v>278.595947265625</v>
      </c>
      <c r="L22" s="38">
        <v>362.81024169921875</v>
      </c>
      <c r="M22" s="38">
        <v>670.9039306640625</v>
      </c>
      <c r="N22" s="80">
        <f>VLOOKUP('Hide - Control'!B$3,'All practice data'!A:CA,A22+29,FALSE)</f>
        <v>290.2300860200014</v>
      </c>
      <c r="O22" s="80">
        <f>VLOOKUP('Hide - Control'!C$3,'All practice data'!A:CA,A22+29,FALSE)</f>
        <v>282.45290788403287</v>
      </c>
      <c r="P22" s="38">
        <f>VLOOKUP('Hide - Control'!$B$4,'All practice data'!B:BC,A22+2,FALSE)</f>
        <v>913</v>
      </c>
      <c r="Q22" s="38">
        <f>VLOOKUP('Hide - Control'!$B$4,'All practice data'!B:BC,3,FALSE)</f>
        <v>314578</v>
      </c>
      <c r="R22" s="38">
        <f t="shared" si="21"/>
        <v>271.7065799903643</v>
      </c>
      <c r="S22" s="38">
        <f t="shared" si="22"/>
        <v>309.6839167394006</v>
      </c>
      <c r="T22" s="53">
        <f t="shared" si="19"/>
        <v>670.9039306640625</v>
      </c>
      <c r="U22" s="51">
        <f t="shared" si="20"/>
        <v>18.07059669494629</v>
      </c>
      <c r="V22" s="7"/>
      <c r="W22" s="27">
        <f t="shared" si="2"/>
        <v>-113.7120361328125</v>
      </c>
      <c r="X22" s="27">
        <f t="shared" si="3"/>
        <v>670.9039306640625</v>
      </c>
      <c r="Y22" s="27">
        <f t="shared" si="4"/>
        <v>-113.7120361328125</v>
      </c>
      <c r="Z22" s="27">
        <f t="shared" si="5"/>
        <v>670.9039306640625</v>
      </c>
      <c r="AA22" s="32">
        <f t="shared" si="6"/>
        <v>0.16795813290130926</v>
      </c>
      <c r="AB22" s="33">
        <f t="shared" si="7"/>
        <v>0.3377233579885661</v>
      </c>
      <c r="AC22" s="33">
        <v>0.5</v>
      </c>
      <c r="AD22" s="33">
        <f t="shared" si="8"/>
        <v>0.607331864246137</v>
      </c>
      <c r="AE22" s="33">
        <f t="shared" si="9"/>
        <v>1</v>
      </c>
      <c r="AF22" s="33">
        <f t="shared" si="10"/>
        <v>-999</v>
      </c>
      <c r="AG22" s="33">
        <f t="shared" si="11"/>
        <v>0.5016971371406266</v>
      </c>
      <c r="AH22" s="33">
        <f t="shared" si="12"/>
        <v>-999</v>
      </c>
      <c r="AI22" s="34">
        <f t="shared" si="13"/>
        <v>0.5049157304740478</v>
      </c>
      <c r="AJ22" s="4">
        <v>18.841982673167745</v>
      </c>
      <c r="AK22" s="32">
        <f t="shared" si="14"/>
        <v>-999</v>
      </c>
      <c r="AL22" s="34">
        <f t="shared" si="15"/>
        <v>-999</v>
      </c>
      <c r="AY22" s="103" t="s">
        <v>149</v>
      </c>
      <c r="AZ22" s="103" t="s">
        <v>405</v>
      </c>
      <c r="BA22" s="103" t="s">
        <v>321</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16</v>
      </c>
      <c r="E23" s="38">
        <f>IF(LEFT(VLOOKUP($B23,'Indicator chart'!$D$1:$J$36,5,FALSE),1)=" "," ",VLOOKUP($B23,'Indicator chart'!$D$1:$J$36,5,FALSE))</f>
        <v>131.73061090070806</v>
      </c>
      <c r="F23" s="38">
        <f>IF(LEFT(VLOOKUP($B23,'Indicator chart'!$D$1:$J$36,6,FALSE),1)=" "," ",VLOOKUP($B23,'Indicator chart'!$D$1:$J$36,6,FALSE))</f>
        <v>75.2462517734053</v>
      </c>
      <c r="G23" s="38">
        <f>IF(LEFT(VLOOKUP($B23,'Indicator chart'!$D$1:$J$36,7,FALSE),1)=" "," ",VLOOKUP($B23,'Indicator chart'!$D$1:$J$36,7,FALSE))</f>
        <v>213.93574209988387</v>
      </c>
      <c r="H23" s="50">
        <f t="shared" si="0"/>
        <v>2</v>
      </c>
      <c r="I23" s="38">
        <v>3.248678207397461</v>
      </c>
      <c r="J23" s="38">
        <v>80.37806701660156</v>
      </c>
      <c r="K23" s="38">
        <v>130.7052764892578</v>
      </c>
      <c r="L23" s="38">
        <v>176.90834045410156</v>
      </c>
      <c r="M23" s="38">
        <v>282.5771179199219</v>
      </c>
      <c r="N23" s="80">
        <f>VLOOKUP('Hide - Control'!B$3,'All practice data'!A:CA,A23+29,FALSE)</f>
        <v>139.23414860543332</v>
      </c>
      <c r="O23" s="80">
        <f>VLOOKUP('Hide - Control'!C$3,'All practice data'!A:CA,A23+29,FALSE)</f>
        <v>70.46674929228394</v>
      </c>
      <c r="P23" s="38">
        <f>VLOOKUP('Hide - Control'!$B$4,'All practice data'!B:BC,A23+2,FALSE)</f>
        <v>438</v>
      </c>
      <c r="Q23" s="38">
        <f>VLOOKUP('Hide - Control'!$B$4,'All practice data'!B:BC,3,FALSE)</f>
        <v>314578</v>
      </c>
      <c r="R23" s="38">
        <f t="shared" si="21"/>
        <v>126.49793775202866</v>
      </c>
      <c r="S23" s="38">
        <f t="shared" si="22"/>
        <v>152.90517626169213</v>
      </c>
      <c r="T23" s="53">
        <f t="shared" si="19"/>
        <v>282.5771179199219</v>
      </c>
      <c r="U23" s="51">
        <f t="shared" si="20"/>
        <v>3.248678207397461</v>
      </c>
      <c r="V23" s="7"/>
      <c r="W23" s="27">
        <f t="shared" si="2"/>
        <v>-21.16656494140625</v>
      </c>
      <c r="X23" s="27">
        <f t="shared" si="3"/>
        <v>282.5771179199219</v>
      </c>
      <c r="Y23" s="27">
        <f t="shared" si="4"/>
        <v>-21.16656494140625</v>
      </c>
      <c r="Z23" s="27">
        <f t="shared" si="5"/>
        <v>282.5771179199219</v>
      </c>
      <c r="AA23" s="32">
        <f t="shared" si="6"/>
        <v>0.08038107301132022</v>
      </c>
      <c r="AB23" s="33">
        <f t="shared" si="7"/>
        <v>0.3343102677936754</v>
      </c>
      <c r="AC23" s="33">
        <v>0.5</v>
      </c>
      <c r="AD23" s="33">
        <f t="shared" si="8"/>
        <v>0.6521120160577543</v>
      </c>
      <c r="AE23" s="33">
        <f t="shared" si="9"/>
        <v>1</v>
      </c>
      <c r="AF23" s="33">
        <f t="shared" si="10"/>
        <v>-999</v>
      </c>
      <c r="AG23" s="33">
        <f t="shared" si="11"/>
        <v>0.503375656743842</v>
      </c>
      <c r="AH23" s="33">
        <f t="shared" si="12"/>
        <v>-999</v>
      </c>
      <c r="AI23" s="34">
        <f t="shared" si="13"/>
        <v>0.30167973658080877</v>
      </c>
      <c r="AJ23" s="4">
        <v>19.917978098549675</v>
      </c>
      <c r="AK23" s="32">
        <f t="shared" si="14"/>
        <v>-999</v>
      </c>
      <c r="AL23" s="34">
        <f t="shared" si="15"/>
        <v>-999</v>
      </c>
      <c r="AY23" s="103" t="s">
        <v>264</v>
      </c>
      <c r="AZ23" s="103" t="s">
        <v>265</v>
      </c>
      <c r="BA23" s="103" t="s">
        <v>321</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65</v>
      </c>
      <c r="E24" s="38">
        <f>IF(LEFT(VLOOKUP($B24,'Indicator chart'!$D$1:$J$36,5,FALSE),1)=" "," ",VLOOKUP($B24,'Indicator chart'!$D$1:$J$36,5,FALSE))</f>
        <v>535.1556067841265</v>
      </c>
      <c r="F24" s="38">
        <f>IF(LEFT(VLOOKUP($B24,'Indicator chart'!$D$1:$J$36,6,FALSE),1)=" "," ",VLOOKUP($B24,'Indicator chart'!$D$1:$J$36,6,FALSE))</f>
        <v>412.99969874006035</v>
      </c>
      <c r="G24" s="38">
        <f>IF(LEFT(VLOOKUP($B24,'Indicator chart'!$D$1:$J$36,7,FALSE),1)=" "," ",VLOOKUP($B24,'Indicator chart'!$D$1:$J$36,7,FALSE))</f>
        <v>682.1132803012354</v>
      </c>
      <c r="H24" s="50">
        <f t="shared" si="0"/>
        <v>3</v>
      </c>
      <c r="I24" s="38">
        <v>27.3076171875</v>
      </c>
      <c r="J24" s="38">
        <v>136.5614013671875</v>
      </c>
      <c r="K24" s="38">
        <v>268.9808044433594</v>
      </c>
      <c r="L24" s="38">
        <v>404.169921875</v>
      </c>
      <c r="M24" s="38">
        <v>642.1482543945312</v>
      </c>
      <c r="N24" s="80">
        <f>VLOOKUP('Hide - Control'!B$3,'All practice data'!A:CA,A24+29,FALSE)</f>
        <v>296.26992351658413</v>
      </c>
      <c r="O24" s="80">
        <f>VLOOKUP('Hide - Control'!C$3,'All practice data'!A:CA,A24+29,FALSE)</f>
        <v>323.23046266988894</v>
      </c>
      <c r="P24" s="38">
        <f>VLOOKUP('Hide - Control'!$B$4,'All practice data'!B:BC,A24+2,FALSE)</f>
        <v>932</v>
      </c>
      <c r="Q24" s="38">
        <f>VLOOKUP('Hide - Control'!$B$4,'All practice data'!B:BC,3,FALSE)</f>
        <v>314578</v>
      </c>
      <c r="R24" s="38">
        <f t="shared" si="21"/>
        <v>277.55151837918277</v>
      </c>
      <c r="S24" s="38">
        <f t="shared" si="22"/>
        <v>315.9185492614088</v>
      </c>
      <c r="T24" s="53">
        <f t="shared" si="19"/>
        <v>642.1482543945312</v>
      </c>
      <c r="U24" s="51">
        <f t="shared" si="20"/>
        <v>27.3076171875</v>
      </c>
      <c r="V24" s="7"/>
      <c r="W24" s="27">
        <f t="shared" si="2"/>
        <v>-104.1866455078125</v>
      </c>
      <c r="X24" s="27">
        <f t="shared" si="3"/>
        <v>642.1482543945312</v>
      </c>
      <c r="Y24" s="27">
        <f t="shared" si="4"/>
        <v>-104.1866455078125</v>
      </c>
      <c r="Z24" s="27">
        <f t="shared" si="5"/>
        <v>642.1482543945312</v>
      </c>
      <c r="AA24" s="32">
        <f t="shared" si="6"/>
        <v>0.17618667264859011</v>
      </c>
      <c r="AB24" s="33">
        <f t="shared" si="7"/>
        <v>0.3225737492732838</v>
      </c>
      <c r="AC24" s="33">
        <v>0.5</v>
      </c>
      <c r="AD24" s="33">
        <f t="shared" si="8"/>
        <v>0.6811373385451086</v>
      </c>
      <c r="AE24" s="33">
        <f t="shared" si="9"/>
        <v>1</v>
      </c>
      <c r="AF24" s="33">
        <f t="shared" si="10"/>
        <v>-999</v>
      </c>
      <c r="AG24" s="33">
        <f t="shared" si="11"/>
        <v>-999</v>
      </c>
      <c r="AH24" s="33">
        <f t="shared" si="12"/>
        <v>0.8566425774482681</v>
      </c>
      <c r="AI24" s="34">
        <f t="shared" si="13"/>
        <v>0.5726880898020822</v>
      </c>
      <c r="AJ24" s="4">
        <v>20.99397352393159</v>
      </c>
      <c r="AK24" s="32">
        <f t="shared" si="14"/>
        <v>-999</v>
      </c>
      <c r="AL24" s="34">
        <f t="shared" si="15"/>
        <v>0.8566425774482681</v>
      </c>
      <c r="AY24" s="103" t="s">
        <v>65</v>
      </c>
      <c r="AZ24" s="103" t="s">
        <v>66</v>
      </c>
      <c r="BA24" s="103" t="s">
        <v>501</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76</v>
      </c>
      <c r="E25" s="38">
        <f>IF(LEFT(VLOOKUP($B25,'Indicator chart'!$D$1:$J$36,5,FALSE),1)=" "," ",VLOOKUP($B25,'Indicator chart'!$D$1:$J$36,5,FALSE))</f>
        <v>625.7204017783632</v>
      </c>
      <c r="F25" s="38">
        <f>IF(LEFT(VLOOKUP($B25,'Indicator chart'!$D$1:$J$36,6,FALSE),1)=" "," ",VLOOKUP($B25,'Indicator chart'!$D$1:$J$36,6,FALSE))</f>
        <v>492.97602056039045</v>
      </c>
      <c r="G25" s="38">
        <f>IF(LEFT(VLOOKUP($B25,'Indicator chart'!$D$1:$J$36,7,FALSE),1)=" "," ",VLOOKUP($B25,'Indicator chart'!$D$1:$J$36,7,FALSE))</f>
        <v>783.195646199639</v>
      </c>
      <c r="H25" s="50">
        <f t="shared" si="0"/>
        <v>2</v>
      </c>
      <c r="I25" s="38">
        <v>185.5142822265625</v>
      </c>
      <c r="J25" s="38">
        <v>614.10107421875</v>
      </c>
      <c r="K25" s="38">
        <v>723.1036376953125</v>
      </c>
      <c r="L25" s="38">
        <v>823.4309692382812</v>
      </c>
      <c r="M25" s="38">
        <v>1109.1651611328125</v>
      </c>
      <c r="N25" s="80">
        <f>VLOOKUP('Hide - Control'!B$3,'All practice data'!A:CA,A25+29,FALSE)</f>
        <v>737.8138331351843</v>
      </c>
      <c r="O25" s="80">
        <f>VLOOKUP('Hide - Control'!C$3,'All practice data'!A:CA,A25+29,FALSE)</f>
        <v>562.6134400960308</v>
      </c>
      <c r="P25" s="38">
        <f>VLOOKUP('Hide - Control'!$B$4,'All practice data'!B:BC,A25+2,FALSE)</f>
        <v>2321</v>
      </c>
      <c r="Q25" s="38">
        <f>VLOOKUP('Hide - Control'!$B$4,'All practice data'!B:BC,3,FALSE)</f>
        <v>314578</v>
      </c>
      <c r="R25" s="38">
        <f t="shared" si="21"/>
        <v>708.0990918821977</v>
      </c>
      <c r="S25" s="38">
        <f t="shared" si="22"/>
        <v>768.4551012269344</v>
      </c>
      <c r="T25" s="53">
        <f t="shared" si="19"/>
        <v>1109.1651611328125</v>
      </c>
      <c r="U25" s="51">
        <f t="shared" si="20"/>
        <v>185.5142822265625</v>
      </c>
      <c r="V25" s="7"/>
      <c r="W25" s="27">
        <f t="shared" si="2"/>
        <v>185.5142822265625</v>
      </c>
      <c r="X25" s="27">
        <f t="shared" si="3"/>
        <v>1260.6929931640625</v>
      </c>
      <c r="Y25" s="27">
        <f t="shared" si="4"/>
        <v>185.5142822265625</v>
      </c>
      <c r="Z25" s="27">
        <f t="shared" si="5"/>
        <v>1260.6929931640625</v>
      </c>
      <c r="AA25" s="32">
        <f t="shared" si="6"/>
        <v>0</v>
      </c>
      <c r="AB25" s="33">
        <f t="shared" si="7"/>
        <v>0.39861912036788943</v>
      </c>
      <c r="AC25" s="33">
        <v>0.5</v>
      </c>
      <c r="AD25" s="33">
        <f t="shared" si="8"/>
        <v>0.5933122377911375</v>
      </c>
      <c r="AE25" s="33">
        <f t="shared" si="9"/>
        <v>0.859067306216354</v>
      </c>
      <c r="AF25" s="33">
        <f t="shared" si="10"/>
        <v>-999</v>
      </c>
      <c r="AG25" s="33">
        <f t="shared" si="11"/>
        <v>0.40942600060222906</v>
      </c>
      <c r="AH25" s="33">
        <f t="shared" si="12"/>
        <v>-999</v>
      </c>
      <c r="AI25" s="34">
        <f t="shared" si="13"/>
        <v>0.3507316077163185</v>
      </c>
      <c r="AJ25" s="4">
        <v>22.06996894931352</v>
      </c>
      <c r="AK25" s="32">
        <f t="shared" si="14"/>
        <v>-999</v>
      </c>
      <c r="AL25" s="34">
        <f t="shared" si="15"/>
        <v>-999</v>
      </c>
      <c r="AY25" s="103" t="s">
        <v>257</v>
      </c>
      <c r="AZ25" s="103" t="s">
        <v>258</v>
      </c>
      <c r="BA25" s="103" t="s">
        <v>501</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72</v>
      </c>
      <c r="E26" s="38">
        <f>IF(LEFT(VLOOKUP($B26,'Indicator chart'!$D$1:$J$36,5,FALSE),1)=" "," ",VLOOKUP($B26,'Indicator chart'!$D$1:$J$36,5,FALSE))</f>
        <v>592.7877490531862</v>
      </c>
      <c r="F26" s="38">
        <f>IF(LEFT(VLOOKUP($B26,'Indicator chart'!$D$1:$J$36,6,FALSE),1)=" "," ",VLOOKUP($B26,'Indicator chart'!$D$1:$J$36,6,FALSE))</f>
        <v>463.798882557865</v>
      </c>
      <c r="G26" s="38">
        <f>IF(LEFT(VLOOKUP($B26,'Indicator chart'!$D$1:$J$36,7,FALSE),1)=" "," ",VLOOKUP($B26,'Indicator chart'!$D$1:$J$36,7,FALSE))</f>
        <v>746.5314154199611</v>
      </c>
      <c r="H26" s="50">
        <f t="shared" si="0"/>
        <v>2</v>
      </c>
      <c r="I26" s="38">
        <v>112.1823501586914</v>
      </c>
      <c r="J26" s="38">
        <v>499.47509765625</v>
      </c>
      <c r="K26" s="38">
        <v>572.1681518554688</v>
      </c>
      <c r="L26" s="38">
        <v>690.306884765625</v>
      </c>
      <c r="M26" s="38">
        <v>982.9619750976562</v>
      </c>
      <c r="N26" s="80">
        <f>VLOOKUP('Hide - Control'!B$3,'All practice data'!A:CA,A26+29,FALSE)</f>
        <v>608.116270050671</v>
      </c>
      <c r="O26" s="80">
        <f>VLOOKUP('Hide - Control'!C$3,'All practice data'!A:CA,A26+29,FALSE)</f>
        <v>405.57105879375996</v>
      </c>
      <c r="P26" s="38">
        <f>VLOOKUP('Hide - Control'!$B$4,'All practice data'!B:BC,A26+2,FALSE)</f>
        <v>1913</v>
      </c>
      <c r="Q26" s="38">
        <f>VLOOKUP('Hide - Control'!$B$4,'All practice data'!B:BC,3,FALSE)</f>
        <v>314578</v>
      </c>
      <c r="R26" s="38">
        <f t="shared" si="21"/>
        <v>581.167319500541</v>
      </c>
      <c r="S26" s="38">
        <f t="shared" si="22"/>
        <v>635.9923973980585</v>
      </c>
      <c r="T26" s="53">
        <f t="shared" si="19"/>
        <v>982.9619750976562</v>
      </c>
      <c r="U26" s="51">
        <f t="shared" si="20"/>
        <v>112.1823501586914</v>
      </c>
      <c r="V26" s="7"/>
      <c r="W26" s="27">
        <f t="shared" si="2"/>
        <v>112.1823501586914</v>
      </c>
      <c r="X26" s="27">
        <f t="shared" si="3"/>
        <v>1032.153953552246</v>
      </c>
      <c r="Y26" s="27">
        <f t="shared" si="4"/>
        <v>112.1823501586914</v>
      </c>
      <c r="Z26" s="27">
        <f t="shared" si="5"/>
        <v>1032.153953552246</v>
      </c>
      <c r="AA26" s="32">
        <f t="shared" si="6"/>
        <v>0</v>
      </c>
      <c r="AB26" s="33">
        <f t="shared" si="7"/>
        <v>0.420983371735528</v>
      </c>
      <c r="AC26" s="33">
        <v>0.5</v>
      </c>
      <c r="AD26" s="33">
        <f t="shared" si="8"/>
        <v>0.6284156298676729</v>
      </c>
      <c r="AE26" s="33">
        <f t="shared" si="9"/>
        <v>0.9465288077663132</v>
      </c>
      <c r="AF26" s="33">
        <f t="shared" si="10"/>
        <v>-999</v>
      </c>
      <c r="AG26" s="33">
        <f t="shared" si="11"/>
        <v>0.5224132974557657</v>
      </c>
      <c r="AH26" s="33">
        <f t="shared" si="12"/>
        <v>-999</v>
      </c>
      <c r="AI26" s="34">
        <f t="shared" si="13"/>
        <v>0.31891061371114926</v>
      </c>
      <c r="AJ26" s="4">
        <v>23.145964374695435</v>
      </c>
      <c r="AK26" s="32">
        <f t="shared" si="14"/>
        <v>-999</v>
      </c>
      <c r="AL26" s="34">
        <f t="shared" si="15"/>
        <v>-999</v>
      </c>
      <c r="AY26" s="103" t="s">
        <v>120</v>
      </c>
      <c r="AZ26" s="103" t="s">
        <v>394</v>
      </c>
      <c r="BA26" s="103" t="s">
        <v>321</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128</v>
      </c>
      <c r="E27" s="38">
        <f>IF(LEFT(VLOOKUP($B27,'Indicator chart'!$D$1:$J$36,5,FALSE),1)=" "," ",VLOOKUP($B27,'Indicator chart'!$D$1:$J$36,5,FALSE))</f>
        <v>1053.8448872056645</v>
      </c>
      <c r="F27" s="38">
        <f>IF(LEFT(VLOOKUP($B27,'Indicator chart'!$D$1:$J$36,6,FALSE),1)=" "," ",VLOOKUP($B27,'Indicator chart'!$D$1:$J$36,6,FALSE))</f>
        <v>879.1811407343534</v>
      </c>
      <c r="G27" s="38">
        <f>IF(LEFT(VLOOKUP($B27,'Indicator chart'!$D$1:$J$36,7,FALSE),1)=" "," ",VLOOKUP($B27,'Indicator chart'!$D$1:$J$36,7,FALSE))</f>
        <v>1253.0374284213974</v>
      </c>
      <c r="H27" s="50">
        <f t="shared" si="0"/>
        <v>1</v>
      </c>
      <c r="I27" s="38">
        <v>517.56005859375</v>
      </c>
      <c r="J27" s="38">
        <v>1045.74072265625</v>
      </c>
      <c r="K27" s="38">
        <v>1256.3182373046875</v>
      </c>
      <c r="L27" s="38">
        <v>1435.625732421875</v>
      </c>
      <c r="M27" s="38">
        <v>1886.79248046875</v>
      </c>
      <c r="N27" s="80">
        <f>VLOOKUP('Hide - Control'!B$3,'All practice data'!A:CA,A27+29,FALSE)</f>
        <v>1268.6837604664026</v>
      </c>
      <c r="O27" s="80">
        <f>VLOOKUP('Hide - Control'!C$3,'All practice data'!A:CA,A27+29,FALSE)</f>
        <v>1059.3522061277838</v>
      </c>
      <c r="P27" s="38">
        <f>VLOOKUP('Hide - Control'!$B$4,'All practice data'!B:BC,A27+2,FALSE)</f>
        <v>3991</v>
      </c>
      <c r="Q27" s="38">
        <f>VLOOKUP('Hide - Control'!$B$4,'All practice data'!B:BC,3,FALSE)</f>
        <v>314578</v>
      </c>
      <c r="R27" s="38">
        <f t="shared" si="21"/>
        <v>1229.6244188765045</v>
      </c>
      <c r="S27" s="38">
        <f t="shared" si="22"/>
        <v>1308.6681061019203</v>
      </c>
      <c r="T27" s="53">
        <f t="shared" si="19"/>
        <v>1886.79248046875</v>
      </c>
      <c r="U27" s="51">
        <f t="shared" si="20"/>
        <v>517.56005859375</v>
      </c>
      <c r="V27" s="7"/>
      <c r="W27" s="27">
        <f t="shared" si="2"/>
        <v>517.56005859375</v>
      </c>
      <c r="X27" s="27">
        <f t="shared" si="3"/>
        <v>1995.076416015625</v>
      </c>
      <c r="Y27" s="27">
        <f t="shared" si="4"/>
        <v>517.56005859375</v>
      </c>
      <c r="Z27" s="27">
        <f t="shared" si="5"/>
        <v>1995.076416015625</v>
      </c>
      <c r="AA27" s="32">
        <f t="shared" si="6"/>
        <v>0</v>
      </c>
      <c r="AB27" s="33">
        <f t="shared" si="7"/>
        <v>0.35747872530096714</v>
      </c>
      <c r="AC27" s="33">
        <v>0.5</v>
      </c>
      <c r="AD27" s="33">
        <f t="shared" si="8"/>
        <v>0.6213573671902096</v>
      </c>
      <c r="AE27" s="33">
        <f t="shared" si="9"/>
        <v>0.9267121917108112</v>
      </c>
      <c r="AF27" s="33">
        <f t="shared" si="10"/>
        <v>-999</v>
      </c>
      <c r="AG27" s="33">
        <f t="shared" si="11"/>
        <v>-999</v>
      </c>
      <c r="AH27" s="33">
        <f t="shared" si="12"/>
        <v>0.362963716725059</v>
      </c>
      <c r="AI27" s="34">
        <f t="shared" si="13"/>
        <v>0.3666911332740907</v>
      </c>
      <c r="AJ27" s="4">
        <v>24.221959800077364</v>
      </c>
      <c r="AK27" s="32">
        <f t="shared" si="14"/>
        <v>0.362963716725059</v>
      </c>
      <c r="AL27" s="34">
        <f t="shared" si="15"/>
        <v>-999</v>
      </c>
      <c r="AY27" s="103" t="s">
        <v>115</v>
      </c>
      <c r="AZ27" s="103" t="s">
        <v>393</v>
      </c>
      <c r="BA27" s="103" t="s">
        <v>501</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85</v>
      </c>
      <c r="E28" s="38">
        <f>IF(LEFT(VLOOKUP($B28,'Indicator chart'!$D$1:$J$36,5,FALSE),1)=" "," ",VLOOKUP($B28,'Indicator chart'!$D$1:$J$36,5,FALSE))</f>
        <v>699.8188704100115</v>
      </c>
      <c r="F28" s="38">
        <f>IF(LEFT(VLOOKUP($B28,'Indicator chart'!$D$1:$J$36,6,FALSE),1)=" "," ",VLOOKUP($B28,'Indicator chart'!$D$1:$J$36,6,FALSE))</f>
        <v>558.9710058968416</v>
      </c>
      <c r="G28" s="38">
        <f>IF(LEFT(VLOOKUP($B28,'Indicator chart'!$D$1:$J$36,7,FALSE),1)=" "," ",VLOOKUP($B28,'Indicator chart'!$D$1:$J$36,7,FALSE))</f>
        <v>865.349933964881</v>
      </c>
      <c r="H28" s="50">
        <f t="shared" si="0"/>
        <v>2</v>
      </c>
      <c r="I28" s="38">
        <v>155.9251708984375</v>
      </c>
      <c r="J28" s="38">
        <v>586.395263671875</v>
      </c>
      <c r="K28" s="38">
        <v>697.79052734375</v>
      </c>
      <c r="L28" s="38">
        <v>827.480224609375</v>
      </c>
      <c r="M28" s="38">
        <v>1133.603271484375</v>
      </c>
      <c r="N28" s="80">
        <f>VLOOKUP('Hide - Control'!B$3,'All practice data'!A:CA,A28+29,FALSE)</f>
        <v>694.5813121070132</v>
      </c>
      <c r="O28" s="80">
        <f>VLOOKUP('Hide - Control'!C$3,'All practice data'!A:CA,A28+29,FALSE)</f>
        <v>582.9390489900089</v>
      </c>
      <c r="P28" s="38">
        <f>VLOOKUP('Hide - Control'!$B$4,'All practice data'!B:BC,A28+2,FALSE)</f>
        <v>2185</v>
      </c>
      <c r="Q28" s="38">
        <f>VLOOKUP('Hide - Control'!$B$4,'All practice data'!B:BC,3,FALSE)</f>
        <v>314578</v>
      </c>
      <c r="R28" s="38">
        <f>100000*(P28*(1-1/(9*P28)-1.96/(3*SQRT(P28)))^3)/Q28</f>
        <v>665.7593015901502</v>
      </c>
      <c r="S28" s="38">
        <f>100000*((P28+1)*(1-1/(9*(P28+1))+1.96/(3*SQRT(P28+1)))^3)/Q28</f>
        <v>724.330045828043</v>
      </c>
      <c r="T28" s="53">
        <f t="shared" si="19"/>
        <v>1133.603271484375</v>
      </c>
      <c r="U28" s="51">
        <f t="shared" si="20"/>
        <v>155.9251708984375</v>
      </c>
      <c r="V28" s="7"/>
      <c r="W28" s="27">
        <f t="shared" si="2"/>
        <v>155.9251708984375</v>
      </c>
      <c r="X28" s="27">
        <f t="shared" si="3"/>
        <v>1239.6558837890625</v>
      </c>
      <c r="Y28" s="27">
        <f t="shared" si="4"/>
        <v>155.9251708984375</v>
      </c>
      <c r="Z28" s="27">
        <f t="shared" si="5"/>
        <v>1239.6558837890625</v>
      </c>
      <c r="AA28" s="32">
        <f t="shared" si="6"/>
        <v>0</v>
      </c>
      <c r="AB28" s="33">
        <f t="shared" si="7"/>
        <v>0.39721130688014605</v>
      </c>
      <c r="AC28" s="33">
        <v>0.5</v>
      </c>
      <c r="AD28" s="33">
        <f t="shared" si="8"/>
        <v>0.6196696704476565</v>
      </c>
      <c r="AE28" s="33">
        <f t="shared" si="9"/>
        <v>0.9021411767303205</v>
      </c>
      <c r="AF28" s="33">
        <f t="shared" si="10"/>
        <v>-999</v>
      </c>
      <c r="AG28" s="33">
        <f t="shared" si="11"/>
        <v>0.501871630140343</v>
      </c>
      <c r="AH28" s="33">
        <f t="shared" si="12"/>
        <v>-999</v>
      </c>
      <c r="AI28" s="34">
        <f t="shared" si="13"/>
        <v>0.39402212469608916</v>
      </c>
      <c r="AJ28" s="4">
        <v>25.297955225459287</v>
      </c>
      <c r="AK28" s="32">
        <f t="shared" si="14"/>
        <v>-999</v>
      </c>
      <c r="AL28" s="34">
        <f t="shared" si="15"/>
        <v>-999</v>
      </c>
      <c r="AY28" s="103" t="s">
        <v>241</v>
      </c>
      <c r="AZ28" s="103" t="s">
        <v>242</v>
      </c>
      <c r="BA28" s="103" t="s">
        <v>501</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396</v>
      </c>
      <c r="BA29" s="103" t="s">
        <v>321</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321</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417</v>
      </c>
      <c r="BA31" s="103" t="s">
        <v>321</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376</v>
      </c>
      <c r="BA32" s="103" t="s">
        <v>321</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441</v>
      </c>
      <c r="BA33" s="103" t="s">
        <v>501</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321</v>
      </c>
      <c r="BB34" s="10">
        <v>532801</v>
      </c>
      <c r="BE34" s="77"/>
      <c r="BF34" s="253"/>
    </row>
    <row r="35" spans="2:58" ht="12.75">
      <c r="B35" s="17" t="s">
        <v>41</v>
      </c>
      <c r="C35" s="18"/>
      <c r="H35" s="290" t="s">
        <v>542</v>
      </c>
      <c r="I35" s="291"/>
      <c r="Y35" s="43"/>
      <c r="Z35" s="44"/>
      <c r="AA35" s="44"/>
      <c r="AB35" s="43"/>
      <c r="AC35" s="43"/>
      <c r="AY35" s="103" t="s">
        <v>159</v>
      </c>
      <c r="AZ35" s="103" t="s">
        <v>409</v>
      </c>
      <c r="BA35" s="103" t="s">
        <v>321</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398</v>
      </c>
      <c r="BA36" s="103" t="s">
        <v>321</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415</v>
      </c>
      <c r="BA37" s="103" t="s">
        <v>321</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321</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321</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321</v>
      </c>
      <c r="BB40" s="10">
        <v>714731</v>
      </c>
      <c r="BF40" s="252"/>
    </row>
    <row r="41" spans="1:58" ht="12.75">
      <c r="A41" s="3"/>
      <c r="B41" s="71"/>
      <c r="C41" s="3"/>
      <c r="T41" s="13"/>
      <c r="U41" s="2"/>
      <c r="W41" s="2"/>
      <c r="X41" s="10"/>
      <c r="Y41" s="44"/>
      <c r="Z41" s="44"/>
      <c r="AA41" s="44"/>
      <c r="AB41" s="44"/>
      <c r="AC41" s="44"/>
      <c r="AD41" s="2"/>
      <c r="AE41" s="2"/>
      <c r="AY41" s="103" t="s">
        <v>272</v>
      </c>
      <c r="AZ41" s="103" t="s">
        <v>442</v>
      </c>
      <c r="BA41" s="103" t="s">
        <v>501</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321</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439</v>
      </c>
      <c r="BA43" s="103" t="s">
        <v>321</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427</v>
      </c>
      <c r="BA44" s="103" t="s">
        <v>321</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321</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418</v>
      </c>
      <c r="BA46" s="103" t="s">
        <v>501</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321</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422</v>
      </c>
      <c r="BA48" s="103" t="s">
        <v>501</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433</v>
      </c>
      <c r="BA49" s="103" t="s">
        <v>501</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321</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399</v>
      </c>
      <c r="BA51" s="103" t="s">
        <v>321</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321</v>
      </c>
      <c r="BB52" s="10">
        <v>611636</v>
      </c>
      <c r="BF52" s="252"/>
    </row>
    <row r="53" spans="1:58" ht="12.75">
      <c r="A53" s="3"/>
      <c r="B53" s="12"/>
      <c r="C53" s="3"/>
      <c r="I53" s="11"/>
      <c r="J53" s="11"/>
      <c r="K53" s="11"/>
      <c r="L53" s="11"/>
      <c r="S53" s="11"/>
      <c r="U53" s="2"/>
      <c r="X53" s="2"/>
      <c r="Y53" s="2"/>
      <c r="Z53" s="2"/>
      <c r="AA53" s="2"/>
      <c r="AB53" s="2"/>
      <c r="AY53" s="103" t="s">
        <v>244</v>
      </c>
      <c r="AZ53" s="103" t="s">
        <v>432</v>
      </c>
      <c r="BA53" s="103" t="s">
        <v>321</v>
      </c>
      <c r="BB53" s="10">
        <v>230998</v>
      </c>
      <c r="BF53" s="252"/>
    </row>
    <row r="54" spans="1:58" ht="12.75">
      <c r="A54" s="3"/>
      <c r="B54" s="12"/>
      <c r="C54" s="3"/>
      <c r="I54" s="11"/>
      <c r="J54" s="11"/>
      <c r="K54" s="11"/>
      <c r="L54" s="11"/>
      <c r="S54" s="11"/>
      <c r="U54" s="2"/>
      <c r="X54" s="2"/>
      <c r="Y54" s="2"/>
      <c r="Z54" s="2"/>
      <c r="AA54" s="2"/>
      <c r="AB54" s="2"/>
      <c r="AY54" s="103" t="s">
        <v>67</v>
      </c>
      <c r="AZ54" s="103" t="s">
        <v>373</v>
      </c>
      <c r="BA54" s="103" t="s">
        <v>321</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419</v>
      </c>
      <c r="BA55" s="103" t="s">
        <v>321</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389</v>
      </c>
      <c r="BA56" s="103" t="s">
        <v>321</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434</v>
      </c>
      <c r="BA57" s="103" t="s">
        <v>321</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379</v>
      </c>
      <c r="BA58" s="103" t="s">
        <v>321</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321</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321</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423</v>
      </c>
      <c r="BA61" s="103" t="s">
        <v>501</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501</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412</v>
      </c>
      <c r="BA63" s="103" t="s">
        <v>321</v>
      </c>
      <c r="BB63" s="10">
        <v>318405</v>
      </c>
      <c r="BE63" s="70"/>
      <c r="BF63" s="239"/>
    </row>
    <row r="64" spans="1:58" ht="12.75">
      <c r="A64" s="3"/>
      <c r="B64" s="12"/>
      <c r="C64" s="3"/>
      <c r="I64" s="11"/>
      <c r="V64" s="3"/>
      <c r="AY64" s="103" t="s">
        <v>78</v>
      </c>
      <c r="AZ64" s="103" t="s">
        <v>380</v>
      </c>
      <c r="BA64" s="103" t="s">
        <v>501</v>
      </c>
      <c r="BB64" s="10">
        <v>181285</v>
      </c>
      <c r="BE64" s="70"/>
      <c r="BF64" s="241"/>
    </row>
    <row r="65" spans="1:58" ht="12.75">
      <c r="A65" s="3"/>
      <c r="B65" s="12"/>
      <c r="C65" s="3"/>
      <c r="AY65" s="103" t="s">
        <v>490</v>
      </c>
      <c r="AZ65" s="103" t="s">
        <v>491</v>
      </c>
      <c r="BA65" s="103" t="s">
        <v>321</v>
      </c>
      <c r="BB65" s="10">
        <v>1169302</v>
      </c>
      <c r="BE65" s="70"/>
      <c r="BF65" s="241"/>
    </row>
    <row r="66" spans="1:58" ht="12.75">
      <c r="A66" s="3"/>
      <c r="B66" s="12"/>
      <c r="C66" s="3"/>
      <c r="E66" s="2"/>
      <c r="F66" s="2"/>
      <c r="G66" s="2"/>
      <c r="V66" s="2"/>
      <c r="AY66" s="103" t="s">
        <v>200</v>
      </c>
      <c r="AZ66" s="103" t="s">
        <v>420</v>
      </c>
      <c r="BA66" s="103" t="s">
        <v>321</v>
      </c>
      <c r="BB66" s="10">
        <v>217916</v>
      </c>
      <c r="BE66" s="70"/>
      <c r="BF66" s="239"/>
    </row>
    <row r="67" spans="1:58" ht="12.75">
      <c r="A67" s="3"/>
      <c r="B67" s="12"/>
      <c r="C67" s="3"/>
      <c r="AY67" s="103" t="s">
        <v>69</v>
      </c>
      <c r="AZ67" s="103" t="s">
        <v>70</v>
      </c>
      <c r="BA67" s="103" t="s">
        <v>321</v>
      </c>
      <c r="BB67" s="10">
        <v>270842</v>
      </c>
      <c r="BE67" s="70"/>
      <c r="BF67" s="239"/>
    </row>
    <row r="68" spans="1:58" ht="12.75">
      <c r="A68" s="3"/>
      <c r="B68" s="12"/>
      <c r="C68" s="3"/>
      <c r="AY68" s="103" t="s">
        <v>109</v>
      </c>
      <c r="AZ68" s="103" t="s">
        <v>110</v>
      </c>
      <c r="BA68" s="103" t="s">
        <v>321</v>
      </c>
      <c r="BB68" s="10">
        <v>251613</v>
      </c>
      <c r="BF68" s="252"/>
    </row>
    <row r="69" spans="1:58" ht="12.75">
      <c r="A69" s="3"/>
      <c r="B69" s="12"/>
      <c r="C69" s="3"/>
      <c r="AY69" s="103" t="s">
        <v>209</v>
      </c>
      <c r="AZ69" s="103" t="s">
        <v>210</v>
      </c>
      <c r="BA69" s="103" t="s">
        <v>321</v>
      </c>
      <c r="BB69" s="10">
        <v>283547</v>
      </c>
      <c r="BE69" s="70"/>
      <c r="BF69" s="241"/>
    </row>
    <row r="70" spans="1:58" ht="12.75">
      <c r="A70" s="3"/>
      <c r="B70" s="12"/>
      <c r="C70" s="3"/>
      <c r="AY70" s="103" t="s">
        <v>275</v>
      </c>
      <c r="AZ70" s="103" t="s">
        <v>443</v>
      </c>
      <c r="BA70" s="103" t="s">
        <v>500</v>
      </c>
      <c r="BB70" s="10">
        <v>141474</v>
      </c>
      <c r="BE70" s="70"/>
      <c r="BF70" s="239"/>
    </row>
    <row r="71" spans="1:58" ht="12.75">
      <c r="A71" s="3"/>
      <c r="B71" s="12"/>
      <c r="C71" s="3"/>
      <c r="AY71" s="103" t="s">
        <v>127</v>
      </c>
      <c r="AZ71" s="103" t="s">
        <v>397</v>
      </c>
      <c r="BA71" s="103" t="s">
        <v>321</v>
      </c>
      <c r="BB71" s="10">
        <v>213326</v>
      </c>
      <c r="BE71" s="70"/>
      <c r="BF71" s="239"/>
    </row>
    <row r="72" spans="1:58" ht="12.75">
      <c r="A72" s="3"/>
      <c r="B72" s="12"/>
      <c r="C72" s="3"/>
      <c r="AY72" s="103" t="s">
        <v>136</v>
      </c>
      <c r="AZ72" s="103" t="s">
        <v>137</v>
      </c>
      <c r="BA72" s="103" t="s">
        <v>321</v>
      </c>
      <c r="BB72" s="10">
        <v>183220</v>
      </c>
      <c r="BE72" s="250"/>
      <c r="BF72" s="239"/>
    </row>
    <row r="73" spans="1:58" ht="12.75">
      <c r="A73" s="3"/>
      <c r="B73" s="12"/>
      <c r="C73" s="3"/>
      <c r="AY73" s="103" t="s">
        <v>64</v>
      </c>
      <c r="AZ73" s="103" t="s">
        <v>372</v>
      </c>
      <c r="BA73" s="103" t="s">
        <v>321</v>
      </c>
      <c r="BB73" s="10">
        <v>190143</v>
      </c>
      <c r="BE73" s="70"/>
      <c r="BF73" s="239"/>
    </row>
    <row r="74" spans="1:58" ht="12.75">
      <c r="A74" s="3"/>
      <c r="B74" s="12"/>
      <c r="C74" s="3"/>
      <c r="AY74" s="103" t="s">
        <v>165</v>
      </c>
      <c r="AZ74" s="103" t="s">
        <v>166</v>
      </c>
      <c r="BA74" s="103" t="s">
        <v>501</v>
      </c>
      <c r="BB74" s="10">
        <v>419928</v>
      </c>
      <c r="BE74" s="70"/>
      <c r="BF74" s="241"/>
    </row>
    <row r="75" spans="1:58" ht="12.75">
      <c r="A75" s="3"/>
      <c r="B75" s="12"/>
      <c r="C75" s="3"/>
      <c r="AY75" s="103" t="s">
        <v>113</v>
      </c>
      <c r="AZ75" s="103" t="s">
        <v>391</v>
      </c>
      <c r="BA75" s="103" t="s">
        <v>321</v>
      </c>
      <c r="BB75" s="10">
        <v>158106</v>
      </c>
      <c r="BE75" s="70"/>
      <c r="BF75" s="241"/>
    </row>
    <row r="76" spans="1:58" ht="12.75">
      <c r="A76" s="3"/>
      <c r="B76" s="12"/>
      <c r="C76" s="3"/>
      <c r="AY76" s="103" t="s">
        <v>140</v>
      </c>
      <c r="AZ76" s="103" t="s">
        <v>141</v>
      </c>
      <c r="BA76" s="103" t="s">
        <v>321</v>
      </c>
      <c r="BB76" s="10">
        <v>377807</v>
      </c>
      <c r="BE76" s="70"/>
      <c r="BF76" s="241"/>
    </row>
    <row r="77" spans="1:58" ht="12.75">
      <c r="A77" s="3"/>
      <c r="B77" s="12"/>
      <c r="C77" s="3"/>
      <c r="AY77" s="103" t="s">
        <v>163</v>
      </c>
      <c r="AZ77" s="103" t="s">
        <v>164</v>
      </c>
      <c r="BA77" s="103" t="s">
        <v>501</v>
      </c>
      <c r="BB77" s="10">
        <v>799634</v>
      </c>
      <c r="BE77" s="70"/>
      <c r="BF77" s="249"/>
    </row>
    <row r="78" spans="1:58" ht="12.75">
      <c r="A78" s="3"/>
      <c r="B78" s="12"/>
      <c r="C78" s="3"/>
      <c r="AY78" s="103" t="s">
        <v>224</v>
      </c>
      <c r="AZ78" s="103" t="s">
        <v>225</v>
      </c>
      <c r="BA78" s="103" t="s">
        <v>321</v>
      </c>
      <c r="BB78" s="10">
        <v>362638</v>
      </c>
      <c r="BE78" s="70"/>
      <c r="BF78" s="239"/>
    </row>
    <row r="79" spans="1:58" ht="12.75">
      <c r="A79" s="3"/>
      <c r="B79" s="12"/>
      <c r="C79" s="3"/>
      <c r="AY79" s="103" t="s">
        <v>223</v>
      </c>
      <c r="AZ79" s="103" t="s">
        <v>425</v>
      </c>
      <c r="BA79" s="103" t="s">
        <v>321</v>
      </c>
      <c r="BB79" s="10">
        <v>678998</v>
      </c>
      <c r="BF79" s="239"/>
    </row>
    <row r="80" spans="1:58" ht="12.75">
      <c r="A80" s="3"/>
      <c r="B80" s="12"/>
      <c r="C80" s="3"/>
      <c r="AY80" s="103" t="s">
        <v>144</v>
      </c>
      <c r="AZ80" s="103" t="s">
        <v>145</v>
      </c>
      <c r="BA80" s="103" t="s">
        <v>321</v>
      </c>
      <c r="BB80" s="10">
        <v>290986</v>
      </c>
      <c r="BF80" s="252"/>
    </row>
    <row r="81" spans="1:58" ht="12.75">
      <c r="A81" s="3"/>
      <c r="B81" s="12"/>
      <c r="C81" s="3"/>
      <c r="AY81" s="103" t="s">
        <v>178</v>
      </c>
      <c r="AZ81" s="103" t="s">
        <v>414</v>
      </c>
      <c r="BA81" s="103" t="s">
        <v>501</v>
      </c>
      <c r="BB81" s="10">
        <v>747976</v>
      </c>
      <c r="BF81" s="252"/>
    </row>
    <row r="82" spans="1:58" ht="12.75">
      <c r="A82" s="3"/>
      <c r="B82" s="12"/>
      <c r="C82" s="3"/>
      <c r="AY82" s="103" t="s">
        <v>193</v>
      </c>
      <c r="AZ82" s="103" t="s">
        <v>194</v>
      </c>
      <c r="BA82" s="103" t="s">
        <v>321</v>
      </c>
      <c r="BB82" s="10">
        <v>489140</v>
      </c>
      <c r="BF82" s="252"/>
    </row>
    <row r="83" spans="1:58" ht="12.75">
      <c r="A83" s="3"/>
      <c r="B83" s="12"/>
      <c r="C83" s="3"/>
      <c r="AY83" s="103" t="s">
        <v>98</v>
      </c>
      <c r="AZ83" s="103" t="s">
        <v>388</v>
      </c>
      <c r="BA83" s="103" t="s">
        <v>501</v>
      </c>
      <c r="BB83" s="10">
        <v>208442</v>
      </c>
      <c r="BE83" s="70"/>
      <c r="BF83" s="241"/>
    </row>
    <row r="84" spans="1:58" ht="12.75">
      <c r="A84" s="3"/>
      <c r="B84" s="12"/>
      <c r="C84" s="3"/>
      <c r="AY84" s="103" t="s">
        <v>203</v>
      </c>
      <c r="AZ84" s="103" t="s">
        <v>204</v>
      </c>
      <c r="BA84" s="103" t="s">
        <v>501</v>
      </c>
      <c r="BB84" s="10">
        <v>545543</v>
      </c>
      <c r="BE84" s="70"/>
      <c r="BF84" s="241"/>
    </row>
    <row r="85" spans="1:58" ht="12.75">
      <c r="A85" s="3"/>
      <c r="B85" s="12"/>
      <c r="C85" s="3"/>
      <c r="AY85" s="103" t="s">
        <v>135</v>
      </c>
      <c r="AZ85" s="103" t="s">
        <v>403</v>
      </c>
      <c r="BA85" s="103" t="s">
        <v>501</v>
      </c>
      <c r="BB85" s="10">
        <v>274067</v>
      </c>
      <c r="BE85" s="70"/>
      <c r="BF85" s="241"/>
    </row>
    <row r="86" spans="1:58" ht="12.75">
      <c r="A86" s="3"/>
      <c r="B86" s="12"/>
      <c r="C86" s="3"/>
      <c r="AY86" s="103" t="s">
        <v>251</v>
      </c>
      <c r="AZ86" s="103" t="s">
        <v>252</v>
      </c>
      <c r="BA86" s="103" t="s">
        <v>501</v>
      </c>
      <c r="BB86" s="10">
        <v>374861</v>
      </c>
      <c r="BE86" s="70"/>
      <c r="BF86" s="249"/>
    </row>
    <row r="87" spans="1:58" ht="12.75">
      <c r="A87" s="3"/>
      <c r="B87" s="12"/>
      <c r="C87" s="3"/>
      <c r="AY87" s="103" t="s">
        <v>132</v>
      </c>
      <c r="AZ87" s="103" t="s">
        <v>133</v>
      </c>
      <c r="BA87" s="103" t="s">
        <v>321</v>
      </c>
      <c r="BB87" s="10">
        <v>153833</v>
      </c>
      <c r="BE87" s="70"/>
      <c r="BF87" s="249"/>
    </row>
    <row r="88" spans="1:58" ht="12.75">
      <c r="A88" s="3"/>
      <c r="B88" s="12"/>
      <c r="C88" s="3"/>
      <c r="AY88" s="103" t="s">
        <v>79</v>
      </c>
      <c r="AZ88" s="103" t="s">
        <v>80</v>
      </c>
      <c r="BA88" s="103" t="s">
        <v>501</v>
      </c>
      <c r="BB88" s="10">
        <v>258492</v>
      </c>
      <c r="BE88" s="70"/>
      <c r="BF88" s="241"/>
    </row>
    <row r="89" spans="1:58" ht="12.75">
      <c r="A89" s="3"/>
      <c r="B89" s="12"/>
      <c r="C89" s="3"/>
      <c r="AY89" s="103" t="s">
        <v>81</v>
      </c>
      <c r="AZ89" s="103" t="s">
        <v>381</v>
      </c>
      <c r="BA89" s="103" t="s">
        <v>321</v>
      </c>
      <c r="BB89" s="10">
        <v>283085</v>
      </c>
      <c r="BE89" s="70"/>
      <c r="BF89" s="241"/>
    </row>
    <row r="90" spans="1:58" ht="12.75">
      <c r="A90" s="3"/>
      <c r="B90" s="12"/>
      <c r="C90" s="3"/>
      <c r="AY90" s="103" t="s">
        <v>76</v>
      </c>
      <c r="AZ90" s="103" t="s">
        <v>378</v>
      </c>
      <c r="BA90" s="103" t="s">
        <v>321</v>
      </c>
      <c r="BB90" s="10">
        <v>357346</v>
      </c>
      <c r="BE90" s="70"/>
      <c r="BF90" s="241"/>
    </row>
    <row r="91" spans="1:58" ht="12.75">
      <c r="A91" s="3"/>
      <c r="B91" s="12"/>
      <c r="C91" s="3"/>
      <c r="AY91" s="103" t="s">
        <v>243</v>
      </c>
      <c r="AZ91" s="103" t="s">
        <v>431</v>
      </c>
      <c r="BA91" s="103" t="s">
        <v>501</v>
      </c>
      <c r="BB91" s="10">
        <v>748575</v>
      </c>
      <c r="BE91" s="247"/>
      <c r="BF91" s="249"/>
    </row>
    <row r="92" spans="1:58" ht="12.75">
      <c r="A92" s="3"/>
      <c r="B92" s="12"/>
      <c r="C92" s="3"/>
      <c r="AY92" s="103" t="s">
        <v>249</v>
      </c>
      <c r="AZ92" s="103" t="s">
        <v>250</v>
      </c>
      <c r="BA92" s="103" t="s">
        <v>501</v>
      </c>
      <c r="BB92" s="10">
        <v>322673</v>
      </c>
      <c r="BE92" s="247"/>
      <c r="BF92" s="249"/>
    </row>
    <row r="93" spans="1:58" ht="12.75">
      <c r="A93" s="3"/>
      <c r="B93" s="12"/>
      <c r="C93" s="3"/>
      <c r="AY93" s="103" t="s">
        <v>58</v>
      </c>
      <c r="AZ93" s="103" t="s">
        <v>59</v>
      </c>
      <c r="BA93" s="103" t="s">
        <v>321</v>
      </c>
      <c r="BB93" s="10">
        <v>165284</v>
      </c>
      <c r="BF93" s="252"/>
    </row>
    <row r="94" spans="1:58" ht="12.75">
      <c r="A94" s="3"/>
      <c r="B94" s="12"/>
      <c r="C94" s="3"/>
      <c r="AY94" s="103" t="s">
        <v>186</v>
      </c>
      <c r="AZ94" s="103" t="s">
        <v>416</v>
      </c>
      <c r="BA94" s="103" t="s">
        <v>321</v>
      </c>
      <c r="BB94" s="10">
        <v>339272</v>
      </c>
      <c r="BE94" s="70"/>
      <c r="BF94" s="241"/>
    </row>
    <row r="95" spans="1:58" ht="12.75">
      <c r="A95" s="3"/>
      <c r="B95" s="12"/>
      <c r="C95" s="3"/>
      <c r="AY95" s="103" t="s">
        <v>86</v>
      </c>
      <c r="AZ95" s="103" t="s">
        <v>87</v>
      </c>
      <c r="BA95" s="103" t="s">
        <v>321</v>
      </c>
      <c r="BB95" s="10">
        <v>165642</v>
      </c>
      <c r="BE95" s="247"/>
      <c r="BF95" s="249"/>
    </row>
    <row r="96" spans="1:58" ht="12.75">
      <c r="A96" s="3"/>
      <c r="B96" s="12"/>
      <c r="C96" s="3"/>
      <c r="AY96" s="103" t="s">
        <v>157</v>
      </c>
      <c r="AZ96" s="103" t="s">
        <v>158</v>
      </c>
      <c r="BA96" s="103" t="s">
        <v>321</v>
      </c>
      <c r="BB96" s="10">
        <v>208351</v>
      </c>
      <c r="BE96" s="243"/>
      <c r="BF96" s="238"/>
    </row>
    <row r="97" spans="1:58" ht="12.75">
      <c r="A97" s="3"/>
      <c r="B97" s="12"/>
      <c r="C97" s="3"/>
      <c r="AY97" s="103" t="s">
        <v>231</v>
      </c>
      <c r="AZ97" s="103" t="s">
        <v>232</v>
      </c>
      <c r="BA97" s="103" t="s">
        <v>321</v>
      </c>
      <c r="BB97" s="10">
        <v>203178</v>
      </c>
      <c r="BE97" s="243"/>
      <c r="BF97" s="238"/>
    </row>
    <row r="98" spans="1:58" ht="12.75">
      <c r="A98" s="3"/>
      <c r="B98" s="12"/>
      <c r="C98" s="3"/>
      <c r="AY98" s="103" t="s">
        <v>82</v>
      </c>
      <c r="AZ98" s="103" t="s">
        <v>382</v>
      </c>
      <c r="BA98" s="103" t="s">
        <v>321</v>
      </c>
      <c r="BB98" s="10">
        <v>214052</v>
      </c>
      <c r="BE98" s="248"/>
      <c r="BF98" s="241"/>
    </row>
    <row r="99" spans="1:58" ht="12.75">
      <c r="A99" s="3"/>
      <c r="B99" s="12"/>
      <c r="C99" s="3"/>
      <c r="AY99" s="103" t="s">
        <v>205</v>
      </c>
      <c r="AZ99" s="103" t="s">
        <v>206</v>
      </c>
      <c r="BA99" s="103" t="s">
        <v>501</v>
      </c>
      <c r="BB99" s="10">
        <v>795503</v>
      </c>
      <c r="BE99" s="70"/>
      <c r="BF99" s="249"/>
    </row>
    <row r="100" spans="1:58" ht="12.75">
      <c r="A100" s="3"/>
      <c r="B100" s="12"/>
      <c r="C100" s="3"/>
      <c r="AY100" s="103" t="s">
        <v>226</v>
      </c>
      <c r="AZ100" s="103" t="s">
        <v>426</v>
      </c>
      <c r="BA100" s="103" t="s">
        <v>321</v>
      </c>
      <c r="BB100" s="10">
        <v>648340</v>
      </c>
      <c r="BE100" s="70"/>
      <c r="BF100" s="249"/>
    </row>
    <row r="101" spans="51:58" ht="12.75">
      <c r="AY101" s="103" t="s">
        <v>51</v>
      </c>
      <c r="AZ101" s="103" t="s">
        <v>52</v>
      </c>
      <c r="BA101" s="103" t="s">
        <v>321</v>
      </c>
      <c r="BB101" s="10">
        <v>320818</v>
      </c>
      <c r="BE101" s="237"/>
      <c r="BF101" s="238"/>
    </row>
    <row r="102" spans="51:58" ht="12.75">
      <c r="AY102" s="103" t="s">
        <v>88</v>
      </c>
      <c r="AZ102" s="103" t="s">
        <v>89</v>
      </c>
      <c r="BA102" s="103" t="s">
        <v>321</v>
      </c>
      <c r="BB102" s="10">
        <v>339920</v>
      </c>
      <c r="BE102" s="237"/>
      <c r="BF102" s="238"/>
    </row>
    <row r="103" spans="51:58" ht="12.75">
      <c r="AY103" s="103" t="s">
        <v>177</v>
      </c>
      <c r="AZ103" s="103" t="s">
        <v>413</v>
      </c>
      <c r="BA103" s="103" t="s">
        <v>321</v>
      </c>
      <c r="BB103" s="10">
        <v>656875</v>
      </c>
      <c r="BE103" s="70"/>
      <c r="BF103" s="239"/>
    </row>
    <row r="104" spans="51:58" ht="12.75">
      <c r="AY104" s="103" t="s">
        <v>114</v>
      </c>
      <c r="AZ104" s="103" t="s">
        <v>392</v>
      </c>
      <c r="BA104" s="103" t="s">
        <v>321</v>
      </c>
      <c r="BB104" s="10">
        <v>236592</v>
      </c>
      <c r="BF104" s="252"/>
    </row>
    <row r="105" spans="51:58" ht="12.75">
      <c r="AY105" s="103" t="s">
        <v>259</v>
      </c>
      <c r="AZ105" s="103" t="s">
        <v>435</v>
      </c>
      <c r="BA105" s="103" t="s">
        <v>501</v>
      </c>
      <c r="BB105" s="10">
        <v>671572</v>
      </c>
      <c r="BE105" s="237"/>
      <c r="BF105" s="238"/>
    </row>
    <row r="106" spans="51:58" ht="12.75">
      <c r="AY106" s="103" t="s">
        <v>239</v>
      </c>
      <c r="AZ106" s="103" t="s">
        <v>240</v>
      </c>
      <c r="BA106" s="103" t="s">
        <v>501</v>
      </c>
      <c r="BB106" s="10">
        <v>177882</v>
      </c>
      <c r="BF106" s="252"/>
    </row>
    <row r="107" spans="51:58" ht="12.75">
      <c r="AY107" s="103" t="s">
        <v>91</v>
      </c>
      <c r="AZ107" s="103" t="s">
        <v>385</v>
      </c>
      <c r="BA107" s="103" t="s">
        <v>321</v>
      </c>
      <c r="BB107" s="10">
        <v>274443</v>
      </c>
      <c r="BF107" s="252"/>
    </row>
    <row r="108" spans="51:58" ht="12.75">
      <c r="AY108" s="103" t="s">
        <v>95</v>
      </c>
      <c r="AZ108" s="103" t="s">
        <v>387</v>
      </c>
      <c r="BA108" s="103" t="s">
        <v>321</v>
      </c>
      <c r="BB108" s="10">
        <v>213174</v>
      </c>
      <c r="BE108" s="70"/>
      <c r="BF108" s="239"/>
    </row>
    <row r="109" spans="51:58" ht="12.75">
      <c r="AY109" s="103" t="s">
        <v>179</v>
      </c>
      <c r="AZ109" s="103" t="s">
        <v>180</v>
      </c>
      <c r="BA109" s="103" t="s">
        <v>321</v>
      </c>
      <c r="BB109" s="10">
        <v>278950</v>
      </c>
      <c r="BE109" s="237"/>
      <c r="BF109" s="238"/>
    </row>
    <row r="110" spans="51:58" ht="12.75">
      <c r="AY110" s="103" t="s">
        <v>273</v>
      </c>
      <c r="AZ110" s="103" t="s">
        <v>274</v>
      </c>
      <c r="BA110" s="103" t="s">
        <v>321</v>
      </c>
      <c r="BB110" s="10">
        <v>133304</v>
      </c>
      <c r="BE110" s="70"/>
      <c r="BF110" s="249"/>
    </row>
    <row r="111" spans="51:58" ht="12.75">
      <c r="AY111" s="103" t="s">
        <v>155</v>
      </c>
      <c r="AZ111" s="103" t="s">
        <v>407</v>
      </c>
      <c r="BA111" s="103" t="s">
        <v>321</v>
      </c>
      <c r="BB111" s="10">
        <v>197060</v>
      </c>
      <c r="BE111" s="70"/>
      <c r="BF111" s="239"/>
    </row>
    <row r="112" spans="51:58" ht="12.75">
      <c r="AY112" s="103" t="s">
        <v>100</v>
      </c>
      <c r="AZ112" s="103" t="s">
        <v>101</v>
      </c>
      <c r="BA112" s="103" t="s">
        <v>321</v>
      </c>
      <c r="BB112" s="10">
        <v>253140</v>
      </c>
      <c r="BE112" s="250"/>
      <c r="BF112" s="249"/>
    </row>
    <row r="113" spans="51:58" ht="12.75">
      <c r="AY113" s="103" t="s">
        <v>92</v>
      </c>
      <c r="AZ113" s="103" t="s">
        <v>93</v>
      </c>
      <c r="BA113" s="103" t="s">
        <v>321</v>
      </c>
      <c r="BB113" s="10">
        <v>240983</v>
      </c>
      <c r="BE113" s="70"/>
      <c r="BF113" s="241"/>
    </row>
    <row r="114" spans="51:58" ht="12.75">
      <c r="AY114" s="103" t="s">
        <v>228</v>
      </c>
      <c r="AZ114" s="103" t="s">
        <v>428</v>
      </c>
      <c r="BA114" s="103" t="s">
        <v>321</v>
      </c>
      <c r="BB114" s="10">
        <v>340451</v>
      </c>
      <c r="BF114" s="241"/>
    </row>
    <row r="115" spans="51:58" ht="12.75">
      <c r="AY115" s="103" t="s">
        <v>189</v>
      </c>
      <c r="AZ115" s="103" t="s">
        <v>190</v>
      </c>
      <c r="BA115" s="103" t="s">
        <v>321</v>
      </c>
      <c r="BB115" s="10">
        <v>280673</v>
      </c>
      <c r="BE115" s="248"/>
      <c r="BF115" s="241"/>
    </row>
    <row r="116" spans="51:58" ht="12.75">
      <c r="AY116" s="103" t="s">
        <v>169</v>
      </c>
      <c r="AZ116" s="103" t="s">
        <v>170</v>
      </c>
      <c r="BA116" s="103" t="s">
        <v>321</v>
      </c>
      <c r="BB116" s="10">
        <v>565874</v>
      </c>
      <c r="BE116" s="70"/>
      <c r="BF116" s="239"/>
    </row>
    <row r="117" spans="51:58" ht="12.75">
      <c r="AY117" s="103" t="s">
        <v>152</v>
      </c>
      <c r="AZ117" s="103" t="s">
        <v>406</v>
      </c>
      <c r="BA117" s="103" t="s">
        <v>501</v>
      </c>
      <c r="BB117" s="10">
        <v>295379</v>
      </c>
      <c r="BE117" s="237"/>
      <c r="BF117" s="238"/>
    </row>
    <row r="118" spans="51:58" ht="12.75">
      <c r="AY118" s="103" t="s">
        <v>56</v>
      </c>
      <c r="AZ118" s="103" t="s">
        <v>57</v>
      </c>
      <c r="BA118" s="103" t="s">
        <v>321</v>
      </c>
      <c r="BB118" s="10">
        <v>217094</v>
      </c>
      <c r="BE118" s="70"/>
      <c r="BF118" s="239"/>
    </row>
    <row r="119" spans="51:58" ht="12.75">
      <c r="AY119" s="103" t="s">
        <v>268</v>
      </c>
      <c r="AZ119" s="103" t="s">
        <v>438</v>
      </c>
      <c r="BA119" s="103" t="s">
        <v>321</v>
      </c>
      <c r="BB119" s="10">
        <v>538131</v>
      </c>
      <c r="BE119" s="70"/>
      <c r="BF119" s="239"/>
    </row>
    <row r="120" spans="51:58" ht="12.75">
      <c r="AY120" s="103" t="s">
        <v>150</v>
      </c>
      <c r="AZ120" s="103" t="s">
        <v>151</v>
      </c>
      <c r="BA120" s="103" t="s">
        <v>501</v>
      </c>
      <c r="BB120" s="10">
        <v>389725</v>
      </c>
      <c r="BE120" s="70"/>
      <c r="BF120" s="239"/>
    </row>
    <row r="121" spans="51:58" ht="12.75">
      <c r="AY121" s="103" t="s">
        <v>212</v>
      </c>
      <c r="AZ121" s="103" t="s">
        <v>213</v>
      </c>
      <c r="BA121" s="103" t="s">
        <v>501</v>
      </c>
      <c r="BB121" s="10">
        <v>356812</v>
      </c>
      <c r="BE121" s="237"/>
      <c r="BF121" s="238"/>
    </row>
    <row r="122" spans="51:58" ht="12.75">
      <c r="AY122" s="103" t="s">
        <v>60</v>
      </c>
      <c r="AZ122" s="103" t="s">
        <v>61</v>
      </c>
      <c r="BA122" s="103" t="s">
        <v>321</v>
      </c>
      <c r="BB122" s="10">
        <v>256321</v>
      </c>
      <c r="BE122" s="70"/>
      <c r="BF122" s="249"/>
    </row>
    <row r="123" spans="51:58" ht="12.75">
      <c r="AY123" s="103" t="s">
        <v>234</v>
      </c>
      <c r="AZ123" s="103" t="s">
        <v>430</v>
      </c>
      <c r="BA123" s="103" t="s">
        <v>501</v>
      </c>
      <c r="BB123" s="10">
        <v>615835</v>
      </c>
      <c r="BF123" s="252"/>
    </row>
    <row r="124" spans="51:58" ht="12.75">
      <c r="AY124" s="103" t="s">
        <v>130</v>
      </c>
      <c r="AZ124" s="103" t="s">
        <v>400</v>
      </c>
      <c r="BA124" s="103" t="s">
        <v>321</v>
      </c>
      <c r="BB124" s="10">
        <v>150179</v>
      </c>
      <c r="BF124" s="252"/>
    </row>
    <row r="125" spans="51:58" ht="12.75">
      <c r="AY125" s="103" t="s">
        <v>253</v>
      </c>
      <c r="AZ125" s="103" t="s">
        <v>254</v>
      </c>
      <c r="BA125" s="103" t="s">
        <v>321</v>
      </c>
      <c r="BB125" s="10">
        <v>420503</v>
      </c>
      <c r="BE125" s="70"/>
      <c r="BF125" s="249"/>
    </row>
    <row r="126" spans="51:58" ht="12.75">
      <c r="AY126" s="103" t="s">
        <v>134</v>
      </c>
      <c r="AZ126" s="103" t="s">
        <v>402</v>
      </c>
      <c r="BA126" s="103" t="s">
        <v>321</v>
      </c>
      <c r="BB126" s="10">
        <v>263936</v>
      </c>
      <c r="BE126" s="70"/>
      <c r="BF126" s="239"/>
    </row>
    <row r="127" spans="51:58" ht="12.75">
      <c r="AY127" s="103" t="s">
        <v>142</v>
      </c>
      <c r="AZ127" s="103" t="s">
        <v>143</v>
      </c>
      <c r="BA127" s="103" t="s">
        <v>321</v>
      </c>
      <c r="BB127" s="10">
        <v>308593</v>
      </c>
      <c r="BF127" s="252"/>
    </row>
    <row r="128" spans="51:58" ht="12.75">
      <c r="AY128" s="103" t="s">
        <v>94</v>
      </c>
      <c r="AZ128" s="103" t="s">
        <v>386</v>
      </c>
      <c r="BA128" s="103" t="s">
        <v>501</v>
      </c>
      <c r="BB128" s="10">
        <v>298190</v>
      </c>
      <c r="BE128" s="250"/>
      <c r="BF128" s="249"/>
    </row>
    <row r="129" spans="51:58" ht="12.75">
      <c r="AY129" s="103" t="s">
        <v>85</v>
      </c>
      <c r="AZ129" s="103" t="s">
        <v>383</v>
      </c>
      <c r="BA129" s="103" t="s">
        <v>321</v>
      </c>
      <c r="BB129" s="10">
        <v>191885</v>
      </c>
      <c r="BE129" s="70"/>
      <c r="BF129" s="249"/>
    </row>
    <row r="130" spans="51:58" ht="12.75">
      <c r="AY130" s="103" t="s">
        <v>233</v>
      </c>
      <c r="AZ130" s="103" t="s">
        <v>429</v>
      </c>
      <c r="BA130" s="103" t="s">
        <v>321</v>
      </c>
      <c r="BB130" s="10">
        <v>268223</v>
      </c>
      <c r="BE130" s="70"/>
      <c r="BF130" s="249"/>
    </row>
    <row r="131" spans="51:58" ht="12.75">
      <c r="AY131" s="103" t="s">
        <v>245</v>
      </c>
      <c r="AZ131" s="103" t="s">
        <v>246</v>
      </c>
      <c r="BA131" s="103" t="s">
        <v>501</v>
      </c>
      <c r="BB131" s="10">
        <v>616983</v>
      </c>
      <c r="BE131" s="247"/>
      <c r="BF131" s="249"/>
    </row>
    <row r="132" spans="51:58" ht="12.75">
      <c r="AY132" s="103" t="s">
        <v>131</v>
      </c>
      <c r="AZ132" s="103" t="s">
        <v>401</v>
      </c>
      <c r="BA132" s="103" t="s">
        <v>321</v>
      </c>
      <c r="BB132" s="10">
        <v>283991</v>
      </c>
      <c r="BE132" s="247"/>
      <c r="BF132" s="249"/>
    </row>
    <row r="133" spans="51:58" ht="12.75">
      <c r="AY133" s="103" t="s">
        <v>216</v>
      </c>
      <c r="AZ133" s="103" t="s">
        <v>217</v>
      </c>
      <c r="BA133" s="103" t="s">
        <v>321</v>
      </c>
      <c r="BB133" s="10">
        <v>1156805</v>
      </c>
      <c r="BE133" s="247"/>
      <c r="BF133" s="251"/>
    </row>
    <row r="134" spans="51:58" ht="12.75">
      <c r="AY134" s="103" t="s">
        <v>156</v>
      </c>
      <c r="AZ134" s="103" t="s">
        <v>408</v>
      </c>
      <c r="BA134" s="103" t="s">
        <v>321</v>
      </c>
      <c r="BB134" s="10">
        <v>390971</v>
      </c>
      <c r="BE134" s="243"/>
      <c r="BF134" s="238"/>
    </row>
    <row r="135" spans="51:58" ht="12.75">
      <c r="AY135" s="103" t="s">
        <v>121</v>
      </c>
      <c r="AZ135" s="103" t="s">
        <v>122</v>
      </c>
      <c r="BA135" s="103" t="s">
        <v>500</v>
      </c>
      <c r="BB135" s="10">
        <v>218182</v>
      </c>
      <c r="BE135" s="250"/>
      <c r="BF135" s="249"/>
    </row>
    <row r="136" spans="51:58" ht="12.75">
      <c r="AY136" s="103" t="s">
        <v>148</v>
      </c>
      <c r="AZ136" s="103" t="s">
        <v>404</v>
      </c>
      <c r="BA136" s="103" t="s">
        <v>501</v>
      </c>
      <c r="BB136" s="10">
        <v>236598</v>
      </c>
      <c r="BE136" s="237"/>
      <c r="BF136" s="238"/>
    </row>
    <row r="137" spans="51:58" ht="12.75">
      <c r="AY137" s="103" t="s">
        <v>160</v>
      </c>
      <c r="AZ137" s="103" t="s">
        <v>410</v>
      </c>
      <c r="BA137" s="103" t="s">
        <v>501</v>
      </c>
      <c r="BB137" s="10">
        <v>165993</v>
      </c>
      <c r="BF137" s="252"/>
    </row>
    <row r="138" spans="51:58" ht="12.75">
      <c r="AY138" s="103" t="s">
        <v>54</v>
      </c>
      <c r="AZ138" s="103" t="s">
        <v>55</v>
      </c>
      <c r="BA138" s="103" t="s">
        <v>321</v>
      </c>
      <c r="BB138" s="10">
        <v>145889</v>
      </c>
      <c r="BE138" s="70"/>
      <c r="BF138" s="239"/>
    </row>
    <row r="139" spans="51:58" ht="12.75">
      <c r="AY139" s="103" t="s">
        <v>75</v>
      </c>
      <c r="AZ139" s="103" t="s">
        <v>377</v>
      </c>
      <c r="BA139" s="103" t="s">
        <v>321</v>
      </c>
      <c r="BB139" s="10">
        <v>267393</v>
      </c>
      <c r="BE139" s="237"/>
      <c r="BF139" s="238"/>
    </row>
    <row r="140" spans="51:58" ht="12.75">
      <c r="AY140" s="103" t="s">
        <v>201</v>
      </c>
      <c r="AZ140" s="103" t="s">
        <v>202</v>
      </c>
      <c r="BA140" s="103" t="s">
        <v>501</v>
      </c>
      <c r="BB140" s="10">
        <v>232551</v>
      </c>
      <c r="BE140" s="70"/>
      <c r="BF140" s="239"/>
    </row>
    <row r="141" spans="51:58" ht="12.75">
      <c r="AY141" s="103" t="s">
        <v>167</v>
      </c>
      <c r="AZ141" s="103" t="s">
        <v>168</v>
      </c>
      <c r="BA141" s="103" t="s">
        <v>501</v>
      </c>
      <c r="BB141" s="10">
        <v>350958</v>
      </c>
      <c r="BE141" s="70"/>
      <c r="BF141" s="239"/>
    </row>
    <row r="142" spans="51:58" ht="12.75">
      <c r="AY142" s="103" t="s">
        <v>153</v>
      </c>
      <c r="AZ142" s="103" t="s">
        <v>154</v>
      </c>
      <c r="BA142" s="103" t="s">
        <v>321</v>
      </c>
      <c r="BB142" s="10">
        <v>265654</v>
      </c>
      <c r="BE142" s="70"/>
      <c r="BF142" s="241"/>
    </row>
    <row r="143" spans="51:58" ht="12.75">
      <c r="AY143" s="103" t="s">
        <v>181</v>
      </c>
      <c r="AZ143" s="103" t="s">
        <v>182</v>
      </c>
      <c r="BA143" s="103" t="s">
        <v>321</v>
      </c>
      <c r="BB143" s="10">
        <v>284466</v>
      </c>
      <c r="BE143" s="70"/>
      <c r="BF143" s="249"/>
    </row>
    <row r="144" spans="51:58" ht="12.75">
      <c r="AY144" s="103" t="s">
        <v>146</v>
      </c>
      <c r="AZ144" s="103" t="s">
        <v>147</v>
      </c>
      <c r="BA144" s="103" t="s">
        <v>321</v>
      </c>
      <c r="BB144" s="10">
        <v>319933</v>
      </c>
      <c r="BE144" s="70"/>
      <c r="BF144" s="241"/>
    </row>
    <row r="145" spans="51:58" ht="12.75">
      <c r="AY145" s="103" t="s">
        <v>111</v>
      </c>
      <c r="AZ145" s="103" t="s">
        <v>112</v>
      </c>
      <c r="BA145" s="103" t="s">
        <v>321</v>
      </c>
      <c r="BB145" s="10">
        <v>192336</v>
      </c>
      <c r="BE145" s="248"/>
      <c r="BF145" s="249"/>
    </row>
    <row r="146" spans="51:58" ht="12.75">
      <c r="AY146" s="103" t="s">
        <v>237</v>
      </c>
      <c r="AZ146" s="103" t="s">
        <v>238</v>
      </c>
      <c r="BA146" s="103" t="s">
        <v>321</v>
      </c>
      <c r="BB146" s="10">
        <v>548313</v>
      </c>
      <c r="BF146" s="252"/>
    </row>
    <row r="147" spans="51:58" ht="12.75">
      <c r="AY147" s="103" t="s">
        <v>247</v>
      </c>
      <c r="AZ147" s="103" t="s">
        <v>248</v>
      </c>
      <c r="BA147" s="103" t="s">
        <v>321</v>
      </c>
      <c r="BB147" s="10">
        <v>287229</v>
      </c>
      <c r="BF147" s="252"/>
    </row>
    <row r="148" spans="51:58" ht="12.75">
      <c r="AY148" s="103" t="s">
        <v>222</v>
      </c>
      <c r="AZ148" s="103" t="s">
        <v>424</v>
      </c>
      <c r="BA148" s="103" t="s">
        <v>501</v>
      </c>
      <c r="BB148" s="10">
        <v>707573</v>
      </c>
      <c r="BF148" s="252"/>
    </row>
    <row r="149" spans="51:58" ht="12.75">
      <c r="AY149" s="103" t="s">
        <v>218</v>
      </c>
      <c r="AZ149" s="103" t="s">
        <v>219</v>
      </c>
      <c r="BA149" s="103" t="s">
        <v>501</v>
      </c>
      <c r="BB149" s="10">
        <v>825533</v>
      </c>
      <c r="BE149" s="248"/>
      <c r="BF149" s="249"/>
    </row>
    <row r="150" spans="51:58" ht="12.75">
      <c r="AY150" s="103" t="s">
        <v>196</v>
      </c>
      <c r="AZ150" s="103" t="s">
        <v>197</v>
      </c>
      <c r="BA150" s="103" t="s">
        <v>321</v>
      </c>
      <c r="BB150" s="10">
        <v>259945</v>
      </c>
      <c r="BF150" s="252"/>
    </row>
    <row r="151" spans="51:58" ht="12.75">
      <c r="AY151" s="103" t="s">
        <v>138</v>
      </c>
      <c r="AZ151" s="103" t="s">
        <v>139</v>
      </c>
      <c r="BA151" s="103" t="s">
        <v>321</v>
      </c>
      <c r="BB151" s="10">
        <v>246573</v>
      </c>
      <c r="BF151" s="252"/>
    </row>
    <row r="152" spans="51:58" ht="12.75">
      <c r="AY152" s="103" t="s">
        <v>266</v>
      </c>
      <c r="AZ152" s="103" t="s">
        <v>267</v>
      </c>
      <c r="BA152" s="103" t="s">
        <v>501</v>
      </c>
      <c r="BB152" s="10">
        <v>462395</v>
      </c>
      <c r="BE152" s="250"/>
      <c r="BF152" s="239"/>
    </row>
    <row r="153" spans="51:58" ht="12.75">
      <c r="AY153" s="103" t="s">
        <v>191</v>
      </c>
      <c r="AZ153" s="103" t="s">
        <v>192</v>
      </c>
      <c r="BA153" s="103" t="s">
        <v>321</v>
      </c>
      <c r="BB153" s="10">
        <v>332176</v>
      </c>
      <c r="BF153" s="252"/>
    </row>
    <row r="154" spans="51:58" ht="12.75">
      <c r="AY154" s="103" t="s">
        <v>161</v>
      </c>
      <c r="AZ154" s="103" t="s">
        <v>411</v>
      </c>
      <c r="BA154" s="103" t="s">
        <v>321</v>
      </c>
      <c r="BB154" s="10">
        <v>246213</v>
      </c>
      <c r="BE154" s="237"/>
      <c r="BF154" s="238"/>
    </row>
    <row r="155" spans="51:58" ht="12.75">
      <c r="AY155" s="103" t="s">
        <v>235</v>
      </c>
      <c r="AZ155" s="103" t="s">
        <v>236</v>
      </c>
      <c r="BA155" s="103" t="s">
        <v>501</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546</v>
      </c>
      <c r="B3" s="56" t="s">
        <v>208</v>
      </c>
      <c r="C3" s="56" t="s">
        <v>24</v>
      </c>
    </row>
    <row r="4" spans="1:2" ht="12.75">
      <c r="A4" s="76">
        <v>1</v>
      </c>
      <c r="B4" s="78" t="s">
        <v>207</v>
      </c>
    </row>
    <row r="5" ht="12.75">
      <c r="A5" s="280" t="s">
        <v>546</v>
      </c>
    </row>
    <row r="6" ht="12.75">
      <c r="A6" s="280" t="s">
        <v>543</v>
      </c>
    </row>
    <row r="7" ht="12.75">
      <c r="A7" s="280" t="s">
        <v>544</v>
      </c>
    </row>
    <row r="8" ht="12.75">
      <c r="A8" s="280" t="s">
        <v>548</v>
      </c>
    </row>
    <row r="9" ht="12.75">
      <c r="A9" s="280" t="s">
        <v>545</v>
      </c>
    </row>
    <row r="10" ht="12.75">
      <c r="A10" s="280" t="s">
        <v>547</v>
      </c>
    </row>
    <row r="11" ht="12.75">
      <c r="A11" s="280" t="s">
        <v>549</v>
      </c>
    </row>
    <row r="12" ht="12.75">
      <c r="A12" s="280" t="s">
        <v>519</v>
      </c>
    </row>
    <row r="13" ht="12.75">
      <c r="A13" s="280" t="s">
        <v>552</v>
      </c>
    </row>
    <row r="14" ht="12.75">
      <c r="A14" s="280" t="s">
        <v>518</v>
      </c>
    </row>
    <row r="15" ht="12.75">
      <c r="A15" s="280" t="s">
        <v>521</v>
      </c>
    </row>
    <row r="16" ht="12.75">
      <c r="A16" s="280" t="s">
        <v>530</v>
      </c>
    </row>
    <row r="17" ht="12.75">
      <c r="A17" s="280" t="s">
        <v>524</v>
      </c>
    </row>
    <row r="18" ht="12.75">
      <c r="A18" s="280" t="s">
        <v>523</v>
      </c>
    </row>
    <row r="19" ht="12.75">
      <c r="A19" s="280" t="s">
        <v>531</v>
      </c>
    </row>
    <row r="20" ht="12.75">
      <c r="A20" s="280" t="s">
        <v>551</v>
      </c>
    </row>
    <row r="21" ht="12.75">
      <c r="A21" s="280" t="s">
        <v>513</v>
      </c>
    </row>
    <row r="22" ht="12.75">
      <c r="A22" s="280" t="s">
        <v>512</v>
      </c>
    </row>
    <row r="23" ht="12.75">
      <c r="A23" s="280" t="s">
        <v>525</v>
      </c>
    </row>
    <row r="24" ht="12.75">
      <c r="A24" s="280" t="s">
        <v>517</v>
      </c>
    </row>
    <row r="25" ht="12.75">
      <c r="A25" s="280" t="s">
        <v>526</v>
      </c>
    </row>
    <row r="26" ht="12.75">
      <c r="A26" s="280" t="s">
        <v>515</v>
      </c>
    </row>
    <row r="27" ht="12.75">
      <c r="A27" s="280" t="s">
        <v>506</v>
      </c>
    </row>
    <row r="28" ht="12.75">
      <c r="A28" s="280" t="s">
        <v>514</v>
      </c>
    </row>
    <row r="29" ht="12.75">
      <c r="A29" s="280" t="s">
        <v>522</v>
      </c>
    </row>
    <row r="30" ht="12.75">
      <c r="A30" s="280" t="s">
        <v>550</v>
      </c>
    </row>
    <row r="31" ht="12.75">
      <c r="A31" s="280" t="s">
        <v>505</v>
      </c>
    </row>
    <row r="32" ht="12.75">
      <c r="A32" s="280" t="s">
        <v>507</v>
      </c>
    </row>
    <row r="33" ht="12.75">
      <c r="A33" s="280" t="s">
        <v>520</v>
      </c>
    </row>
    <row r="34" ht="12.75">
      <c r="A34" s="280" t="s">
        <v>516</v>
      </c>
    </row>
    <row r="35" ht="12.75">
      <c r="A35" s="280" t="s">
        <v>527</v>
      </c>
    </row>
    <row r="36" ht="12.75">
      <c r="A36" s="280" t="s">
        <v>511</v>
      </c>
    </row>
    <row r="37" ht="12.75">
      <c r="A37" s="280" t="s">
        <v>509</v>
      </c>
    </row>
    <row r="38" ht="12.75">
      <c r="A38" s="280" t="s">
        <v>532</v>
      </c>
    </row>
    <row r="39" ht="12.75">
      <c r="A39" s="280" t="s">
        <v>529</v>
      </c>
    </row>
    <row r="40" ht="12.75">
      <c r="A40" s="280" t="s">
        <v>510</v>
      </c>
    </row>
    <row r="41" ht="12.75">
      <c r="A41" s="280" t="s">
        <v>508</v>
      </c>
    </row>
    <row r="42" ht="12.75">
      <c r="A42" s="280" t="s">
        <v>528</v>
      </c>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