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<sst xmlns="http://schemas.openxmlformats.org/spreadsheetml/2006/main" count="2793" uniqueCount="747">
  <si>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</si>
  <si>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</si>
  <si>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</si>
  <si>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</si>
  <si>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</si>
  <si>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</si>
  <si>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</si>
  <si>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</si>
  <si>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</si>
  <si>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</si>
  <si>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</si>
  <si>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</si>
  <si>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</si>
  <si>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</si>
  <si>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</si>
  <si>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</si>
  <si>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</si>
  <si>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</si>
  <si>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</si>
  <si>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</si>
  <si>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</si>
  <si>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</si>
  <si>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</si>
  <si>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</si>
  <si>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</si>
  <si>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</si>
  <si>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</si>
  <si>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</si>
  <si>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</si>
  <si>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</si>
  <si>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</si>
  <si>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</si>
  <si>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</si>
  <si>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</si>
  <si>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</si>
  <si>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</si>
  <si>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</si>
  <si>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</si>
  <si>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</si>
  <si>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</si>
  <si>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</si>
  <si>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</si>
  <si>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</si>
  <si>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</si>
  <si>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</si>
  <si>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</si>
  <si>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</si>
  <si>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</si>
  <si>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</si>
  <si>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</si>
  <si>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</si>
  <si>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</si>
  <si>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</si>
  <si>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</si>
  <si>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</si>
  <si>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</si>
  <si>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</si>
  <si>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</si>
  <si>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</si>
  <si>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</si>
  <si>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</si>
  <si>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</si>
  <si>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</si>
  <si>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</si>
  <si>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</si>
  <si>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</si>
  <si>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</si>
  <si>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</si>
  <si>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</si>
  <si>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</si>
  <si>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</si>
  <si>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</si>
  <si>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</si>
  <si>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</si>
  <si>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</si>
  <si>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</si>
  <si>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</si>
  <si>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</si>
  <si>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</si>
  <si>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</si>
  <si>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</si>
  <si>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</si>
  <si>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</si>
  <si>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</si>
  <si>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</si>
  <si>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</si>
  <si>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</si>
  <si>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</si>
  <si>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</si>
  <si>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</si>
  <si>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</si>
  <si>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</si>
  <si>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</si>
  <si>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</si>
  <si>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</si>
  <si>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</si>
  <si>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</si>
  <si>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</si>
  <si>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</si>
  <si>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</si>
  <si>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</si>
  <si>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</si>
  <si>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</si>
  <si>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</si>
  <si>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</si>
  <si>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</si>
  <si>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</si>
  <si>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</si>
  <si>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</si>
  <si>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</si>
  <si>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</si>
  <si>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</si>
  <si>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</si>
  <si>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</si>
  <si>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</si>
  <si>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</si>
  <si>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</si>
  <si>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</si>
  <si>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</si>
  <si>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</si>
  <si>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</si>
  <si>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</si>
  <si>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</si>
  <si>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</si>
  <si>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</si>
  <si>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</si>
  <si>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</si>
  <si>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</si>
  <si>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</si>
  <si>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</si>
  <si>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</si>
  <si>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</si>
  <si>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</si>
  <si>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</si>
  <si>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</si>
  <si>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</si>
  <si>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</si>
  <si>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</si>
  <si>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</si>
  <si>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</si>
  <si>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</si>
  <si>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</si>
  <si>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</si>
  <si>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</si>
  <si>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</si>
  <si>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</si>
  <si>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</si>
  <si>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</si>
  <si>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</si>
  <si>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</si>
  <si>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</si>
  <si>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</si>
  <si>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</si>
  <si>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</si>
  <si>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</si>
  <si>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</si>
  <si>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</si>
  <si>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</si>
  <si>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</si>
  <si>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</si>
  <si>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</si>
  <si>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</si>
  <si>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</si>
  <si>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</si>
  <si>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</si>
  <si>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</si>
  <si>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</si>
  <si>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</si>
  <si>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</si>
  <si>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</si>
  <si>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</si>
  <si>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</si>
  <si>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</si>
  <si>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</si>
  <si>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</si>
  <si>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</si>
  <si>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</si>
  <si>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</si>
  <si>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</si>
  <si>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</si>
  <si>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</si>
  <si>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</si>
  <si>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</si>
  <si>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</si>
  <si>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</si>
  <si>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</si>
  <si>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</si>
  <si>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</si>
  <si>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</si>
  <si>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</si>
  <si>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</si>
  <si>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</si>
  <si>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</si>
  <si>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</si>
  <si>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</si>
  <si>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</si>
  <si>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</si>
  <si>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</si>
  <si>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</si>
  <si>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</si>
  <si>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</si>
  <si>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</si>
  <si>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</si>
  <si>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</si>
  <si>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</si>
  <si>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</si>
  <si>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</si>
  <si>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</si>
  <si>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</si>
  <si>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</si>
  <si>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</si>
  <si>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</si>
  <si>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</si>
  <si>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</si>
  <si>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</si>
  <si>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</si>
  <si>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</si>
  <si>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</si>
  <si>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</si>
  <si>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</si>
  <si>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</si>
  <si>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</si>
  <si>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</si>
  <si>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</si>
  <si>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</si>
  <si>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</si>
  <si>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</si>
  <si>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</si>
  <si>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</si>
  <si>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</si>
  <si>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</si>
  <si>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</si>
  <si>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</si>
  <si>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</si>
  <si>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</si>
  <si>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</si>
  <si>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</si>
  <si>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</si>
  <si>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</si>
  <si>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</si>
  <si>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</si>
  <si>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</si>
  <si>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</si>
  <si>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</si>
  <si>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</si>
  <si>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</si>
  <si>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</si>
  <si>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</si>
  <si>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</si>
  <si>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</si>
  <si>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</si>
  <si>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</si>
  <si>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</si>
  <si>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</si>
  <si>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</si>
  <si>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</si>
  <si>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</si>
  <si>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</si>
  <si>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</si>
  <si>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</si>
  <si>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</si>
  <si>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</si>
  <si>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</si>
  <si>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</si>
  <si>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</si>
  <si>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</si>
  <si>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</si>
  <si>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</si>
  <si>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</si>
  <si>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</si>
  <si>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</si>
  <si>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</si>
  <si>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</si>
  <si>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</si>
  <si>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</si>
  <si>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</si>
  <si>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</si>
  <si>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</si>
  <si>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</si>
  <si>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</si>
  <si>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</si>
  <si>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</si>
  <si>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H81002</t>
  </si>
  <si>
    <t>H81003</t>
  </si>
  <si>
    <t>H81004</t>
  </si>
  <si>
    <t>H81005</t>
  </si>
  <si>
    <t>H81006</t>
  </si>
  <si>
    <t>H81007</t>
  </si>
  <si>
    <t>H81009</t>
  </si>
  <si>
    <t>H81010</t>
  </si>
  <si>
    <t>H81011</t>
  </si>
  <si>
    <t>H81013</t>
  </si>
  <si>
    <t>H81015</t>
  </si>
  <si>
    <t>H81016</t>
  </si>
  <si>
    <t>H81017</t>
  </si>
  <si>
    <t>H81019</t>
  </si>
  <si>
    <t>H81020</t>
  </si>
  <si>
    <t>H81021</t>
  </si>
  <si>
    <t>H81022</t>
  </si>
  <si>
    <t>H81023</t>
  </si>
  <si>
    <t>H81024</t>
  </si>
  <si>
    <t>H81025</t>
  </si>
  <si>
    <t>H81026</t>
  </si>
  <si>
    <t>H81027</t>
  </si>
  <si>
    <t>H81028</t>
  </si>
  <si>
    <t>H81029</t>
  </si>
  <si>
    <t>H81030</t>
  </si>
  <si>
    <t>H81031</t>
  </si>
  <si>
    <t>H81032</t>
  </si>
  <si>
    <t>H81033</t>
  </si>
  <si>
    <t>H81034</t>
  </si>
  <si>
    <t>H81035</t>
  </si>
  <si>
    <t>H81036</t>
  </si>
  <si>
    <t>H81037</t>
  </si>
  <si>
    <t>H81038</t>
  </si>
  <si>
    <t>H81039</t>
  </si>
  <si>
    <t>H81040</t>
  </si>
  <si>
    <t>H81041</t>
  </si>
  <si>
    <t>H81042</t>
  </si>
  <si>
    <t>H81043</t>
  </si>
  <si>
    <t>H81044</t>
  </si>
  <si>
    <t>H81045</t>
  </si>
  <si>
    <t>H81046</t>
  </si>
  <si>
    <t>H81048</t>
  </si>
  <si>
    <t>H81050</t>
  </si>
  <si>
    <t>H81051</t>
  </si>
  <si>
    <t>H81052</t>
  </si>
  <si>
    <t>H81053</t>
  </si>
  <si>
    <t>H81054</t>
  </si>
  <si>
    <t>H81055</t>
  </si>
  <si>
    <t>H81056</t>
  </si>
  <si>
    <t>H81057</t>
  </si>
  <si>
    <t>H81058</t>
  </si>
  <si>
    <t>H81060</t>
  </si>
  <si>
    <t>H81061</t>
  </si>
  <si>
    <t>H81062</t>
  </si>
  <si>
    <t>H81064</t>
  </si>
  <si>
    <t>H81065</t>
  </si>
  <si>
    <t>H81066</t>
  </si>
  <si>
    <t>H81067</t>
  </si>
  <si>
    <t>H81068</t>
  </si>
  <si>
    <t>H81069</t>
  </si>
  <si>
    <t>H81070</t>
  </si>
  <si>
    <t>H81071</t>
  </si>
  <si>
    <t>H81072</t>
  </si>
  <si>
    <t>H81073</t>
  </si>
  <si>
    <t>H81074</t>
  </si>
  <si>
    <t>H81075</t>
  </si>
  <si>
    <t>H81076</t>
  </si>
  <si>
    <t>H81077</t>
  </si>
  <si>
    <t>H81078</t>
  </si>
  <si>
    <t>H81079</t>
  </si>
  <si>
    <t>H81080</t>
  </si>
  <si>
    <t>H81081</t>
  </si>
  <si>
    <t>H81082</t>
  </si>
  <si>
    <t>H81083</t>
  </si>
  <si>
    <t>H81084</t>
  </si>
  <si>
    <t>H81085</t>
  </si>
  <si>
    <t>H81086</t>
  </si>
  <si>
    <t>H81087</t>
  </si>
  <si>
    <t>H81088</t>
  </si>
  <si>
    <t>H81089</t>
  </si>
  <si>
    <t>H81090</t>
  </si>
  <si>
    <t>H81091</t>
  </si>
  <si>
    <t>H81093</t>
  </si>
  <si>
    <t>H81094</t>
  </si>
  <si>
    <t>H81095</t>
  </si>
  <si>
    <t>H81097</t>
  </si>
  <si>
    <t>H81099</t>
  </si>
  <si>
    <t>H81100</t>
  </si>
  <si>
    <t>H81101</t>
  </si>
  <si>
    <t>H81103</t>
  </si>
  <si>
    <t>H81104</t>
  </si>
  <si>
    <t>H81106</t>
  </si>
  <si>
    <t>H81107</t>
  </si>
  <si>
    <t>H81109</t>
  </si>
  <si>
    <t>H81110</t>
  </si>
  <si>
    <t>H81111</t>
  </si>
  <si>
    <t>H81113</t>
  </si>
  <si>
    <t>H81116</t>
  </si>
  <si>
    <t>H81118</t>
  </si>
  <si>
    <t>H81119</t>
  </si>
  <si>
    <t>H81122</t>
  </si>
  <si>
    <t>H81123</t>
  </si>
  <si>
    <t>H81125</t>
  </si>
  <si>
    <t>H81126</t>
  </si>
  <si>
    <t>H81128</t>
  </si>
  <si>
    <t>H81129</t>
  </si>
  <si>
    <t>H81130</t>
  </si>
  <si>
    <t>H81131</t>
  </si>
  <si>
    <t>H81132</t>
  </si>
  <si>
    <t>H81133</t>
  </si>
  <si>
    <t>H81134</t>
  </si>
  <si>
    <t>H81611</t>
  </si>
  <si>
    <t>H81613</t>
  </si>
  <si>
    <t>H81615</t>
  </si>
  <si>
    <t>H81618</t>
  </si>
  <si>
    <t>H81620</t>
  </si>
  <si>
    <t>H81622</t>
  </si>
  <si>
    <t>H81627</t>
  </si>
  <si>
    <t>H81632</t>
  </si>
  <si>
    <t>H81638</t>
  </si>
  <si>
    <t>H81641</t>
  </si>
  <si>
    <t>H81642</t>
  </si>
  <si>
    <t>H81643</t>
  </si>
  <si>
    <t>H81644</t>
  </si>
  <si>
    <t>H81647</t>
  </si>
  <si>
    <t>H81655</t>
  </si>
  <si>
    <t>H81656</t>
  </si>
  <si>
    <t>H81658</t>
  </si>
  <si>
    <t>H81662</t>
  </si>
  <si>
    <t>H81663</t>
  </si>
  <si>
    <t>H81664</t>
  </si>
  <si>
    <t>H81667</t>
  </si>
  <si>
    <t>H81672</t>
  </si>
  <si>
    <t>5CC</t>
  </si>
  <si>
    <t>Y00368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</si>
  <si>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</si>
  <si>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</si>
  <si>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</si>
  <si>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</si>
  <si>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</si>
  <si>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</si>
  <si>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</si>
  <si>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</si>
  <si>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</si>
  <si>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</si>
  <si>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</si>
  <si>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</si>
  <si>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</si>
  <si>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</si>
  <si>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</si>
  <si>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</si>
  <si>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</si>
  <si>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</si>
  <si>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</si>
  <si>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</si>
  <si>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</si>
  <si>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</si>
  <si>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</si>
  <si>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</si>
  <si>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</si>
  <si>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</si>
  <si>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</si>
  <si>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</si>
  <si>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</si>
  <si>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</si>
  <si>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</si>
  <si>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</si>
  <si>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</si>
  <si>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</si>
  <si>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</si>
  <si>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</si>
  <si>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</si>
  <si>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</si>
  <si>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</si>
  <si>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</si>
  <si>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</si>
  <si>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</si>
  <si>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</si>
  <si>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</si>
  <si>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</si>
  <si>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</si>
  <si>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</si>
  <si>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</si>
  <si>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</si>
  <si>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</si>
  <si>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</si>
  <si>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</si>
  <si>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</si>
  <si>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</si>
  <si>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</si>
  <si>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</si>
  <si>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</si>
  <si>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</si>
  <si>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</si>
  <si>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</si>
  <si>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</si>
  <si>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</si>
  <si>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</si>
  <si>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</si>
  <si>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</si>
  <si>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</si>
  <si>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</si>
  <si>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</si>
  <si>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</si>
  <si>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</si>
  <si>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</si>
  <si>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</si>
  <si>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</si>
  <si>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</si>
  <si>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</si>
  <si>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</si>
  <si>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</si>
  <si>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</si>
  <si>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</si>
  <si>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</si>
  <si>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</si>
  <si>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</si>
  <si>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</si>
  <si>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</si>
  <si>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</si>
  <si>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</si>
  <si>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</si>
  <si>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</si>
  <si>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</si>
  <si>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</si>
  <si>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</si>
  <si>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</si>
  <si>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</si>
  <si>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</si>
  <si>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</si>
  <si>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</si>
  <si>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</si>
  <si>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</si>
  <si>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</si>
  <si>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</si>
  <si>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</si>
  <si>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</si>
  <si>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</si>
  <si>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</si>
  <si>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</si>
  <si>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</si>
  <si>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</si>
  <si>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</si>
  <si>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</si>
  <si>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</si>
  <si>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</si>
  <si>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</si>
  <si>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</si>
  <si>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</si>
  <si>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</si>
  <si>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</si>
  <si>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</si>
  <si>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</si>
  <si>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</si>
  <si>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</si>
  <si>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</si>
  <si>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</si>
  <si>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</si>
  <si>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</si>
  <si>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</si>
  <si>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</si>
  <si>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</si>
  <si>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</si>
  <si>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</si>
  <si>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</si>
  <si>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</si>
  <si>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</si>
  <si>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</si>
  <si>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</si>
  <si>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</si>
  <si>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</si>
  <si>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</si>
  <si>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</si>
  <si>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</si>
  <si>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</si>
  <si>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</si>
  <si>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</si>
  <si>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</si>
  <si>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</si>
  <si>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</si>
  <si>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</si>
  <si>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</si>
  <si>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</si>
  <si>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</si>
  <si>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</si>
  <si>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</si>
  <si>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</si>
  <si>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</si>
  <si>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</si>
  <si>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</si>
  <si>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</si>
  <si>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</si>
  <si>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</si>
  <si>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</si>
  <si>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</si>
  <si>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</si>
  <si>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</si>
  <si>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</si>
  <si>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</si>
  <si>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</si>
  <si>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</si>
  <si>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</si>
  <si>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</si>
  <si>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</si>
  <si>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</si>
  <si>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</si>
  <si>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</si>
  <si>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</si>
  <si>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</si>
  <si>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</si>
  <si>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</si>
  <si>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</si>
  <si>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</si>
  <si>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</si>
  <si>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</si>
  <si>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</si>
  <si>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</si>
  <si>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</si>
  <si>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</si>
  <si>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(H81002) KNOWLE GREEN SURGERY</t>
  </si>
  <si>
    <t>(H81003) SUNBURY HEALTH CENTRE</t>
  </si>
  <si>
    <t>(H81004) SHEPPERTON MEDICAL PRACTICE</t>
  </si>
  <si>
    <t>(H81005) POND TAIL SURGERY</t>
  </si>
  <si>
    <t>(H81006) AUSTEN ROAD SURGERY</t>
  </si>
  <si>
    <t>(H81009) STUDHOLME MEDICAL CENTRE</t>
  </si>
  <si>
    <t>(H81010) GUILDOWNS</t>
  </si>
  <si>
    <t>(H81011) NORK CLINIC</t>
  </si>
  <si>
    <t>(H81013) FRIMLEY GREEN MEDICAL CENTRE</t>
  </si>
  <si>
    <t>(H81016) FAIRFIELD MEDICAL CENTRE</t>
  </si>
  <si>
    <t>(H81017) ASHLEA MEDICAL PRACTICE</t>
  </si>
  <si>
    <t>(H81019) SUNNY MEED SURGERY</t>
  </si>
  <si>
    <t>(H81020) FORT HOUSE SURGERY</t>
  </si>
  <si>
    <t>(H81021) THE MILL MEDICAL PRACTICE</t>
  </si>
  <si>
    <t>(H81022) CHIDDINGFOLD SURGERY</t>
  </si>
  <si>
    <t>(H81023) LINGFIELD SURGERY</t>
  </si>
  <si>
    <t>(H81024) GOLDSWORTH PARK HEALTH CENTRE</t>
  </si>
  <si>
    <t>(H81025) ST. JOHN'S FAMILY PRACTICE</t>
  </si>
  <si>
    <t>(H81026) BINSCOMBE MEDICAL CENTRE</t>
  </si>
  <si>
    <t>(H81027) THE FERNS MEDICAL PRACTICE</t>
  </si>
  <si>
    <t>(H81028) NEW HOUSE SURGERY</t>
  </si>
  <si>
    <t>(H81029) DAPDUNE HOUSE SURGERY</t>
  </si>
  <si>
    <t>(H81030) GREYSTONE HOUSE SURGERY</t>
  </si>
  <si>
    <t>(H81031) WITLEY SURGERY</t>
  </si>
  <si>
    <t>(H81032) HEATHCOT MEDICAL PRACTICE</t>
  </si>
  <si>
    <t>(H81033) ABBEY PRACTICE</t>
  </si>
  <si>
    <t>(H81034) LYNCH MEDICAL CENTRE</t>
  </si>
  <si>
    <t>(H81035) MERROW PARK SURGERY</t>
  </si>
  <si>
    <t>(H81036) PARISHES BRIDGE MEDICAL PRACTICE</t>
  </si>
  <si>
    <t>(H81037) BIRCHWOOD MEDICAL PRACTICE</t>
  </si>
  <si>
    <t>(H81038) LITTLETON SURGERY</t>
  </si>
  <si>
    <t>(H81039) PARK HOUSE SURGERY</t>
  </si>
  <si>
    <t>(H81040) STATION ROAD SURGERY</t>
  </si>
  <si>
    <t>(H81041) SOUTH VIEW SURGERY</t>
  </si>
  <si>
    <t>(H81042) CROUCH OAK FAMILY PRACTICE</t>
  </si>
  <si>
    <t>(H81043) WONERSH SURGERY</t>
  </si>
  <si>
    <t>(H81044) SPRINGFIELD SURGERY</t>
  </si>
  <si>
    <t>(H81045) CATERHAM VALLEY MEDICAL PRACTICE</t>
  </si>
  <si>
    <t>(H81046) WAYSIDE MEDICAL PRACTICE</t>
  </si>
  <si>
    <t>(H81048) HOLMHURST MEDICAL CENTRE</t>
  </si>
  <si>
    <t>(H81050) WEY FAMILY PRACTICE</t>
  </si>
  <si>
    <t>(H81051) DERBY MEDICAL CENTRE</t>
  </si>
  <si>
    <t>(H81052) CRANLEIGH MEDICAL PRACTICE</t>
  </si>
  <si>
    <t>(H81053) VILLAGES MEDICAL CENTRE</t>
  </si>
  <si>
    <t>(H81054) BRIDGE PRACTICE</t>
  </si>
  <si>
    <t>(H81055) HAWTHORNS</t>
  </si>
  <si>
    <t>(H81056) OXTED HEALTH CENTRE</t>
  </si>
  <si>
    <t>(H81057) FORDBRIDGE MEDICAL CENTRE</t>
  </si>
  <si>
    <t>(H81058) WOODLANDS ROAD MEDICAL CENTRE</t>
  </si>
  <si>
    <t>(H81060) TOWNHILL MEDICAL PRACTICE</t>
  </si>
  <si>
    <t>(H81061) HILLVIEW MEDICAL CENTRE</t>
  </si>
  <si>
    <t>(H81062) HASLEMERE HEALTH CENTRE</t>
  </si>
  <si>
    <t>(H81064) FAIRLANDS PRACTICE</t>
  </si>
  <si>
    <t>(H81065) HERSHAM SURGERY</t>
  </si>
  <si>
    <t>(H81066) GROVE MEDICAL CENTRE</t>
  </si>
  <si>
    <t>(H81067) COBHAM HEALTH CENTRE</t>
  </si>
  <si>
    <t>(H81068) TANNERS MEADOW SURGERY</t>
  </si>
  <si>
    <t>(H81069) PARK ROAD SURGERY</t>
  </si>
  <si>
    <t>(H81070) HEATHCOTE MEDICAL CENTRE</t>
  </si>
  <si>
    <t>(H81071) ASHLEY CENTRE SURGERY</t>
  </si>
  <si>
    <t>(H81072) MEDWYN SURGERY</t>
  </si>
  <si>
    <t>(H81073) CHURCH STREET PRACTICE</t>
  </si>
  <si>
    <t>(H81074) ST. STEPHENS HOUSE SURGERY</t>
  </si>
  <si>
    <t>(H81075) UPPER GORDON ROAD SURGERY</t>
  </si>
  <si>
    <t>(H81076) GRAYSHOTT SURGERY</t>
  </si>
  <si>
    <t>(H81078) GLENLYN MEDICAL CENTRE</t>
  </si>
  <si>
    <t>(H81079) STAINES THAMESIDE MEDICAL</t>
  </si>
  <si>
    <t>(H81080) LONGCROFT CLINIC</t>
  </si>
  <si>
    <t>(H81081) TADWORTH MEDICAL CENTRE</t>
  </si>
  <si>
    <t>(H81082) CAMBERLEY HEALTH CENTRE</t>
  </si>
  <si>
    <t>(H81083) MOAT HOUSE</t>
  </si>
  <si>
    <t>(H81084) EAST HORSLEY MEDICAL CENTRE</t>
  </si>
  <si>
    <t>(H81085) ST. LUKE'S SURGERY</t>
  </si>
  <si>
    <t>(H81086) THORKHILL SURGERY</t>
  </si>
  <si>
    <t>(H81087) ST. DAVID'S FAMILY PRACTICE</t>
  </si>
  <si>
    <t>(H81088) DOWNING STREET SURGERY</t>
  </si>
  <si>
    <t>(H81089) WALL HOUSE</t>
  </si>
  <si>
    <t>(H81090) WOODBRIDGE HILL SURGERY</t>
  </si>
  <si>
    <t>(H81091) SPRING STREET SURGERY</t>
  </si>
  <si>
    <t>(H81093) GIBSON</t>
  </si>
  <si>
    <t>(H81099) ESHER GREEN SURGERY</t>
  </si>
  <si>
    <t>(H81100) STONELEIGH MEDICAL CENTRE</t>
  </si>
  <si>
    <t>(H81101) WHYTELEAFE SURGERY</t>
  </si>
  <si>
    <t>(H81103) EASTWICK PARK MEDICAL PRACTICE</t>
  </si>
  <si>
    <t>(H81104) STANWELL ROAD SURGERY</t>
  </si>
  <si>
    <t>(H81106) NORTH HOLMWOOD SURGERY</t>
  </si>
  <si>
    <t>(H81107) OXSHOTT MEDICAL PRACTICE</t>
  </si>
  <si>
    <t>(H81109) CAPELFIELD SURGERY</t>
  </si>
  <si>
    <t>(H81110) HOLLY TREE SURGERY</t>
  </si>
  <si>
    <t>(H81111) PACKERS</t>
  </si>
  <si>
    <t>(H81113) LEITH HILL PRACTICE</t>
  </si>
  <si>
    <t>(H81116) ELIZABETH HOUSE MEDICAL PRACTICE</t>
  </si>
  <si>
    <t>(H81118) AURIOL MEDICAL PRACTICE</t>
  </si>
  <si>
    <t>(H81119) WARLINGHAM GREEN MEDICAL PRACTICE</t>
  </si>
  <si>
    <t>(H81122) HYTHE MEDICAL CENTRE SURGERY</t>
  </si>
  <si>
    <t>(H81123) SHEERWATER HEALTH CENTRE</t>
  </si>
  <si>
    <t>(H81125) GIGGS HILL SURGERY</t>
  </si>
  <si>
    <t>(H81126) TATTENHAM HEALTH CENTRE</t>
  </si>
  <si>
    <t>(H81128) VINE MEDICAL CENTRE</t>
  </si>
  <si>
    <t>(H81129) OLD VICARAGE</t>
  </si>
  <si>
    <t>(H81130) LIGHTWATER SURGERY</t>
  </si>
  <si>
    <t>(H81131) DR GE LEWIS</t>
  </si>
  <si>
    <t>(H81132) GUILDFORD RIVERS PRACTICE</t>
  </si>
  <si>
    <t>(H81133) THE INTEGRATED CARE PARTNERSHIP</t>
  </si>
  <si>
    <t>(H81134) STAINES HEALTH GROUP</t>
  </si>
  <si>
    <t>(H81611) RIVERBANK SURGERY</t>
  </si>
  <si>
    <t>(H81613) STONELEIGH SURGERY</t>
  </si>
  <si>
    <t>(H81615) FARNHAM DENE MEDICAL PRACTICE</t>
  </si>
  <si>
    <t>(H81618) MOLEBRIDGE PRACTICE</t>
  </si>
  <si>
    <t>(H81620) HEATHERSIDE SURGERY</t>
  </si>
  <si>
    <t>(H81622) OLD DEAN SURGERY</t>
  </si>
  <si>
    <t>(H81627) COX LANE SURGERY</t>
  </si>
  <si>
    <t>(H81632) KANDELA</t>
  </si>
  <si>
    <t>(H81638) SMALLFIELD SURGERY</t>
  </si>
  <si>
    <t>(H81641) THE PRACTICE COLLEGE ROAD</t>
  </si>
  <si>
    <t>(H81642) UPPER HALLIFORD MEDICAL CENTRE</t>
  </si>
  <si>
    <t>(H81643) MAYBURY SURGERY</t>
  </si>
  <si>
    <t>(H81644) FOUNTAIN PRACTICE</t>
  </si>
  <si>
    <t>(H81647) NEW INN SURGERY</t>
  </si>
  <si>
    <t>(H81655) ST. NICOLAS SURGERY</t>
  </si>
  <si>
    <t>(H81656) SHADBOLT PARK HOUSE SURGERY</t>
  </si>
  <si>
    <t>(H81658) NEW OTTERSHAW SURGERY</t>
  </si>
  <si>
    <t>(H81662) CHALDON ROAD SURGERY</t>
  </si>
  <si>
    <t>(H81663) ASHLEY MEDICAL PRACTICE</t>
  </si>
  <si>
    <t>(H81664) DR R J POOL</t>
  </si>
  <si>
    <t>(H81667) SOUTH PARK SURGERY</t>
  </si>
  <si>
    <t>(H81672) LANTERN SURGERY</t>
  </si>
  <si>
    <t>(Y00368) EARLSWOOD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</si>
  <si>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</si>
  <si>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</si>
  <si>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</si>
  <si>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</si>
  <si>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</si>
  <si>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</si>
  <si>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</si>
  <si>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</si>
  <si>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</si>
  <si>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</si>
  <si>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(H81077) SHERE SURGERY-DISPENSARY</t>
  </si>
  <si>
    <t>(H81007) DE SOUZA + PARTNERS</t>
  </si>
  <si>
    <t>(H81015) CHOBHAM + WEST END MEDICAL PRACTICE</t>
  </si>
  <si>
    <t>(H81094) ARNOLD + PARTNERS</t>
  </si>
  <si>
    <t>(H81095) MEECHAN + NGUYEN</t>
  </si>
  <si>
    <t>(H81097) O'DONNELL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</si>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</sst>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0.7967447766828417</c:v>
                </c:pt>
                <c:pt idx="3">
                  <c:v>1</c:v>
                </c:pt>
                <c:pt idx="4">
                  <c:v>0.9623333959906109</c:v>
                </c:pt>
                <c:pt idx="5">
                  <c:v>1</c:v>
                </c:pt>
                <c:pt idx="6">
                  <c:v>0.8666666842583163</c:v>
                </c:pt>
                <c:pt idx="7">
                  <c:v>0.6304215886291369</c:v>
                </c:pt>
                <c:pt idx="8">
                  <c:v>0.9443446678975662</c:v>
                </c:pt>
                <c:pt idx="9">
                  <c:v>0.7897899448764719</c:v>
                </c:pt>
                <c:pt idx="10">
                  <c:v>0.6276955601182294</c:v>
                </c:pt>
                <c:pt idx="11">
                  <c:v>0.6334760081815001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0.5818408559229008</c:v>
                </c:pt>
                <c:pt idx="3">
                  <c:v>0.541666658905645</c:v>
                </c:pt>
                <c:pt idx="4">
                  <c:v>0.627684135107175</c:v>
                </c:pt>
                <c:pt idx="5">
                  <c:v>0.5831918295141636</c:v>
                </c:pt>
                <c:pt idx="6">
                  <c:v>0.6000000217308612</c:v>
                </c:pt>
                <c:pt idx="7">
                  <c:v>0.540282274947102</c:v>
                </c:pt>
                <c:pt idx="8">
                  <c:v>0.6371432637409149</c:v>
                </c:pt>
                <c:pt idx="9">
                  <c:v>0.5530952467175443</c:v>
                </c:pt>
                <c:pt idx="10">
                  <c:v>0.5414227383166297</c:v>
                </c:pt>
                <c:pt idx="11">
                  <c:v>0.5419239137012806</c:v>
                </c:pt>
                <c:pt idx="12">
                  <c:v>0.6154116896828954</c:v>
                </c:pt>
                <c:pt idx="13">
                  <c:v>0</c:v>
                </c:pt>
                <c:pt idx="14">
                  <c:v>0.5577099500658497</c:v>
                </c:pt>
                <c:pt idx="15">
                  <c:v>0.5662285071668459</c:v>
                </c:pt>
                <c:pt idx="16">
                  <c:v>0.629968655039802</c:v>
                </c:pt>
                <c:pt idx="17">
                  <c:v>0.5825178863405003</c:v>
                </c:pt>
                <c:pt idx="18">
                  <c:v>0.6118712885479515</c:v>
                </c:pt>
                <c:pt idx="19">
                  <c:v>0.5925640749462963</c:v>
                </c:pt>
                <c:pt idx="20">
                  <c:v>0.5818068832648503</c:v>
                </c:pt>
                <c:pt idx="21">
                  <c:v>0.6237463318906081</c:v>
                </c:pt>
                <c:pt idx="22">
                  <c:v>0.6170565463256487</c:v>
                </c:pt>
                <c:pt idx="23">
                  <c:v>0.5718584034661419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0.3969199255060489</c:v>
                </c:pt>
                <c:pt idx="3">
                  <c:v>0.4583333255723117</c:v>
                </c:pt>
                <c:pt idx="4">
                  <c:v>0.3757762022982889</c:v>
                </c:pt>
                <c:pt idx="5">
                  <c:v>0.42200572548396365</c:v>
                </c:pt>
                <c:pt idx="6">
                  <c:v>0.40000000931322627</c:v>
                </c:pt>
                <c:pt idx="7">
                  <c:v>0.43443266436106426</c:v>
                </c:pt>
                <c:pt idx="8">
                  <c:v>0.346259947437525</c:v>
                </c:pt>
                <c:pt idx="9">
                  <c:v>0.4269752597544712</c:v>
                </c:pt>
                <c:pt idx="10">
                  <c:v>0.46012032792941093</c:v>
                </c:pt>
                <c:pt idx="11">
                  <c:v>0.449012153914748</c:v>
                </c:pt>
                <c:pt idx="12">
                  <c:v>0.37723849276013344</c:v>
                </c:pt>
                <c:pt idx="13">
                  <c:v>0</c:v>
                </c:pt>
                <c:pt idx="14">
                  <c:v>0.47130075875713123</c:v>
                </c:pt>
                <c:pt idx="15">
                  <c:v>0.4432826448339119</c:v>
                </c:pt>
                <c:pt idx="16">
                  <c:v>0.3896810044180713</c:v>
                </c:pt>
                <c:pt idx="17">
                  <c:v>0.43231714265922716</c:v>
                </c:pt>
                <c:pt idx="18">
                  <c:v>0.4201500888401523</c:v>
                </c:pt>
                <c:pt idx="19">
                  <c:v>0.4314551896572444</c:v>
                </c:pt>
                <c:pt idx="20">
                  <c:v>0.4112981950724278</c:v>
                </c:pt>
                <c:pt idx="21">
                  <c:v>0.4061343388534171</c:v>
                </c:pt>
                <c:pt idx="22">
                  <c:v>0.39181219389292216</c:v>
                </c:pt>
                <c:pt idx="23">
                  <c:v>0.4506811525582432</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0.3333333255723117</c:v>
                </c:pt>
                <c:pt idx="4">
                  <c:v>0</c:v>
                </c:pt>
                <c:pt idx="5">
                  <c:v>0.13519851073943123</c:v>
                </c:pt>
                <c:pt idx="6">
                  <c:v>0</c:v>
                </c:pt>
                <c:pt idx="7">
                  <c:v>0</c:v>
                </c:pt>
                <c:pt idx="8">
                  <c:v>0</c:v>
                </c:pt>
                <c:pt idx="9">
                  <c:v>0</c:v>
                </c:pt>
                <c:pt idx="10">
                  <c:v>0</c:v>
                </c:pt>
                <c:pt idx="11">
                  <c:v>0</c:v>
                </c:pt>
                <c:pt idx="12">
                  <c:v>0.15622942464720616</c:v>
                </c:pt>
                <c:pt idx="13">
                  <c:v>0</c:v>
                </c:pt>
                <c:pt idx="14">
                  <c:v>0.37033130920991236</c:v>
                </c:pt>
                <c:pt idx="15">
                  <c:v>0.21260734006275062</c:v>
                </c:pt>
                <c:pt idx="16">
                  <c:v>0.1435599166852772</c:v>
                </c:pt>
                <c:pt idx="17">
                  <c:v>0.2787890447831266</c:v>
                </c:pt>
                <c:pt idx="18">
                  <c:v>0.32578268629926005</c:v>
                </c:pt>
                <c:pt idx="19">
                  <c:v>0.31312958653791656</c:v>
                </c:pt>
                <c:pt idx="20">
                  <c:v>0.17207029591913967</c:v>
                </c:pt>
                <c:pt idx="21">
                  <c:v>0.24466633666293375</c:v>
                </c:pt>
                <c:pt idx="22">
                  <c:v>0.11353311555350558</c:v>
                </c:pt>
                <c:pt idx="23">
                  <c:v>0.27106121705310715</c:v>
                </c:pt>
                <c:pt idx="24">
                  <c:v>0</c:v>
                </c:pt>
                <c:pt idx="25">
                  <c:v>0</c:v>
                </c:pt>
                <c:pt idx="26">
                  <c:v>0</c:v>
                </c:pt>
              </c:numCache>
            </c:numRef>
          </c:val>
        </c:ser>
        <c:overlap val="100"/>
        <c:gapWidth val="100"/>
        <c:axId val="38816172"/>
        <c:axId val="1380122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0.4612154533138083</c:v>
                </c:pt>
                <c:pt idx="3">
                  <c:v>0.8337887684087616</c:v>
                </c:pt>
                <c:pt idx="4">
                  <c:v>0.5410239503152461</c:v>
                </c:pt>
                <c:pt idx="5">
                  <c:v>0.5121805706846713</c:v>
                </c:pt>
                <c:pt idx="6">
                  <c:v>0.43135756691437427</c:v>
                </c:pt>
                <c:pt idx="7">
                  <c:v>0.48566613243348694</c:v>
                </c:pt>
                <c:pt idx="8">
                  <c:v>0.6414042506179592</c:v>
                </c:pt>
                <c:pt idx="9">
                  <c:v>0.4615151229044372</c:v>
                </c:pt>
                <c:pt idx="10">
                  <c:v>0.454552472787149</c:v>
                </c:pt>
                <c:pt idx="11">
                  <c:v>0.4750723745183936</c:v>
                </c:pt>
                <c:pt idx="12">
                  <c:v>0.5490636121079614</c:v>
                </c:pt>
                <c:pt idx="13">
                  <c:v>0.5</c:v>
                </c:pt>
                <c:pt idx="14">
                  <c:v>0.5088068380521721</c:v>
                </c:pt>
                <c:pt idx="15">
                  <c:v>0.5258489731593926</c:v>
                </c:pt>
                <c:pt idx="16">
                  <c:v>0.5669810544147338</c:v>
                </c:pt>
                <c:pt idx="17">
                  <c:v>0.5301965191256638</c:v>
                </c:pt>
                <c:pt idx="18">
                  <c:v>0.548243684974687</c:v>
                </c:pt>
                <c:pt idx="19">
                  <c:v>0.5019970227155308</c:v>
                </c:pt>
                <c:pt idx="20">
                  <c:v>0.4565109099170271</c:v>
                </c:pt>
                <c:pt idx="21">
                  <c:v>0.5830144082898366</c:v>
                </c:pt>
                <c:pt idx="22">
                  <c:v>0.5427803569304379</c:v>
                </c:pt>
                <c:pt idx="23">
                  <c:v>0.5288886700990237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0.5028932454322184</c:v>
                </c:pt>
                <c:pt idx="3">
                  <c:v>-999</c:v>
                </c:pt>
                <c:pt idx="4">
                  <c:v>0.48390875204703204</c:v>
                </c:pt>
                <c:pt idx="5">
                  <c:v>0.43432880717548333</c:v>
                </c:pt>
                <c:pt idx="6">
                  <c:v>-999</c:v>
                </c:pt>
                <c:pt idx="7">
                  <c:v>-999</c:v>
                </c:pt>
                <c:pt idx="8">
                  <c:v>-999</c:v>
                </c:pt>
                <c:pt idx="9">
                  <c:v>-999</c:v>
                </c:pt>
                <c:pt idx="10">
                  <c:v>-999</c:v>
                </c:pt>
                <c:pt idx="11">
                  <c:v>-999</c:v>
                </c:pt>
                <c:pt idx="12">
                  <c:v>-999</c:v>
                </c:pt>
                <c:pt idx="13">
                  <c:v>-999</c:v>
                </c:pt>
                <c:pt idx="14">
                  <c:v>0.4679373993375278</c:v>
                </c:pt>
                <c:pt idx="15">
                  <c:v>0.5363132317990422</c:v>
                </c:pt>
                <c:pt idx="16">
                  <c:v>-999</c:v>
                </c:pt>
                <c:pt idx="17">
                  <c:v>-999</c:v>
                </c:pt>
                <c:pt idx="18">
                  <c:v>0.6221810779775252</c:v>
                </c:pt>
                <c:pt idx="19">
                  <c:v>-999</c:v>
                </c:pt>
                <c:pt idx="20">
                  <c:v>0.508162187645005</c:v>
                </c:pt>
                <c:pt idx="21">
                  <c:v>-999</c:v>
                </c:pt>
                <c:pt idx="22">
                  <c:v>-999</c:v>
                </c:pt>
                <c:pt idx="23">
                  <c:v>0.5019257543407802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0.583333333954215</c:v>
                </c:pt>
                <c:pt idx="4">
                  <c:v>-999</c:v>
                </c:pt>
                <c:pt idx="5">
                  <c:v>-999</c:v>
                </c:pt>
                <c:pt idx="6">
                  <c:v>0.36666668537590336</c:v>
                </c:pt>
                <c:pt idx="7">
                  <c:v>0.30496414735668753</c:v>
                </c:pt>
                <c:pt idx="8">
                  <c:v>0.3722634749136866</c:v>
                </c:pt>
                <c:pt idx="9">
                  <c:v>0.4437896371747656</c:v>
                </c:pt>
                <c:pt idx="10">
                  <c:v>0.3937220534236527</c:v>
                </c:pt>
                <c:pt idx="11">
                  <c:v>0.37192572917976763</c:v>
                </c:pt>
                <c:pt idx="12">
                  <c:v>0.885144257078668</c:v>
                </c:pt>
                <c:pt idx="13">
                  <c:v>0.8924979830945023</c:v>
                </c:pt>
                <c:pt idx="14">
                  <c:v>-999</c:v>
                </c:pt>
                <c:pt idx="15">
                  <c:v>-999</c:v>
                </c:pt>
                <c:pt idx="16">
                  <c:v>0.7819327301621204</c:v>
                </c:pt>
                <c:pt idx="17">
                  <c:v>0.7469957018928605</c:v>
                </c:pt>
                <c:pt idx="18">
                  <c:v>-999</c:v>
                </c:pt>
                <c:pt idx="19">
                  <c:v>0.6747900807238234</c:v>
                </c:pt>
                <c:pt idx="20">
                  <c:v>-999</c:v>
                </c:pt>
                <c:pt idx="21">
                  <c:v>0.6718457843153318</c:v>
                </c:pt>
                <c:pt idx="22">
                  <c:v>0.6839355669621449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7102198"/>
        <c:axId val="44157735"/>
      </c:scatterChart>
      <c:catAx>
        <c:axId val="38816172"/>
        <c:scaling>
          <c:orientation val="maxMin"/>
        </c:scaling>
        <c:axPos val="l"/>
        <c:delete val="0"/>
        <c:numFmt formatCode="General" sourceLinked="1"/>
        <c:majorTickMark val="out"/>
        <c:minorTickMark val="none"/>
        <c:tickLblPos val="none"/>
        <c:spPr>
          <a:ln w="3175">
            <a:noFill/>
          </a:ln>
        </c:spPr>
        <c:crossAx val="13801229"/>
        <c:crosses val="autoZero"/>
        <c:auto val="1"/>
        <c:lblOffset val="100"/>
        <c:tickLblSkip val="1"/>
        <c:noMultiLvlLbl val="0"/>
      </c:catAx>
      <c:valAx>
        <c:axId val="13801229"/>
        <c:scaling>
          <c:orientation val="minMax"/>
          <c:max val="1"/>
          <c:min val="0"/>
        </c:scaling>
        <c:axPos val="t"/>
        <c:delete val="0"/>
        <c:numFmt formatCode="General" sourceLinked="1"/>
        <c:majorTickMark val="none"/>
        <c:minorTickMark val="none"/>
        <c:tickLblPos val="none"/>
        <c:spPr>
          <a:ln w="3175">
            <a:noFill/>
          </a:ln>
        </c:spPr>
        <c:crossAx val="38816172"/>
        <c:crossesAt val="1"/>
        <c:crossBetween val="between"/>
        <c:dispUnits/>
        <c:majorUnit val="1"/>
      </c:valAx>
      <c:valAx>
        <c:axId val="57102198"/>
        <c:scaling>
          <c:orientation val="minMax"/>
          <c:max val="1"/>
          <c:min val="0"/>
        </c:scaling>
        <c:axPos val="t"/>
        <c:delete val="0"/>
        <c:numFmt formatCode="General" sourceLinked="1"/>
        <c:majorTickMark val="none"/>
        <c:minorTickMark val="none"/>
        <c:tickLblPos val="none"/>
        <c:spPr>
          <a:ln w="3175">
            <a:noFill/>
          </a:ln>
        </c:spPr>
        <c:crossAx val="44157735"/>
        <c:crosses val="max"/>
        <c:crossBetween val="midCat"/>
        <c:dispUnits/>
        <c:majorUnit val="0.1"/>
        <c:minorUnit val="0.020000000000000004"/>
      </c:valAx>
      <c:valAx>
        <c:axId val="44157735"/>
        <c:scaling>
          <c:orientation val="maxMin"/>
          <c:max val="29"/>
          <c:min val="0"/>
        </c:scaling>
        <c:axPos val="l"/>
        <c:delete val="0"/>
        <c:numFmt formatCode="General" sourceLinked="1"/>
        <c:majorTickMark val="none"/>
        <c:minorTickMark val="none"/>
        <c:tickLblPos val="none"/>
        <c:spPr>
          <a:ln w="3175">
            <a:noFill/>
          </a:ln>
        </c:spPr>
        <c:crossAx val="571021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(H81033) ABBEY PRACTICE, SURREY PCT (5P5)</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570</v>
      </c>
      <c r="Q3" s="65"/>
      <c r="R3" s="66"/>
      <c r="S3" s="66"/>
      <c r="T3" s="66"/>
      <c r="U3" s="66"/>
      <c r="V3" s="66"/>
      <c r="W3" s="66"/>
      <c r="X3" s="66"/>
      <c r="Y3" s="66"/>
      <c r="Z3" s="66"/>
      <c r="AA3" s="66"/>
      <c r="AB3" s="66"/>
      <c r="AC3" s="66"/>
    </row>
    <row r="4" spans="2:29" ht="18" customHeight="1">
      <c r="B4" s="319" t="s">
        <v>732</v>
      </c>
      <c r="C4" s="320"/>
      <c r="D4" s="320"/>
      <c r="E4" s="320"/>
      <c r="F4" s="320"/>
      <c r="G4" s="321"/>
      <c r="H4" s="112"/>
      <c r="I4" s="112"/>
      <c r="J4" s="112"/>
      <c r="K4" s="112"/>
      <c r="L4" s="113"/>
      <c r="M4" s="65"/>
      <c r="N4" s="65"/>
      <c r="O4" s="65"/>
      <c r="P4" s="134" t="s">
        <v>571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572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467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731</v>
      </c>
      <c r="C8" s="115"/>
      <c r="D8" s="115"/>
      <c r="E8" s="128">
        <f>VLOOKUP('Hide - Control'!A$3,'All practice data'!A:CA,4,FALSE)</f>
        <v>10775</v>
      </c>
      <c r="F8" s="310" t="str">
        <f>VLOOKUP('Hide - Control'!B4,'Hide - Calculation'!AY:BA,3,FALSE)</f>
        <v> </v>
      </c>
      <c r="G8" s="310"/>
      <c r="H8" s="310"/>
      <c r="I8" s="115"/>
      <c r="J8" s="115"/>
      <c r="K8" s="115"/>
      <c r="L8" s="115"/>
      <c r="M8" s="109"/>
      <c r="N8" s="314" t="s">
        <v>580</v>
      </c>
      <c r="O8" s="314"/>
      <c r="P8" s="314"/>
      <c r="Q8" s="314" t="s">
        <v>32</v>
      </c>
      <c r="R8" s="314"/>
      <c r="S8" s="314"/>
      <c r="T8" s="314" t="s">
        <v>735</v>
      </c>
      <c r="U8" s="314"/>
      <c r="V8" s="314" t="s">
        <v>33</v>
      </c>
      <c r="W8" s="314"/>
      <c r="X8" s="314"/>
      <c r="Y8" s="135"/>
      <c r="Z8" s="314" t="s">
        <v>573</v>
      </c>
      <c r="AA8" s="314"/>
      <c r="AB8" s="161"/>
      <c r="AC8" s="109"/>
    </row>
    <row r="9" spans="2:29" s="61" customFormat="1" ht="19.5" customHeight="1" thickBot="1">
      <c r="B9" s="114" t="s">
        <v>565</v>
      </c>
      <c r="C9" s="114"/>
      <c r="D9" s="114"/>
      <c r="E9" s="129">
        <f>VLOOKUP('Hide - Control'!B4,'Hide - Calculation'!AY:BB,4,FALSE)</f>
        <v>1156805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562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543</v>
      </c>
      <c r="E11" s="317"/>
      <c r="F11" s="318"/>
      <c r="G11" s="263" t="s">
        <v>541</v>
      </c>
      <c r="H11" s="255" t="s">
        <v>542</v>
      </c>
      <c r="I11" s="255" t="s">
        <v>553</v>
      </c>
      <c r="J11" s="255" t="s">
        <v>554</v>
      </c>
      <c r="K11" s="255" t="s">
        <v>426</v>
      </c>
      <c r="L11" s="256" t="s">
        <v>467</v>
      </c>
      <c r="M11" s="257" t="s">
        <v>563</v>
      </c>
      <c r="N11" s="334" t="s">
        <v>561</v>
      </c>
      <c r="O11" s="334"/>
      <c r="P11" s="334"/>
      <c r="Q11" s="334"/>
      <c r="R11" s="334"/>
      <c r="S11" s="334"/>
      <c r="T11" s="334"/>
      <c r="U11" s="334"/>
      <c r="V11" s="334"/>
      <c r="W11" s="334"/>
      <c r="X11" s="334"/>
      <c r="Y11" s="334"/>
      <c r="Z11" s="334"/>
      <c r="AA11" s="258" t="s">
        <v>564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424</v>
      </c>
      <c r="C13" s="163">
        <v>1</v>
      </c>
      <c r="D13" s="312" t="s">
        <v>420</v>
      </c>
      <c r="E13" s="313"/>
      <c r="F13" s="313"/>
      <c r="G13" s="166">
        <f>IF(VLOOKUP('Hide - Control'!A$3,'All practice data'!A:CA,C13+4,FALSE)=" "," ",VLOOKUP('Hide - Control'!A$3,'All practice data'!A:CA,C13+4,FALSE))</f>
        <v>1835</v>
      </c>
      <c r="H13" s="190">
        <f>IF(VLOOKUP('Hide - Control'!A$3,'All practice data'!A:CA,C13+30,FALSE)=" "," ",VLOOKUP('Hide - Control'!A$3,'All practice data'!A:CA,C13+30,FALSE))</f>
        <v>0.17030162412993038</v>
      </c>
      <c r="I13" s="191">
        <f>IF(LEFT(G13,1)=" "," n/a",+((2*G13+1.96^2-1.96*SQRT(1.96^2+4*G13*(1-G13/E$8)))/(2*(E$8+1.96^2))))</f>
        <v>0.16332173272951417</v>
      </c>
      <c r="J13" s="191">
        <f>IF(LEFT(G13,1)=" "," n/a",+((2*G13+1.96^2+1.96*SQRT(1.96^2+4*G13*(1-G13/E$8)))/(2*(E$8+1.96^2))))</f>
        <v>0.17751652580839777</v>
      </c>
      <c r="K13" s="190">
        <f>IF('Hide - Calculation'!N7="","",'Hide - Calculation'!N7)</f>
        <v>0.168744948370728</v>
      </c>
      <c r="L13" s="192">
        <f>'Hide - Calculation'!O7</f>
        <v>0.1599882305185145</v>
      </c>
      <c r="M13" s="208">
        <f>IF(ISBLANK('Hide - Calculation'!K7),"",'Hide - Calculation'!U7)</f>
        <v>0.0458579882979393</v>
      </c>
      <c r="N13" s="173"/>
      <c r="O13" s="173"/>
      <c r="P13" s="173"/>
      <c r="Q13" s="173"/>
      <c r="R13" s="173"/>
      <c r="S13" s="173"/>
      <c r="T13" s="173"/>
      <c r="U13" s="173"/>
      <c r="V13" s="173"/>
      <c r="W13" s="173"/>
      <c r="X13" s="173"/>
      <c r="Y13" s="173"/>
      <c r="Z13" s="173"/>
      <c r="AA13" s="226">
        <f>IF(ISBLANK('Hide - Calculation'!K7),"",'Hide - Calculation'!T7)</f>
        <v>0.24301676452159882</v>
      </c>
      <c r="AB13" s="233" t="s">
        <v>729</v>
      </c>
      <c r="AC13" s="209" t="s">
        <v>730</v>
      </c>
    </row>
    <row r="14" spans="2:29" ht="33.75" customHeight="1">
      <c r="B14" s="306"/>
      <c r="C14" s="137">
        <v>2</v>
      </c>
      <c r="D14" s="132" t="s">
        <v>574</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0.08474143507903814</v>
      </c>
      <c r="J14" s="120">
        <f>IF(LEFT(G14,1)=" "," n/a",+((2*H14*E8+1.96^2+1.96*SQRT(1.96^2+4*H14*E8*(1-H14*E8/E$8)))/(2*(E$8+1.96^2))))</f>
        <v>0.09555081450741092</v>
      </c>
      <c r="K14" s="119">
        <f>IF('Hide - Calculation'!N8="","",'Hide - Calculation'!N8)</f>
        <v>0.06856093291436326</v>
      </c>
      <c r="L14" s="155">
        <f>'Hide - Calculation'!O8</f>
        <v>0.15010930292554353</v>
      </c>
      <c r="M14" s="150">
        <f>IF(ISBLANK('Hide - Calculation'!K8),"",'Hide - Calculation'!U8)</f>
        <v>0.029999999329447746</v>
      </c>
      <c r="N14" s="84"/>
      <c r="O14" s="84"/>
      <c r="P14" s="84"/>
      <c r="Q14" s="84"/>
      <c r="R14" s="84"/>
      <c r="S14" s="84"/>
      <c r="T14" s="84"/>
      <c r="U14" s="84"/>
      <c r="V14" s="84"/>
      <c r="W14" s="84"/>
      <c r="X14" s="84"/>
      <c r="Y14" s="84"/>
      <c r="Z14" s="84"/>
      <c r="AA14" s="227">
        <f>IF(ISBLANK('Hide - Calculation'!K8),"",'Hide - Calculation'!T8)</f>
        <v>0.1899999976158142</v>
      </c>
      <c r="AB14" s="234" t="s">
        <v>39</v>
      </c>
      <c r="AC14" s="130" t="s">
        <v>730</v>
      </c>
    </row>
    <row r="15" spans="2:39" s="63" customFormat="1" ht="33.75" customHeight="1">
      <c r="B15" s="306"/>
      <c r="C15" s="137">
        <v>3</v>
      </c>
      <c r="D15" s="132" t="s">
        <v>429</v>
      </c>
      <c r="E15" s="85"/>
      <c r="F15" s="85"/>
      <c r="G15" s="121">
        <f>IF(VLOOKUP('Hide - Control'!A$3,'All practice data'!A:CA,C15+4,FALSE)=" "," ",VLOOKUP('Hide - Control'!A$3,'All practice data'!A:CA,C15+4,FALSE))</f>
        <v>44</v>
      </c>
      <c r="H15" s="122">
        <f>IF(VLOOKUP('Hide - Control'!A$3,'All practice data'!A:CA,C15+30,FALSE)=" "," ",VLOOKUP('Hide - Control'!A$3,'All practice data'!A:CA,C15+30,FALSE))</f>
        <v>408.3526682134571</v>
      </c>
      <c r="I15" s="123">
        <f>IF(LEFT(G15,1)=" "," n/a",IF(G15&lt;5,100000*VLOOKUP(G15,'Hide - Calculation'!AQ:AR,2,FALSE)/$E$8,100000*(G15*(1-1/(9*G15)-1.96/(3*SQRT(G15)))^3)/$E$8))</f>
        <v>296.67913008197996</v>
      </c>
      <c r="J15" s="123">
        <f>IF(LEFT(G15,1)=" "," n/a",IF(G15&lt;5,100000*VLOOKUP(G15,'Hide - Calculation'!AQ:AS,3,FALSE)/$E$8,100000*((G15+1)*(1-1/(9*(G15+1))+1.96/(3*SQRT(G15+1)))^3)/$E$8))</f>
        <v>548.2103329399571</v>
      </c>
      <c r="K15" s="122">
        <f>IF('Hide - Calculation'!N9="","",'Hide - Calculation'!N9)</f>
        <v>424.0991351178461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720.52099609375</v>
      </c>
      <c r="AB15" s="234" t="s">
        <v>544</v>
      </c>
      <c r="AC15" s="131">
        <v>2009</v>
      </c>
      <c r="AD15" s="64"/>
      <c r="AE15" s="64"/>
      <c r="AF15" s="64"/>
      <c r="AG15" s="64"/>
      <c r="AH15" s="64"/>
      <c r="AI15" s="64"/>
      <c r="AJ15" s="64"/>
      <c r="AK15" s="64"/>
      <c r="AL15" s="64"/>
      <c r="AM15" s="64"/>
    </row>
    <row r="16" spans="2:29" s="63" customFormat="1" ht="33.75" customHeight="1">
      <c r="B16" s="306"/>
      <c r="C16" s="137">
        <v>4</v>
      </c>
      <c r="D16" s="132" t="s">
        <v>566</v>
      </c>
      <c r="E16" s="85"/>
      <c r="F16" s="85"/>
      <c r="G16" s="121">
        <f>IF(VLOOKUP('Hide - Control'!A$3,'All practice data'!A:CA,C16+4,FALSE)=" "," ",VLOOKUP('Hide - Control'!A$3,'All practice data'!A:CA,C16+4,FALSE))</f>
        <v>21</v>
      </c>
      <c r="H16" s="122">
        <f>IF(VLOOKUP('Hide - Control'!A$3,'All practice data'!A:CA,C16+30,FALSE)=" "," ",VLOOKUP('Hide - Control'!A$3,'All practice data'!A:CA,C16+30,FALSE))</f>
        <v>194.8955916473318</v>
      </c>
      <c r="I16" s="123">
        <f>IF(LEFT(G16,1)=" "," n/a",IF(G16&lt;5,100000*VLOOKUP(G16,'Hide - Calculation'!AQ:AR,2,FALSE)/$E$8,100000*(G16*(1-1/(9*G16)-1.96/(3*SQRT(G16)))^3)/$E$8))</f>
        <v>120.59653514850267</v>
      </c>
      <c r="J16" s="123">
        <f>IF(LEFT(G16,1)=" "," n/a",IF(G16&lt;5,100000*VLOOKUP(G16,'Hide - Calculation'!AQ:AS,3,FALSE)/$E$8,100000*((G16+1)*(1-1/(9*(G16+1))+1.96/(3*SQRT(G16+1)))^3)/$E$8))</f>
        <v>297.9346413373153</v>
      </c>
      <c r="K16" s="122">
        <f>IF('Hide - Calculation'!N10="","",'Hide - Calculation'!N10)</f>
        <v>230.8081310160312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479.9191589355469</v>
      </c>
      <c r="AB16" s="234" t="s">
        <v>423</v>
      </c>
      <c r="AC16" s="131" t="s">
        <v>598</v>
      </c>
    </row>
    <row r="17" spans="2:29" s="63" customFormat="1" ht="33.75" customHeight="1" thickBot="1">
      <c r="B17" s="309"/>
      <c r="C17" s="180">
        <v>5</v>
      </c>
      <c r="D17" s="195" t="s">
        <v>428</v>
      </c>
      <c r="E17" s="182"/>
      <c r="F17" s="182"/>
      <c r="G17" s="140">
        <f>IF(VLOOKUP('Hide - Control'!A$3,'All practice data'!A:CA,C17+4,FALSE)=" "," ",VLOOKUP('Hide - Control'!A$3,'All practice data'!A:CA,C17+4,FALSE))</f>
        <v>148</v>
      </c>
      <c r="H17" s="141">
        <f>IF(VLOOKUP('Hide - Control'!A$3,'All practice data'!A:CA,C17+30,FALSE)=" "," ",VLOOKUP('Hide - Control'!A$3,'All practice data'!A:CA,C17+30,FALSE))</f>
        <v>0.013999999999999999</v>
      </c>
      <c r="I17" s="142">
        <f>IF(LEFT(G17,1)=" "," n/a",+((2*G17+1.96^2-1.96*SQRT(1.96^2+4*G17*(1-G17/E$8)))/(2*(E$8+1.96^2))))</f>
        <v>0.011704682627043946</v>
      </c>
      <c r="J17" s="142">
        <f>IF(LEFT(G17,1)=" "," n/a",+((2*G17+1.96^2+1.96*SQRT(1.96^2+4*G17*(1-G17/E$8)))/(2*(E$8+1.96^2))))</f>
        <v>0.016112926270743365</v>
      </c>
      <c r="K17" s="141">
        <f>IF('Hide - Calculation'!N11="","",'Hide - Calculation'!N11)</f>
        <v>0.017918318126218333</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0.028999999165534973</v>
      </c>
      <c r="AB17" s="235" t="s">
        <v>567</v>
      </c>
      <c r="AC17" s="189" t="s">
        <v>598</v>
      </c>
    </row>
    <row r="18" spans="2:29" s="63" customFormat="1" ht="33.75" customHeight="1">
      <c r="B18" s="308" t="s">
        <v>13</v>
      </c>
      <c r="C18" s="163">
        <v>6</v>
      </c>
      <c r="D18" s="164" t="s">
        <v>575</v>
      </c>
      <c r="E18" s="165"/>
      <c r="F18" s="165"/>
      <c r="G18" s="219">
        <f>IF(OR(VLOOKUP('Hide - Control'!A$3,'All practice data'!A:CA,C18+4,FALSE)=" ",VLOOKUP('Hide - Control'!A$3,'All practice data'!A:CA,C18+52,FALSE)=0)," n/a",VLOOKUP('Hide - Control'!A$3,'All practice data'!A:CA,C18+4,FALSE))</f>
        <v>711</v>
      </c>
      <c r="H18" s="220">
        <f>IF(OR(VLOOKUP('Hide - Control'!A$3,'All practice data'!A:CA,C18+30,FALSE)=" ",VLOOKUP('Hide - Control'!A$3,'All practice data'!A:CA,C18+52,FALSE)=0)," n/a",VLOOKUP('Hide - Control'!A$3,'All practice data'!A:CA,C18+30,FALSE))</f>
        <v>0.610825</v>
      </c>
      <c r="I18" s="191">
        <f>IF(OR(LEFT(H18,1)=" ",VLOOKUP('Hide - Control'!A$3,'All practice data'!A:CA,C18+52,FALSE)=0)," n/a",+((2*G18+1.96^2-1.96*SQRT(1.96^2+4*G18*(1-G18/(VLOOKUP('Hide - Control'!A$3,'All practice data'!A:CA,C18+52,FALSE)))))/(2*(((VLOOKUP('Hide - Control'!A$3,'All practice data'!A:CA,C18+52,FALSE)))+1.96^2))))</f>
        <v>0.582494084528954</v>
      </c>
      <c r="J18" s="191">
        <f>IF(OR(LEFT(H18,1)=" ",VLOOKUP('Hide - Control'!A$3,'All practice data'!A:CA,C18+52,FALSE)=0)," n/a",+((2*G18+1.96^2+1.96*SQRT(1.96^2+4*G18*(1-G18/(VLOOKUP('Hide - Control'!A$3,'All practice data'!A:CA,C18+52,FALSE)))))/(2*((VLOOKUP('Hide - Control'!A$3,'All practice data'!A:CA,C18+52,FALSE))+1.96^2))))</f>
        <v>0.6384262868638787</v>
      </c>
      <c r="K18" s="220">
        <f>IF('Hide - Calculation'!N12="","",'Hide - Calculation'!N12)</f>
        <v>0.7318484806356965</v>
      </c>
      <c r="L18" s="192">
        <f>'Hide - Calculation'!O12</f>
        <v>0.7248631360507991</v>
      </c>
      <c r="M18" s="193">
        <f>IF(ISBLANK('Hide - Calculation'!K12),"",'Hide - Calculation'!U12)</f>
        <v>0.4183669984340668</v>
      </c>
      <c r="N18" s="194"/>
      <c r="O18" s="173"/>
      <c r="P18" s="173"/>
      <c r="Q18" s="173"/>
      <c r="R18" s="173"/>
      <c r="S18" s="173"/>
      <c r="T18" s="173"/>
      <c r="U18" s="173"/>
      <c r="V18" s="173"/>
      <c r="W18" s="173"/>
      <c r="X18" s="173"/>
      <c r="Y18" s="173"/>
      <c r="Z18" s="174"/>
      <c r="AA18" s="193">
        <f>IF(ISBLANK('Hide - Calculation'!K12),"",'Hide - Calculation'!T12)</f>
        <v>0.816215991973877</v>
      </c>
      <c r="AB18" s="233" t="s">
        <v>48</v>
      </c>
      <c r="AC18" s="175" t="s">
        <v>599</v>
      </c>
    </row>
    <row r="19" spans="2:29" s="63" customFormat="1" ht="33.75" customHeight="1">
      <c r="B19" s="306"/>
      <c r="C19" s="137">
        <v>7</v>
      </c>
      <c r="D19" s="132" t="s">
        <v>576</v>
      </c>
      <c r="E19" s="85"/>
      <c r="F19" s="85"/>
      <c r="G19" s="221">
        <f>IF(OR(VLOOKUP('Hide - Control'!A$3,'All practice data'!A:CA,C19+4,FALSE)=" ",VLOOKUP('Hide - Control'!A$3,'All practice data'!A:CA,C19+52,FALSE)=0)," n/a",VLOOKUP('Hide - Control'!A$3,'All practice data'!A:CA,C19+4,FALSE))</f>
        <v>24</v>
      </c>
      <c r="H19" s="218">
        <f>IF(OR(VLOOKUP('Hide - Control'!A$3,'All practice data'!A:CA,C19+30,FALSE)=" ",VLOOKUP('Hide - Control'!A$3,'All practice data'!A:CA,C19+52,FALSE)=0)," n/a",VLOOKUP('Hide - Control'!A$3,'All practice data'!A:CA,C19+30,FALSE))</f>
        <v>0.521739</v>
      </c>
      <c r="I19" s="120">
        <f>IF(OR(LEFT(H19,1)=" ",VLOOKUP('Hide - Control'!A$3,'All practice data'!A:CA,C19+52,FALSE)=0)," n/a",+((2*G19+1.96^2-1.96*SQRT(1.96^2+4*G19*(1-G19/(VLOOKUP('Hide - Control'!A$3,'All practice data'!A:CA,C19+52,FALSE)))))/(2*(((VLOOKUP('Hide - Control'!A$3,'All practice data'!A:CA,C19+52,FALSE)))+1.96^2))))</f>
        <v>0.38137172148151327</v>
      </c>
      <c r="J19" s="120">
        <f>IF(OR(LEFT(H19,1)=" ",VLOOKUP('Hide - Control'!A$3,'All practice data'!A:CA,C19+52,FALSE)=0)," n/a",+((2*G19+1.96^2+1.96*SQRT(1.96^2+4*G19*(1-G19/(VLOOKUP('Hide - Control'!A$3,'All practice data'!A:CA,C19+52,FALSE)))))/(2*((VLOOKUP('Hide - Control'!A$3,'All practice data'!A:CA,C19+52,FALSE))+1.96^2))))</f>
        <v>0.6587554012432789</v>
      </c>
      <c r="K19" s="218">
        <f>IF('Hide - Calculation'!N13="","",'Hide - Calculation'!N13)</f>
        <v>0.7247203878306676</v>
      </c>
      <c r="L19" s="155">
        <f>'Hide - Calculation'!O13</f>
        <v>0.7467412166569077</v>
      </c>
      <c r="M19" s="152">
        <f>IF(ISBLANK('Hide - Calculation'!K13),"",'Hide - Calculation'!U13)</f>
        <v>0.2105260044336319</v>
      </c>
      <c r="N19" s="160"/>
      <c r="O19" s="84"/>
      <c r="P19" s="84"/>
      <c r="Q19" s="84"/>
      <c r="R19" s="84"/>
      <c r="S19" s="84"/>
      <c r="T19" s="84"/>
      <c r="U19" s="84"/>
      <c r="V19" s="84"/>
      <c r="W19" s="84"/>
      <c r="X19" s="84"/>
      <c r="Y19" s="84"/>
      <c r="Z19" s="88"/>
      <c r="AA19" s="152">
        <f>IF(ISBLANK('Hide - Calculation'!K13),"",'Hide - Calculation'!T13)</f>
        <v>1</v>
      </c>
      <c r="AB19" s="234" t="s">
        <v>48</v>
      </c>
      <c r="AC19" s="131" t="s">
        <v>598</v>
      </c>
    </row>
    <row r="20" spans="2:29" s="63" customFormat="1" ht="33.75" customHeight="1">
      <c r="B20" s="306"/>
      <c r="C20" s="137">
        <v>8</v>
      </c>
      <c r="D20" s="132" t="s">
        <v>577</v>
      </c>
      <c r="E20" s="85"/>
      <c r="F20" s="85"/>
      <c r="G20" s="221">
        <f>IF(OR(VLOOKUP('Hide - Control'!A$3,'All practice data'!A:CA,C20+4,FALSE)=" ",VLOOKUP('Hide - Control'!A$3,'All practice data'!A:CA,C20+52,FALSE)=0)," n/a",VLOOKUP('Hide - Control'!A$3,'All practice data'!A:CA,C20+4,FALSE))</f>
        <v>2020</v>
      </c>
      <c r="H20" s="218">
        <f>IF(OR(VLOOKUP('Hide - Control'!A$3,'All practice data'!A:CA,C20+30,FALSE)=" ",VLOOKUP('Hide - Control'!A$3,'All practice data'!A:CA,C20+52,FALSE)=0)," n/a",VLOOKUP('Hide - Control'!A$3,'All practice data'!A:CA,C20+30,FALSE))</f>
        <v>0.749258</v>
      </c>
      <c r="I20" s="120">
        <f>IF(OR(LEFT(H20,1)=" ",VLOOKUP('Hide - Control'!A$3,'All practice data'!A:CA,C20+52,FALSE)=0)," n/a",+((2*G20+1.96^2-1.96*SQRT(1.96^2+4*G20*(1-G20/(VLOOKUP('Hide - Control'!A$3,'All practice data'!A:CA,C20+52,FALSE)))))/(2*(((VLOOKUP('Hide - Control'!A$3,'All practice data'!A:CA,C20+52,FALSE)))+1.96^2))))</f>
        <v>0.7325497082404342</v>
      </c>
      <c r="J20" s="120">
        <f>IF(OR(LEFT(H20,1)=" ",VLOOKUP('Hide - Control'!A$3,'All practice data'!A:CA,C20+52,FALSE)=0)," n/a",+((2*G20+1.96^2+1.96*SQRT(1.96^2+4*G20*(1-G20/(VLOOKUP('Hide - Control'!A$3,'All practice data'!A:CA,C20+52,FALSE)))))/(2*((VLOOKUP('Hide - Control'!A$3,'All practice data'!A:CA,C20+52,FALSE))+1.96^2))))</f>
        <v>0.7652572742136475</v>
      </c>
      <c r="K20" s="218">
        <f>IF('Hide - Calculation'!N14="","",'Hide - Calculation'!N14)</f>
        <v>0.7654825267153526</v>
      </c>
      <c r="L20" s="155">
        <f>'Hide - Calculation'!O14</f>
        <v>0.7559681673907895</v>
      </c>
      <c r="M20" s="152">
        <f>IF(ISBLANK('Hide - Calculation'!K14),"",'Hide - Calculation'!U14)</f>
        <v>0.5812568068504333</v>
      </c>
      <c r="N20" s="160"/>
      <c r="O20" s="84"/>
      <c r="P20" s="84"/>
      <c r="Q20" s="84"/>
      <c r="R20" s="84"/>
      <c r="S20" s="84"/>
      <c r="T20" s="84"/>
      <c r="U20" s="84"/>
      <c r="V20" s="84"/>
      <c r="W20" s="84"/>
      <c r="X20" s="84"/>
      <c r="Y20" s="84"/>
      <c r="Z20" s="88"/>
      <c r="AA20" s="152">
        <f>IF(ISBLANK('Hide - Calculation'!K14),"",'Hide - Calculation'!T14)</f>
        <v>0.8802400231361389</v>
      </c>
      <c r="AB20" s="234" t="s">
        <v>48</v>
      </c>
      <c r="AC20" s="131" t="s">
        <v>600</v>
      </c>
    </row>
    <row r="21" spans="2:29" s="63" customFormat="1" ht="33.75" customHeight="1">
      <c r="B21" s="306"/>
      <c r="C21" s="137">
        <v>9</v>
      </c>
      <c r="D21" s="132" t="s">
        <v>578</v>
      </c>
      <c r="E21" s="85"/>
      <c r="F21" s="85"/>
      <c r="G21" s="221">
        <f>IF(OR(VLOOKUP('Hide - Control'!A$3,'All practice data'!A:CA,C21+4,FALSE)=" ",VLOOKUP('Hide - Control'!A$3,'All practice data'!A:CA,C21+52,FALSE)=0)," n/a",VLOOKUP('Hide - Control'!A$3,'All practice data'!A:CA,C21+4,FALSE))</f>
        <v>515</v>
      </c>
      <c r="H21" s="218">
        <f>IF(OR(VLOOKUP('Hide - Control'!A$3,'All practice data'!A:CA,C21+30,FALSE)=" ",VLOOKUP('Hide - Control'!A$3,'All practice data'!A:CA,C21+52,FALSE)=0)," n/a",VLOOKUP('Hide - Control'!A$3,'All practice data'!A:CA,C21+30,FALSE))</f>
        <v>0.469462</v>
      </c>
      <c r="I21" s="120">
        <f>IF(OR(LEFT(H21,1)=" ",VLOOKUP('Hide - Control'!A$3,'All practice data'!A:CA,C21+52,FALSE)=0)," n/a",+((2*G21+1.96^2-1.96*SQRT(1.96^2+4*G21*(1-G21/(VLOOKUP('Hide - Control'!A$3,'All practice data'!A:CA,C21+52,FALSE)))))/(2*(((VLOOKUP('Hide - Control'!A$3,'All practice data'!A:CA,C21+52,FALSE)))+1.96^2))))</f>
        <v>0.4400868709886982</v>
      </c>
      <c r="J21" s="120">
        <f>IF(OR(LEFT(H21,1)=" ",VLOOKUP('Hide - Control'!A$3,'All practice data'!A:CA,C21+52,FALSE)=0)," n/a",+((2*G21+1.96^2+1.96*SQRT(1.96^2+4*G21*(1-G21/(VLOOKUP('Hide - Control'!A$3,'All practice data'!A:CA,C21+52,FALSE)))))/(2*((VLOOKUP('Hide - Control'!A$3,'All practice data'!A:CA,C21+52,FALSE))+1.96^2))))</f>
        <v>0.4990506034672089</v>
      </c>
      <c r="K21" s="218">
        <f>IF('Hide - Calculation'!N15="","",'Hide - Calculation'!N15)</f>
        <v>0.5557958093639819</v>
      </c>
      <c r="L21" s="155">
        <f>'Hide - Calculation'!O15</f>
        <v>0.5147293797466616</v>
      </c>
      <c r="M21" s="152">
        <f>IF(ISBLANK('Hide - Calculation'!K15),"",'Hide - Calculation'!U15)</f>
        <v>0.17647099494934082</v>
      </c>
      <c r="N21" s="160"/>
      <c r="O21" s="84"/>
      <c r="P21" s="84"/>
      <c r="Q21" s="84"/>
      <c r="R21" s="84"/>
      <c r="S21" s="84"/>
      <c r="T21" s="84"/>
      <c r="U21" s="84"/>
      <c r="V21" s="84"/>
      <c r="W21" s="84"/>
      <c r="X21" s="84"/>
      <c r="Y21" s="84"/>
      <c r="Z21" s="88"/>
      <c r="AA21" s="152">
        <f>IF(ISBLANK('Hide - Calculation'!K15),"",'Hide - Calculation'!T15)</f>
        <v>0.6435750126838684</v>
      </c>
      <c r="AB21" s="234" t="s">
        <v>48</v>
      </c>
      <c r="AC21" s="131" t="s">
        <v>599</v>
      </c>
    </row>
    <row r="22" spans="2:29" s="63" customFormat="1" ht="33.75" customHeight="1" thickBot="1">
      <c r="B22" s="309"/>
      <c r="C22" s="180">
        <v>10</v>
      </c>
      <c r="D22" s="195" t="s">
        <v>579</v>
      </c>
      <c r="E22" s="182"/>
      <c r="F22" s="182"/>
      <c r="G22" s="222">
        <f>IF(OR(VLOOKUP('Hide - Control'!A$3,'All practice data'!A:CA,C22+4,FALSE)=" ",VLOOKUP('Hide - Control'!A$3,'All practice data'!A:CA,C22+52,FALSE)=0)," n/a",VLOOKUP('Hide - Control'!A$3,'All practice data'!A:CA,C22+4,FALSE))</f>
        <v>235</v>
      </c>
      <c r="H22" s="223">
        <f>IF(OR(VLOOKUP('Hide - Control'!A$3,'All practice data'!A:CA,C22+30,FALSE)=" ",VLOOKUP('Hide - Control'!A$3,'All practice data'!A:CA,C22+52,FALSE)=0)," n/a",VLOOKUP('Hide - Control'!A$3,'All practice data'!A:CA,C22+30,FALSE))</f>
        <v>0.497881</v>
      </c>
      <c r="I22" s="196">
        <f>IF(OR(LEFT(H22,1)=" ",VLOOKUP('Hide - Control'!A$3,'All practice data'!A:CA,C22+52,FALSE)=0)," n/a",+((2*G22+1.96^2-1.96*SQRT(1.96^2+4*G22*(1-G22/(VLOOKUP('Hide - Control'!A$3,'All practice data'!A:CA,C22+52,FALSE)))))/(2*(((VLOOKUP('Hide - Control'!A$3,'All practice data'!A:CA,C22+52,FALSE)))+1.96^2))))</f>
        <v>0.4529731583763258</v>
      </c>
      <c r="J22" s="196">
        <f>IF(OR(LEFT(H22,1)=" ",VLOOKUP('Hide - Control'!A$3,'All practice data'!A:CA,C22+52,FALSE)=0)," n/a",+((2*G22+1.96^2+1.96*SQRT(1.96^2+4*G22*(1-G22/(VLOOKUP('Hide - Control'!A$3,'All practice data'!A:CA,C22+52,FALSE)))))/(2*((VLOOKUP('Hide - Control'!A$3,'All practice data'!A:CA,C22+52,FALSE))+1.96^2))))</f>
        <v>0.5428237622796237</v>
      </c>
      <c r="K22" s="223">
        <f>IF('Hide - Calculation'!N16="","",'Hide - Calculation'!N16)</f>
        <v>0.5984190772263714</v>
      </c>
      <c r="L22" s="197">
        <f>'Hide - Calculation'!O16</f>
        <v>0.5752927626212945</v>
      </c>
      <c r="M22" s="198">
        <f>IF(ISBLANK('Hide - Calculation'!K16),"",'Hide - Calculation'!U16)</f>
        <v>0.21875</v>
      </c>
      <c r="N22" s="199"/>
      <c r="O22" s="91"/>
      <c r="P22" s="91"/>
      <c r="Q22" s="91"/>
      <c r="R22" s="91"/>
      <c r="S22" s="91"/>
      <c r="T22" s="91"/>
      <c r="U22" s="91"/>
      <c r="V22" s="91"/>
      <c r="W22" s="91"/>
      <c r="X22" s="91"/>
      <c r="Y22" s="91"/>
      <c r="Z22" s="188"/>
      <c r="AA22" s="198">
        <f>IF(ISBLANK('Hide - Calculation'!K16),"",'Hide - Calculation'!T16)</f>
        <v>0.6941750049591064</v>
      </c>
      <c r="AB22" s="235" t="s">
        <v>48</v>
      </c>
      <c r="AC22" s="189" t="s">
        <v>598</v>
      </c>
    </row>
    <row r="23" spans="2:29" s="63" customFormat="1" ht="33.75" customHeight="1">
      <c r="B23" s="308" t="s">
        <v>418</v>
      </c>
      <c r="C23" s="163">
        <v>11</v>
      </c>
      <c r="D23" s="179" t="s">
        <v>430</v>
      </c>
      <c r="E23" s="165"/>
      <c r="F23" s="165"/>
      <c r="G23" s="118">
        <f>IF(VLOOKUP('Hide - Control'!A$3,'All practice data'!A:CA,C23+4,FALSE)=" "," ",VLOOKUP('Hide - Control'!A$3,'All practice data'!A:CA,C23+4,FALSE))</f>
        <v>325</v>
      </c>
      <c r="H23" s="216">
        <f>IF(VLOOKUP('Hide - Control'!A$3,'All practice data'!A:CA,C23+30,FALSE)=" "," ",VLOOKUP('Hide - Control'!A$3,'All practice data'!A:CA,C23+30,FALSE))</f>
        <v>3016.2412993039443</v>
      </c>
      <c r="I23" s="215">
        <f>IF(LEFT(G23,1)=" "," n/a",IF(G23&lt;5,100000*VLOOKUP(G23,'Hide - Calculation'!AQ:AR,2,FALSE)/$E$8,100000*(G23*(1-1/(9*G23)-1.96/(3*SQRT(G23)))^3)/$E$8))</f>
        <v>2697.1801464944906</v>
      </c>
      <c r="J23" s="215">
        <f>IF(LEFT(G23,1)=" "," n/a",IF(G23&lt;5,100000*VLOOKUP(G23,'Hide - Calculation'!AQ:AS,3,FALSE)/$E$8,100000*((G23+1)*(1-1/(9*(G23+1))+1.96/(3*SQRT(G23+1)))^3)/$E$8))</f>
        <v>3362.662874371423</v>
      </c>
      <c r="K23" s="216">
        <f>IF('Hide - Calculation'!N17="","",'Hide - Calculation'!N17)</f>
        <v>1739.1868119518847</v>
      </c>
      <c r="L23" s="217">
        <f>'Hide - Calculation'!O17</f>
        <v>1812.1669120472948</v>
      </c>
      <c r="M23" s="170">
        <f>IF(ISBLANK('Hide - Calculation'!K17),"",'Hide - Calculation'!U17)</f>
        <v>404.76190185546875</v>
      </c>
      <c r="N23" s="171"/>
      <c r="O23" s="172"/>
      <c r="P23" s="172"/>
      <c r="Q23" s="172"/>
      <c r="R23" s="173"/>
      <c r="S23" s="173"/>
      <c r="T23" s="173"/>
      <c r="U23" s="173"/>
      <c r="V23" s="173"/>
      <c r="W23" s="173"/>
      <c r="X23" s="173"/>
      <c r="Y23" s="173"/>
      <c r="Z23" s="174"/>
      <c r="AA23" s="170">
        <f>IF(ISBLANK('Hide - Calculation'!K17),"",'Hide - Calculation'!T17)</f>
        <v>3427.734375</v>
      </c>
      <c r="AB23" s="233" t="s">
        <v>26</v>
      </c>
      <c r="AC23" s="175" t="s">
        <v>598</v>
      </c>
    </row>
    <row r="24" spans="2:29" s="63" customFormat="1" ht="33.75" customHeight="1">
      <c r="B24" s="306"/>
      <c r="C24" s="137">
        <v>12</v>
      </c>
      <c r="D24" s="147" t="s">
        <v>585</v>
      </c>
      <c r="E24" s="85"/>
      <c r="F24" s="85"/>
      <c r="G24" s="118">
        <f>IF(VLOOKUP('Hide - Control'!A$3,'All practice data'!A:CA,C24+4,FALSE)=" "," ",VLOOKUP('Hide - Control'!A$3,'All practice data'!A:CA,C24+4,FALSE))</f>
        <v>325</v>
      </c>
      <c r="H24" s="119">
        <f>IF(VLOOKUP('Hide - Control'!A$3,'All practice data'!A:CA,C24+30,FALSE)=" "," ",VLOOKUP('Hide - Control'!A$3,'All practice data'!A:CA,C24+30,FALSE))</f>
        <v>1.626524811</v>
      </c>
      <c r="I24" s="212">
        <f>IF(LEFT(VLOOKUP('Hide - Control'!A$3,'All practice data'!A:CA,C24+44,FALSE),1)=" "," n/a",VLOOKUP('Hide - Control'!A$3,'All practice data'!A:CA,C24+44,FALSE))</f>
        <v>1.454477234</v>
      </c>
      <c r="J24" s="212">
        <f>IF(LEFT(VLOOKUP('Hide - Control'!A$3,'All practice data'!A:CA,C24+45,FALSE),1)=" "," n/a",VLOOKUP('Hide - Control'!A$3,'All practice data'!A:CA,C24+45,FALSE))</f>
        <v>1.8133274840000002</v>
      </c>
      <c r="K24" s="152" t="s">
        <v>734</v>
      </c>
      <c r="L24" s="213">
        <v>1</v>
      </c>
      <c r="M24" s="152">
        <f>IF(ISBLANK('Hide - Calculation'!K18),"",'Hide - Calculation'!U18)</f>
        <v>0.20187512040138245</v>
      </c>
      <c r="N24" s="86"/>
      <c r="O24" s="87"/>
      <c r="P24" s="87"/>
      <c r="Q24" s="87"/>
      <c r="R24" s="84"/>
      <c r="S24" s="84"/>
      <c r="T24" s="84"/>
      <c r="U24" s="84"/>
      <c r="V24" s="84"/>
      <c r="W24" s="84"/>
      <c r="X24" s="84"/>
      <c r="Y24" s="84"/>
      <c r="Z24" s="88"/>
      <c r="AA24" s="152">
        <f>IF(ISBLANK('Hide - Calculation'!K18),"",'Hide - Calculation'!T18)</f>
        <v>1.7401206493377686</v>
      </c>
      <c r="AB24" s="234" t="s">
        <v>26</v>
      </c>
      <c r="AC24" s="131" t="s">
        <v>598</v>
      </c>
    </row>
    <row r="25" spans="2:29" s="63" customFormat="1" ht="33.75" customHeight="1">
      <c r="B25" s="306"/>
      <c r="C25" s="137">
        <v>13</v>
      </c>
      <c r="D25" s="147" t="s">
        <v>425</v>
      </c>
      <c r="E25" s="85"/>
      <c r="F25" s="85"/>
      <c r="G25" s="118">
        <f>IF(VLOOKUP('Hide - Control'!A$3,'All practice data'!A:CA,C25+4,FALSE)=" "," ",VLOOKUP('Hide - Control'!A$3,'All practice data'!A:CA,C25+4,FALSE))</f>
        <v>27</v>
      </c>
      <c r="H25" s="119">
        <f>IF(VLOOKUP('Hide - Control'!A$3,'All practice data'!A:CA,C25+30,FALSE)=" "," ",VLOOKUP('Hide - Control'!A$3,'All practice data'!A:CA,C25+30,FALSE))</f>
        <v>0.08307692307692308</v>
      </c>
      <c r="I25" s="120">
        <f>IF(LEFT(G25,1)=" "," n/a",IF(G25=0," n/a",+((2*G25+1.96^2-1.96*SQRT(1.96^2+4*G25*(1-G25/G23)))/(2*(G23+1.96^2)))))</f>
        <v>0.05772140442467015</v>
      </c>
      <c r="J25" s="120">
        <f>IF(LEFT(G25,1)=" "," n/a",IF(G25=0," n/a",+((2*G25+1.96^2+1.96*SQRT(1.96^2+4*G25*(1-G25/G23)))/(2*(G23+1.96^2)))))</f>
        <v>0.11817361615666751</v>
      </c>
      <c r="K25" s="125">
        <f>IF('Hide - Calculation'!N19="","",'Hide - Calculation'!N19)</f>
        <v>0.106168298623192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0.42307692766189575</v>
      </c>
      <c r="AB25" s="234" t="s">
        <v>26</v>
      </c>
      <c r="AC25" s="131" t="s">
        <v>598</v>
      </c>
    </row>
    <row r="26" spans="2:29" s="63" customFormat="1" ht="33.75" customHeight="1">
      <c r="B26" s="306"/>
      <c r="C26" s="137">
        <v>14</v>
      </c>
      <c r="D26" s="147" t="s">
        <v>568</v>
      </c>
      <c r="E26" s="85"/>
      <c r="F26" s="85"/>
      <c r="G26" s="121">
        <f>IF(VLOOKUP('Hide - Control'!A$3,'All practice data'!A:CA,C26+4,FALSE)=" "," ",VLOOKUP('Hide - Control'!A$3,'All practice data'!A:CA,C26+4,FALSE))</f>
        <v>58</v>
      </c>
      <c r="H26" s="119">
        <f>IF(VLOOKUP('Hide - Control'!A$3,'All practice data'!A:CA,C26+30,FALSE)=" "," ",VLOOKUP('Hide - Control'!A$3,'All practice data'!A:CA,C26+30,FALSE))</f>
        <v>0.46551724137931033</v>
      </c>
      <c r="I26" s="120">
        <f>IF(OR(LEFT(G26,1)=" ",LEFT(G25,1)=" ")," n/a",IF(G26=0," n/a",+((2*G25+1.96^2-1.96*SQRT(1.96^2+4*G25*(1-G25/G26)))/(2*(G26+1.96^2)))))</f>
        <v>0.3433181535782672</v>
      </c>
      <c r="J26" s="120">
        <f>IF(OR(LEFT(G26,1)=" ",LEFT(G25,1)=" ")," n/a",IF(G26=0," n/a",+((2*G25+1.96^2+1.96*SQRT(1.96^2+4*G25*(1-G25/G26)))/(2*(G26+1.96^2)))))</f>
        <v>0.5920004668972703</v>
      </c>
      <c r="K26" s="125">
        <f>IF('Hide - Calculation'!N20="","",'Hide - Calculation'!N20)</f>
        <v>0.4326514077374924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598</v>
      </c>
    </row>
    <row r="27" spans="2:29" s="63" customFormat="1" ht="33.75" customHeight="1">
      <c r="B27" s="306"/>
      <c r="C27" s="137">
        <v>15</v>
      </c>
      <c r="D27" s="147" t="s">
        <v>555</v>
      </c>
      <c r="E27" s="85"/>
      <c r="F27" s="85"/>
      <c r="G27" s="121">
        <f>IF(VLOOKUP('Hide - Control'!A$3,'All practice data'!A:CA,C27+4,FALSE)=" "," ",VLOOKUP('Hide - Control'!A$3,'All practice data'!A:CA,C27+4,FALSE))</f>
        <v>58</v>
      </c>
      <c r="H27" s="122">
        <f>IF(VLOOKUP('Hide - Control'!A$3,'All practice data'!A:CA,C27+30,FALSE)=" "," ",VLOOKUP('Hide - Control'!A$3,'All practice data'!A:CA,C27+30,FALSE))</f>
        <v>538.2830626450116</v>
      </c>
      <c r="I27" s="123">
        <f>IF(LEFT(G27,1)=" "," n/a",IF(G27&lt;5,100000*VLOOKUP(G27,'Hide - Calculation'!AQ:AR,2,FALSE)/$E$8,100000*(G27*(1-1/(9*G27)-1.96/(3*SQRT(G27)))^3)/$E$8))</f>
        <v>408.71451101749176</v>
      </c>
      <c r="J27" s="123">
        <f>IF(LEFT(G27,1)=" "," n/a",IF(G27&lt;5,100000*VLOOKUP(G27,'Hide - Calculation'!AQ:AS,3,FALSE)/$E$8,100000*((G27+1)*(1-1/(9*(G27+1))+1.96/(3*SQRT(G27+1)))^3)/$E$8))</f>
        <v>695.8711495280186</v>
      </c>
      <c r="K27" s="122">
        <f>IF('Hide - Calculation'!N21="","",'Hide - Calculation'!N21)</f>
        <v>350.9666711329913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701.1639404296875</v>
      </c>
      <c r="AB27" s="234" t="s">
        <v>26</v>
      </c>
      <c r="AC27" s="131" t="s">
        <v>598</v>
      </c>
    </row>
    <row r="28" spans="2:29" s="63" customFormat="1" ht="33.75" customHeight="1">
      <c r="B28" s="306"/>
      <c r="C28" s="137">
        <v>16</v>
      </c>
      <c r="D28" s="147" t="s">
        <v>556</v>
      </c>
      <c r="E28" s="85"/>
      <c r="F28" s="85"/>
      <c r="G28" s="121">
        <f>IF(VLOOKUP('Hide - Control'!A$3,'All practice data'!A:CA,C28+4,FALSE)=" "," ",VLOOKUP('Hide - Control'!A$3,'All practice data'!A:CA,C28+4,FALSE))</f>
        <v>55</v>
      </c>
      <c r="H28" s="122">
        <f>IF(VLOOKUP('Hide - Control'!A$3,'All practice data'!A:CA,C28+30,FALSE)=" "," ",VLOOKUP('Hide - Control'!A$3,'All practice data'!A:CA,C28+30,FALSE))</f>
        <v>510.44083526682135</v>
      </c>
      <c r="I28" s="123">
        <f>IF(LEFT(G28,1)=" "," n/a",IF(G28&lt;5,100000*VLOOKUP(G28,'Hide - Calculation'!AQ:AR,2,FALSE)/$E$8,100000*(G28*(1-1/(9*G28)-1.96/(3*SQRT(G28)))^3)/$E$8))</f>
        <v>384.50677400658725</v>
      </c>
      <c r="J28" s="123">
        <f>IF(LEFT(G28,1)=" "," n/a",IF(G28&lt;5,100000*VLOOKUP(G28,'Hide - Calculation'!AQ:AS,3,FALSE)/$E$8,100000*((G28+1)*(1-1/(9*(G28+1))+1.96/(3*SQRT(G28+1)))^3)/$E$8))</f>
        <v>664.4244745695248</v>
      </c>
      <c r="K28" s="122">
        <f>IF('Hide - Calculation'!N22="","",'Hide - Calculation'!N22)</f>
        <v>289.67717117405266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776.5023803710938</v>
      </c>
      <c r="AB28" s="234" t="s">
        <v>26</v>
      </c>
      <c r="AC28" s="131" t="s">
        <v>598</v>
      </c>
    </row>
    <row r="29" spans="2:29" s="63" customFormat="1" ht="33.75" customHeight="1">
      <c r="B29" s="306"/>
      <c r="C29" s="137">
        <v>17</v>
      </c>
      <c r="D29" s="147" t="s">
        <v>557</v>
      </c>
      <c r="E29" s="85"/>
      <c r="F29" s="85"/>
      <c r="G29" s="121">
        <f>IF(VLOOKUP('Hide - Control'!A$3,'All practice data'!A:CA,C29+4,FALSE)=" "," ",VLOOKUP('Hide - Control'!A$3,'All practice data'!A:CA,C29+4,FALSE))</f>
        <v>10</v>
      </c>
      <c r="H29" s="122">
        <f>IF(VLOOKUP('Hide - Control'!A$3,'All practice data'!A:CA,C29+30,FALSE)=" "," ",VLOOKUP('Hide - Control'!A$3,'All practice data'!A:CA,C29+30,FALSE))</f>
        <v>92.80742459396751</v>
      </c>
      <c r="I29" s="123">
        <f>IF(LEFT(G29,1)=" "," n/a",IF(G29&lt;5,100000*VLOOKUP(G29,'Hide - Calculation'!AQ:AR,2,FALSE)/$E$8,100000*(G29*(1-1/(9*G29)-1.96/(3*SQRT(G29)))^3)/$E$8))</f>
        <v>44.43044283557867</v>
      </c>
      <c r="J29" s="123">
        <f>IF(LEFT(G29,1)=" "," n/a",IF(G29&lt;5,100000*VLOOKUP(G29,'Hide - Calculation'!AQ:AS,3,FALSE)/$E$8,100000*((G29+1)*(1-1/(9*(G29+1))+1.96/(3*SQRT(G29+1)))^3)/$E$8))</f>
        <v>170.687952427383</v>
      </c>
      <c r="K29" s="122">
        <f>IF('Hide - Calculation'!N23="","",'Hide - Calculation'!N23)</f>
        <v>66.47619953233259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206.96792602539062</v>
      </c>
      <c r="AB29" s="234" t="s">
        <v>26</v>
      </c>
      <c r="AC29" s="131" t="s">
        <v>598</v>
      </c>
    </row>
    <row r="30" spans="2:29" s="63" customFormat="1" ht="33.75" customHeight="1" thickBot="1">
      <c r="B30" s="309"/>
      <c r="C30" s="180">
        <v>18</v>
      </c>
      <c r="D30" s="181" t="s">
        <v>558</v>
      </c>
      <c r="E30" s="182"/>
      <c r="F30" s="182"/>
      <c r="G30" s="183">
        <f>IF(VLOOKUP('Hide - Control'!A$3,'All practice data'!A:CA,C30+4,FALSE)=" "," ",VLOOKUP('Hide - Control'!A$3,'All practice data'!A:CA,C30+4,FALSE))</f>
        <v>64</v>
      </c>
      <c r="H30" s="184">
        <f>IF(VLOOKUP('Hide - Control'!A$3,'All practice data'!A:CA,C30+30,FALSE)=" "," ",VLOOKUP('Hide - Control'!A$3,'All practice data'!A:CA,C30+30,FALSE))</f>
        <v>593.9675174013921</v>
      </c>
      <c r="I30" s="185">
        <f>IF(LEFT(G30,1)=" "," n/a",IF(G30&lt;5,100000*VLOOKUP(G30,'Hide - Calculation'!AQ:AR,2,FALSE)/$E$8,100000*(G30*(1-1/(9*G30)-1.96/(3*SQRT(G30)))^3)/$E$8))</f>
        <v>457.4022593163488</v>
      </c>
      <c r="J30" s="185">
        <f>IF(LEFT(G30,1)=" "," n/a",IF(G30&lt;5,100000*VLOOKUP(G30,'Hide - Calculation'!AQ:AS,3,FALSE)/$E$8,100000*((G30+1)*(1-1/(9*(G30+1))+1.96/(3*SQRT(G30+1)))^3)/$E$8))</f>
        <v>758.4985396852768</v>
      </c>
      <c r="K30" s="184">
        <f>IF('Hide - Calculation'!N24="","",'Hide - Calculation'!N24)</f>
        <v>361.6858502513388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1103.515625</v>
      </c>
      <c r="AB30" s="235" t="s">
        <v>26</v>
      </c>
      <c r="AC30" s="189" t="s">
        <v>598</v>
      </c>
    </row>
    <row r="31" spans="2:29" s="63" customFormat="1" ht="33.75" customHeight="1">
      <c r="B31" s="304" t="s">
        <v>427</v>
      </c>
      <c r="C31" s="163">
        <v>19</v>
      </c>
      <c r="D31" s="164" t="s">
        <v>431</v>
      </c>
      <c r="E31" s="165"/>
      <c r="F31" s="165"/>
      <c r="G31" s="166">
        <f>IF(VLOOKUP('Hide - Control'!A$3,'All practice data'!A:CA,C31+4,FALSE)=" "," ",VLOOKUP('Hide - Control'!A$3,'All practice data'!A:CA,C31+4,FALSE))</f>
        <v>68</v>
      </c>
      <c r="H31" s="167">
        <f>IF(VLOOKUP('Hide - Control'!A$3,'All practice data'!A:CA,C31+30,FALSE)=" "," ",VLOOKUP('Hide - Control'!A$3,'All practice data'!A:CA,C31+30,FALSE))</f>
        <v>631.0904872389791</v>
      </c>
      <c r="I31" s="168">
        <f>IF(LEFT(G31,1)=" "," n/a",IF(G31&lt;5,100000*VLOOKUP(G31,'Hide - Calculation'!AQ:AR,2,FALSE)/$E$8,100000*(G31*(1-1/(9*G31)-1.96/(3*SQRT(G31)))^3)/$E$8))</f>
        <v>490.04209274991473</v>
      </c>
      <c r="J31" s="168">
        <f>IF(LEFT(G31,1)=" "," n/a",IF(G31&lt;5,100000*VLOOKUP(G31,'Hide - Calculation'!AQ:AS,3,FALSE)/$E$8,100000*((G31+1)*(1-1/(9*(G31+1))+1.96/(3*SQRT(G31+1)))^3)/$E$8))</f>
        <v>800.0727322524558</v>
      </c>
      <c r="K31" s="167">
        <f>IF('Hide - Calculation'!N25="","",'Hide - Calculation'!N25)</f>
        <v>626.3804184802106</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1283.14794921875</v>
      </c>
      <c r="AB31" s="233" t="s">
        <v>47</v>
      </c>
      <c r="AC31" s="175" t="s">
        <v>598</v>
      </c>
    </row>
    <row r="32" spans="2:29" s="63" customFormat="1" ht="33.75" customHeight="1">
      <c r="B32" s="305"/>
      <c r="C32" s="137">
        <v>20</v>
      </c>
      <c r="D32" s="132" t="s">
        <v>432</v>
      </c>
      <c r="E32" s="85"/>
      <c r="F32" s="85"/>
      <c r="G32" s="121">
        <f>IF(VLOOKUP('Hide - Control'!A$3,'All practice data'!A:CA,C32+4,FALSE)=" "," ",VLOOKUP('Hide - Control'!A$3,'All practice data'!A:CA,C32+4,FALSE))</f>
        <v>52</v>
      </c>
      <c r="H32" s="122">
        <f>IF(VLOOKUP('Hide - Control'!A$3,'All practice data'!A:CA,C32+30,FALSE)=" "," ",VLOOKUP('Hide - Control'!A$3,'All practice data'!A:CA,C32+30,FALSE))</f>
        <v>482.5986078886311</v>
      </c>
      <c r="I32" s="123">
        <f>IF(LEFT(G32,1)=" "," n/a",IF(G32&lt;5,100000*VLOOKUP(G32,'Hide - Calculation'!AQ:AR,2,FALSE)/$E$8,100000*(G32*(1-1/(9*G32)-1.96/(3*SQRT(G32)))^3)/$E$8))</f>
        <v>360.3997974148347</v>
      </c>
      <c r="J32" s="123">
        <f>IF(LEFT(G32,1)=" "," n/a",IF(G32&lt;5,100000*VLOOKUP(G32,'Hide - Calculation'!AQ:AS,3,FALSE)/$E$8,100000*((G32+1)*(1-1/(9*(G32+1))+1.96/(3*SQRT(G32+1)))^3)/$E$8))</f>
        <v>632.8795330034088</v>
      </c>
      <c r="K32" s="122">
        <f>IF('Hide - Calculation'!N26="","",'Hide - Calculation'!N26)</f>
        <v>350.0157762112024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767.1480102539062</v>
      </c>
      <c r="AB32" s="234" t="s">
        <v>47</v>
      </c>
      <c r="AC32" s="131" t="s">
        <v>598</v>
      </c>
    </row>
    <row r="33" spans="2:29" s="63" customFormat="1" ht="33.75" customHeight="1">
      <c r="B33" s="305"/>
      <c r="C33" s="137">
        <v>21</v>
      </c>
      <c r="D33" s="132" t="s">
        <v>434</v>
      </c>
      <c r="E33" s="85"/>
      <c r="F33" s="85"/>
      <c r="G33" s="121">
        <f>IF(VLOOKUP('Hide - Control'!A$3,'All practice data'!A:CA,C33+4,FALSE)=" "," ",VLOOKUP('Hide - Control'!A$3,'All practice data'!A:CA,C33+4,FALSE))</f>
        <v>142</v>
      </c>
      <c r="H33" s="122">
        <f>IF(VLOOKUP('Hide - Control'!A$3,'All practice data'!A:CA,C33+30,FALSE)=" "," ",VLOOKUP('Hide - Control'!A$3,'All practice data'!A:CA,C33+30,FALSE))</f>
        <v>1317.8654292343388</v>
      </c>
      <c r="I33" s="123">
        <f>IF(LEFT(G33,1)=" "," n/a",IF(G33&lt;5,100000*VLOOKUP(G33,'Hide - Calculation'!AQ:AR,2,FALSE)/$E$8,100000*(G33*(1-1/(9*G33)-1.96/(3*SQRT(G33)))^3)/$E$8))</f>
        <v>1110.0092577863347</v>
      </c>
      <c r="J33" s="123">
        <f>IF(LEFT(G33,1)=" "," n/a",IF(G33&lt;5,100000*VLOOKUP(G33,'Hide - Calculation'!AQ:AS,3,FALSE)/$E$8,100000*((G33+1)*(1-1/(9*(G33+1))+1.96/(3*SQRT(G33+1)))^3)/$E$8))</f>
        <v>1553.3324046652872</v>
      </c>
      <c r="K33" s="122">
        <f>IF('Hide - Calculation'!N27="","",'Hide - Calculation'!N27)</f>
        <v>1001.7245776081535</v>
      </c>
      <c r="L33" s="156">
        <f>'Hide - Calculation'!O27</f>
        <v>1059.3522061277838</v>
      </c>
      <c r="M33" s="148">
        <f>IF(ISBLANK('Hide - Calculation'!K27),"",'Hide - Calculation'!U27)</f>
        <v>273.2240295410156</v>
      </c>
      <c r="N33" s="86"/>
      <c r="O33" s="87"/>
      <c r="P33" s="87"/>
      <c r="Q33" s="87"/>
      <c r="R33" s="84"/>
      <c r="S33" s="84"/>
      <c r="T33" s="84"/>
      <c r="U33" s="84"/>
      <c r="V33" s="84"/>
      <c r="W33" s="84"/>
      <c r="X33" s="84"/>
      <c r="Y33" s="84"/>
      <c r="Z33" s="88"/>
      <c r="AA33" s="148">
        <f>IF(ISBLANK('Hide - Calculation'!K27),"",'Hide - Calculation'!T27)</f>
        <v>1896.7093505859375</v>
      </c>
      <c r="AB33" s="234" t="s">
        <v>47</v>
      </c>
      <c r="AC33" s="131" t="s">
        <v>598</v>
      </c>
    </row>
    <row r="34" spans="2:29" s="63" customFormat="1" ht="33.75" customHeight="1">
      <c r="B34" s="305"/>
      <c r="C34" s="137">
        <v>22</v>
      </c>
      <c r="D34" s="132" t="s">
        <v>433</v>
      </c>
      <c r="E34" s="85"/>
      <c r="F34" s="85"/>
      <c r="G34" s="118">
        <f>IF(VLOOKUP('Hide - Control'!A$3,'All practice data'!A:CA,C34+4,FALSE)=" "," ",VLOOKUP('Hide - Control'!A$3,'All practice data'!A:CA,C34+4,FALSE))</f>
        <v>58</v>
      </c>
      <c r="H34" s="122">
        <f>IF(VLOOKUP('Hide - Control'!A$3,'All practice data'!A:CA,C34+30,FALSE)=" "," ",VLOOKUP('Hide - Control'!A$3,'All practice data'!A:CA,C34+30,FALSE))</f>
        <v>538.2830626450116</v>
      </c>
      <c r="I34" s="123">
        <f>IF(LEFT(G34,1)=" "," n/a",IF(G34&lt;5,100000*VLOOKUP(G34,'Hide - Calculation'!AQ:AR,2,FALSE)/$E$8,100000*(G34*(1-1/(9*G34)-1.96/(3*SQRT(G34)))^3)/$E$8))</f>
        <v>408.71451101749176</v>
      </c>
      <c r="J34" s="123">
        <f>IF(LEFT(G34,1)=" "," n/a",IF(G34&lt;5,100000*VLOOKUP(G34,'Hide - Calculation'!AQ:AS,3,FALSE)/$E$8,100000*((G34+1)*(1-1/(9*(G34+1))+1.96/(3*SQRT(G34+1)))^3)/$E$8))</f>
        <v>695.8711495280186</v>
      </c>
      <c r="K34" s="122">
        <f>IF('Hide - Calculation'!N28="","",'Hide - Calculation'!N28)</f>
        <v>577.3661075116377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1363.1937255859375</v>
      </c>
      <c r="AB34" s="234" t="s">
        <v>47</v>
      </c>
      <c r="AC34" s="131" t="s">
        <v>598</v>
      </c>
    </row>
    <row r="35" spans="2:29" s="63" customFormat="1" ht="33.75" customHeight="1">
      <c r="B35" s="305"/>
      <c r="C35" s="137">
        <v>23</v>
      </c>
      <c r="D35" s="138" t="s">
        <v>559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419</v>
      </c>
      <c r="AC35" s="131">
        <v>2008</v>
      </c>
    </row>
    <row r="36" spans="2:29" ht="33.75" customHeight="1">
      <c r="B36" s="306"/>
      <c r="C36" s="137">
        <v>24</v>
      </c>
      <c r="D36" s="224" t="s">
        <v>560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419</v>
      </c>
      <c r="AC36" s="131">
        <v>2008</v>
      </c>
    </row>
    <row r="37" spans="2:29" ht="33.75" customHeight="1" thickBot="1">
      <c r="B37" s="307"/>
      <c r="C37" s="176">
        <v>25</v>
      </c>
      <c r="D37" s="177" t="s">
        <v>435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419</v>
      </c>
      <c r="AC37" s="149">
        <v>2008</v>
      </c>
    </row>
    <row r="38" spans="2:29" ht="16.5" customHeight="1">
      <c r="B38" s="69"/>
      <c r="C38" s="69"/>
      <c r="D38" s="65" t="s">
        <v>417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733</v>
      </c>
      <c r="C39" s="244"/>
      <c r="D39" s="244"/>
      <c r="E39" s="303" t="s">
        <v>737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584</v>
      </c>
      <c r="BE2" s="341"/>
      <c r="BF2" s="341"/>
      <c r="BG2" s="341"/>
      <c r="BH2" s="341"/>
      <c r="BI2" s="341"/>
      <c r="BJ2" s="342"/>
    </row>
    <row r="3" spans="1:82" s="72" customFormat="1" ht="76.5" customHeight="1">
      <c r="A3" s="266" t="s">
        <v>276</v>
      </c>
      <c r="B3" s="275" t="s">
        <v>277</v>
      </c>
      <c r="C3" s="276" t="s">
        <v>49</v>
      </c>
      <c r="D3" s="274" t="s">
        <v>569</v>
      </c>
      <c r="E3" s="267" t="s">
        <v>441</v>
      </c>
      <c r="F3" s="267" t="s">
        <v>552</v>
      </c>
      <c r="G3" s="267" t="s">
        <v>443</v>
      </c>
      <c r="H3" s="267" t="s">
        <v>444</v>
      </c>
      <c r="I3" s="267" t="s">
        <v>445</v>
      </c>
      <c r="J3" s="267" t="s">
        <v>593</v>
      </c>
      <c r="K3" s="267" t="s">
        <v>594</v>
      </c>
      <c r="L3" s="267" t="s">
        <v>595</v>
      </c>
      <c r="M3" s="267" t="s">
        <v>446</v>
      </c>
      <c r="N3" s="267" t="s">
        <v>447</v>
      </c>
      <c r="O3" s="267" t="s">
        <v>448</v>
      </c>
      <c r="P3" s="267" t="s">
        <v>583</v>
      </c>
      <c r="Q3" s="267" t="s">
        <v>449</v>
      </c>
      <c r="R3" s="267" t="s">
        <v>450</v>
      </c>
      <c r="S3" s="267" t="s">
        <v>451</v>
      </c>
      <c r="T3" s="267" t="s">
        <v>452</v>
      </c>
      <c r="U3" s="267" t="s">
        <v>453</v>
      </c>
      <c r="V3" s="267" t="s">
        <v>454</v>
      </c>
      <c r="W3" s="267" t="s">
        <v>455</v>
      </c>
      <c r="X3" s="267" t="s">
        <v>456</v>
      </c>
      <c r="Y3" s="267" t="s">
        <v>457</v>
      </c>
      <c r="Z3" s="267" t="s">
        <v>458</v>
      </c>
      <c r="AA3" s="267" t="s">
        <v>459</v>
      </c>
      <c r="AB3" s="267" t="s">
        <v>460</v>
      </c>
      <c r="AC3" s="267" t="s">
        <v>461</v>
      </c>
      <c r="AD3" s="268" t="s">
        <v>462</v>
      </c>
      <c r="AE3" s="268" t="s">
        <v>441</v>
      </c>
      <c r="AF3" s="269" t="s">
        <v>442</v>
      </c>
      <c r="AG3" s="268" t="s">
        <v>443</v>
      </c>
      <c r="AH3" s="268" t="s">
        <v>444</v>
      </c>
      <c r="AI3" s="268" t="s">
        <v>445</v>
      </c>
      <c r="AJ3" s="268" t="s">
        <v>593</v>
      </c>
      <c r="AK3" s="268" t="s">
        <v>594</v>
      </c>
      <c r="AL3" s="268" t="s">
        <v>595</v>
      </c>
      <c r="AM3" s="268" t="s">
        <v>446</v>
      </c>
      <c r="AN3" s="268" t="s">
        <v>447</v>
      </c>
      <c r="AO3" s="268" t="s">
        <v>448</v>
      </c>
      <c r="AP3" s="268" t="s">
        <v>583</v>
      </c>
      <c r="AQ3" s="268" t="s">
        <v>449</v>
      </c>
      <c r="AR3" s="268" t="s">
        <v>450</v>
      </c>
      <c r="AS3" s="268" t="s">
        <v>451</v>
      </c>
      <c r="AT3" s="268" t="s">
        <v>452</v>
      </c>
      <c r="AU3" s="268" t="s">
        <v>453</v>
      </c>
      <c r="AV3" s="268" t="s">
        <v>454</v>
      </c>
      <c r="AW3" s="268" t="s">
        <v>455</v>
      </c>
      <c r="AX3" s="268" t="s">
        <v>456</v>
      </c>
      <c r="AY3" s="270" t="s">
        <v>457</v>
      </c>
      <c r="AZ3" s="271" t="s">
        <v>458</v>
      </c>
      <c r="BA3" s="271" t="s">
        <v>459</v>
      </c>
      <c r="BB3" s="271" t="s">
        <v>460</v>
      </c>
      <c r="BC3" s="272" t="s">
        <v>461</v>
      </c>
      <c r="BD3" s="273" t="s">
        <v>581</v>
      </c>
      <c r="BE3" s="273" t="s">
        <v>582</v>
      </c>
      <c r="BF3" s="273" t="s">
        <v>589</v>
      </c>
      <c r="BG3" s="273" t="s">
        <v>590</v>
      </c>
      <c r="BH3" s="273" t="s">
        <v>588</v>
      </c>
      <c r="BI3" s="273" t="s">
        <v>591</v>
      </c>
      <c r="BJ3" s="273" t="s">
        <v>592</v>
      </c>
      <c r="BK3" s="73"/>
      <c r="BL3" s="73"/>
      <c r="BM3" s="73"/>
      <c r="BN3" s="73"/>
      <c r="BO3" s="73"/>
      <c r="BP3" s="73"/>
      <c r="BQ3" s="73"/>
      <c r="BR3" s="73"/>
      <c r="BS3" s="73"/>
      <c r="BT3" s="73"/>
      <c r="BU3" s="73"/>
      <c r="BV3" s="73"/>
      <c r="BW3" s="73"/>
      <c r="BX3" s="73"/>
      <c r="BY3" s="73"/>
      <c r="BZ3" s="73"/>
      <c r="CA3" s="73"/>
      <c r="CB3" s="73"/>
      <c r="CC3" s="73"/>
      <c r="CD3" s="73"/>
    </row>
    <row r="4" spans="1:66" ht="12.75">
      <c r="A4" s="79" t="s">
        <v>626</v>
      </c>
      <c r="B4" s="79" t="s">
        <v>309</v>
      </c>
      <c r="C4" s="79" t="s">
        <v>216</v>
      </c>
      <c r="D4" s="99">
        <v>10775</v>
      </c>
      <c r="E4" s="99">
        <v>1835</v>
      </c>
      <c r="F4" s="99" t="s">
        <v>438</v>
      </c>
      <c r="G4" s="99">
        <v>44</v>
      </c>
      <c r="H4" s="99">
        <v>21</v>
      </c>
      <c r="I4" s="99">
        <v>148</v>
      </c>
      <c r="J4" s="99">
        <v>711</v>
      </c>
      <c r="K4" s="99">
        <v>24</v>
      </c>
      <c r="L4" s="99">
        <v>2020</v>
      </c>
      <c r="M4" s="99">
        <v>515</v>
      </c>
      <c r="N4" s="99">
        <v>235</v>
      </c>
      <c r="O4" s="99">
        <v>325</v>
      </c>
      <c r="P4" s="159">
        <v>325</v>
      </c>
      <c r="Q4" s="99">
        <v>27</v>
      </c>
      <c r="R4" s="99">
        <v>58</v>
      </c>
      <c r="S4" s="99">
        <v>58</v>
      </c>
      <c r="T4" s="99">
        <v>55</v>
      </c>
      <c r="U4" s="99">
        <v>10</v>
      </c>
      <c r="V4" s="99">
        <v>64</v>
      </c>
      <c r="W4" s="99">
        <v>68</v>
      </c>
      <c r="X4" s="99">
        <v>52</v>
      </c>
      <c r="Y4" s="99">
        <v>142</v>
      </c>
      <c r="Z4" s="99">
        <v>58</v>
      </c>
      <c r="AA4" s="99" t="s">
        <v>736</v>
      </c>
      <c r="AB4" s="99" t="s">
        <v>736</v>
      </c>
      <c r="AC4" s="99" t="s">
        <v>736</v>
      </c>
      <c r="AD4" s="98" t="s">
        <v>417</v>
      </c>
      <c r="AE4" s="100">
        <v>0.17030162412993038</v>
      </c>
      <c r="AF4" s="100">
        <v>0.09</v>
      </c>
      <c r="AG4" s="98">
        <v>408.3526682134571</v>
      </c>
      <c r="AH4" s="98">
        <v>194.8955916473318</v>
      </c>
      <c r="AI4" s="100">
        <v>0.013999999999999999</v>
      </c>
      <c r="AJ4" s="100">
        <v>0.610825</v>
      </c>
      <c r="AK4" s="100">
        <v>0.521739</v>
      </c>
      <c r="AL4" s="100">
        <v>0.749258</v>
      </c>
      <c r="AM4" s="100">
        <v>0.469462</v>
      </c>
      <c r="AN4" s="100">
        <v>0.497881</v>
      </c>
      <c r="AO4" s="98">
        <v>3016.2412993039443</v>
      </c>
      <c r="AP4" s="158">
        <v>1.626524811</v>
      </c>
      <c r="AQ4" s="100">
        <v>0.08307692307692308</v>
      </c>
      <c r="AR4" s="100">
        <v>0.46551724137931033</v>
      </c>
      <c r="AS4" s="98">
        <v>538.2830626450116</v>
      </c>
      <c r="AT4" s="98">
        <v>510.44083526682135</v>
      </c>
      <c r="AU4" s="98">
        <v>92.80742459396751</v>
      </c>
      <c r="AV4" s="98">
        <v>593.9675174013921</v>
      </c>
      <c r="AW4" s="98">
        <v>631.0904872389791</v>
      </c>
      <c r="AX4" s="98">
        <v>482.5986078886311</v>
      </c>
      <c r="AY4" s="98">
        <v>1317.8654292343388</v>
      </c>
      <c r="AZ4" s="98">
        <v>538.2830626450116</v>
      </c>
      <c r="BA4" s="100" t="s">
        <v>736</v>
      </c>
      <c r="BB4" s="100" t="s">
        <v>736</v>
      </c>
      <c r="BC4" s="100" t="s">
        <v>736</v>
      </c>
      <c r="BD4" s="158">
        <v>1.454477234</v>
      </c>
      <c r="BE4" s="158">
        <v>1.8133274840000002</v>
      </c>
      <c r="BF4" s="162">
        <v>1164</v>
      </c>
      <c r="BG4" s="162">
        <v>46</v>
      </c>
      <c r="BH4" s="162">
        <v>2696</v>
      </c>
      <c r="BI4" s="162">
        <v>1097</v>
      </c>
      <c r="BJ4" s="162">
        <v>472</v>
      </c>
      <c r="BK4" s="97"/>
      <c r="BL4" s="97"/>
      <c r="BM4" s="97"/>
      <c r="BN4" s="97"/>
    </row>
    <row r="5" spans="1:66" ht="12.75">
      <c r="A5" s="79" t="s">
        <v>742</v>
      </c>
      <c r="B5" s="79" t="s">
        <v>365</v>
      </c>
      <c r="C5" s="79" t="s">
        <v>216</v>
      </c>
      <c r="D5" s="99">
        <v>8455</v>
      </c>
      <c r="E5" s="99">
        <v>1223</v>
      </c>
      <c r="F5" s="99" t="s">
        <v>438</v>
      </c>
      <c r="G5" s="99">
        <v>34</v>
      </c>
      <c r="H5" s="99">
        <v>23</v>
      </c>
      <c r="I5" s="99">
        <v>166</v>
      </c>
      <c r="J5" s="99">
        <v>675</v>
      </c>
      <c r="K5" s="99">
        <v>12</v>
      </c>
      <c r="L5" s="99">
        <v>1689</v>
      </c>
      <c r="M5" s="99">
        <v>439</v>
      </c>
      <c r="N5" s="99">
        <v>212</v>
      </c>
      <c r="O5" s="99">
        <v>99</v>
      </c>
      <c r="P5" s="159">
        <v>99</v>
      </c>
      <c r="Q5" s="99">
        <v>17</v>
      </c>
      <c r="R5" s="99">
        <v>43</v>
      </c>
      <c r="S5" s="99">
        <v>20</v>
      </c>
      <c r="T5" s="99">
        <v>13</v>
      </c>
      <c r="U5" s="99">
        <v>9</v>
      </c>
      <c r="V5" s="99">
        <v>27</v>
      </c>
      <c r="W5" s="99">
        <v>52</v>
      </c>
      <c r="X5" s="99">
        <v>28</v>
      </c>
      <c r="Y5" s="99">
        <v>88</v>
      </c>
      <c r="Z5" s="99">
        <v>45</v>
      </c>
      <c r="AA5" s="99" t="s">
        <v>736</v>
      </c>
      <c r="AB5" s="99" t="s">
        <v>736</v>
      </c>
      <c r="AC5" s="99" t="s">
        <v>736</v>
      </c>
      <c r="AD5" s="98" t="s">
        <v>417</v>
      </c>
      <c r="AE5" s="100">
        <v>0.1446481371969249</v>
      </c>
      <c r="AF5" s="100">
        <v>0.09</v>
      </c>
      <c r="AG5" s="98">
        <v>402.12891780011824</v>
      </c>
      <c r="AH5" s="98">
        <v>272.02838557066826</v>
      </c>
      <c r="AI5" s="100">
        <v>0.02</v>
      </c>
      <c r="AJ5" s="100">
        <v>0.692308</v>
      </c>
      <c r="AK5" s="100">
        <v>0.5</v>
      </c>
      <c r="AL5" s="100">
        <v>0.766334</v>
      </c>
      <c r="AM5" s="100">
        <v>0.553594</v>
      </c>
      <c r="AN5" s="100">
        <v>0.612717</v>
      </c>
      <c r="AO5" s="98">
        <v>1170.9047900650503</v>
      </c>
      <c r="AP5" s="158">
        <v>0.6571124267999999</v>
      </c>
      <c r="AQ5" s="100">
        <v>0.1717171717171717</v>
      </c>
      <c r="AR5" s="100">
        <v>0.3953488372093023</v>
      </c>
      <c r="AS5" s="98">
        <v>236.54642223536368</v>
      </c>
      <c r="AT5" s="98">
        <v>153.7551744529864</v>
      </c>
      <c r="AU5" s="98">
        <v>106.44589000591365</v>
      </c>
      <c r="AV5" s="98">
        <v>319.337670017741</v>
      </c>
      <c r="AW5" s="98">
        <v>615.0206978119456</v>
      </c>
      <c r="AX5" s="98">
        <v>331.1649911295092</v>
      </c>
      <c r="AY5" s="98">
        <v>1040.8042578356003</v>
      </c>
      <c r="AZ5" s="98">
        <v>532.2294500295683</v>
      </c>
      <c r="BA5" s="101" t="s">
        <v>736</v>
      </c>
      <c r="BB5" s="101" t="s">
        <v>736</v>
      </c>
      <c r="BC5" s="101" t="s">
        <v>736</v>
      </c>
      <c r="BD5" s="158">
        <v>0.5340685272000001</v>
      </c>
      <c r="BE5" s="158">
        <v>0.8000107574</v>
      </c>
      <c r="BF5" s="162">
        <v>975</v>
      </c>
      <c r="BG5" s="162">
        <v>24</v>
      </c>
      <c r="BH5" s="162">
        <v>2204</v>
      </c>
      <c r="BI5" s="162">
        <v>793</v>
      </c>
      <c r="BJ5" s="162">
        <v>346</v>
      </c>
      <c r="BK5" s="97"/>
      <c r="BL5" s="97"/>
      <c r="BM5" s="97"/>
      <c r="BN5" s="97"/>
    </row>
    <row r="6" spans="1:66" ht="12.75">
      <c r="A6" s="79" t="s">
        <v>611</v>
      </c>
      <c r="B6" s="79" t="s">
        <v>294</v>
      </c>
      <c r="C6" s="79" t="s">
        <v>216</v>
      </c>
      <c r="D6" s="99">
        <v>17776</v>
      </c>
      <c r="E6" s="99">
        <v>3447</v>
      </c>
      <c r="F6" s="99" t="s">
        <v>440</v>
      </c>
      <c r="G6" s="99">
        <v>92</v>
      </c>
      <c r="H6" s="99">
        <v>52</v>
      </c>
      <c r="I6" s="99">
        <v>282</v>
      </c>
      <c r="J6" s="99">
        <v>1610</v>
      </c>
      <c r="K6" s="99">
        <v>17</v>
      </c>
      <c r="L6" s="99">
        <v>3432</v>
      </c>
      <c r="M6" s="99">
        <v>1176</v>
      </c>
      <c r="N6" s="99">
        <v>495</v>
      </c>
      <c r="O6" s="99">
        <v>337</v>
      </c>
      <c r="P6" s="159">
        <v>337</v>
      </c>
      <c r="Q6" s="99">
        <v>36</v>
      </c>
      <c r="R6" s="99">
        <v>68</v>
      </c>
      <c r="S6" s="99">
        <v>58</v>
      </c>
      <c r="T6" s="99">
        <v>59</v>
      </c>
      <c r="U6" s="99">
        <v>16</v>
      </c>
      <c r="V6" s="99">
        <v>71</v>
      </c>
      <c r="W6" s="99">
        <v>153</v>
      </c>
      <c r="X6" s="99">
        <v>68</v>
      </c>
      <c r="Y6" s="99">
        <v>165</v>
      </c>
      <c r="Z6" s="99">
        <v>132</v>
      </c>
      <c r="AA6" s="99" t="s">
        <v>736</v>
      </c>
      <c r="AB6" s="99" t="s">
        <v>736</v>
      </c>
      <c r="AC6" s="99" t="s">
        <v>736</v>
      </c>
      <c r="AD6" s="98" t="s">
        <v>417</v>
      </c>
      <c r="AE6" s="100">
        <v>0.19391314131413143</v>
      </c>
      <c r="AF6" s="100">
        <v>0.06</v>
      </c>
      <c r="AG6" s="98">
        <v>517.5517551755175</v>
      </c>
      <c r="AH6" s="98">
        <v>292.52925292529255</v>
      </c>
      <c r="AI6" s="100">
        <v>0.016</v>
      </c>
      <c r="AJ6" s="100">
        <v>0.726534</v>
      </c>
      <c r="AK6" s="100">
        <v>0.586207</v>
      </c>
      <c r="AL6" s="100">
        <v>0.777174</v>
      </c>
      <c r="AM6" s="100">
        <v>0.57931</v>
      </c>
      <c r="AN6" s="100">
        <v>0.571594</v>
      </c>
      <c r="AO6" s="98">
        <v>1895.8145814581458</v>
      </c>
      <c r="AP6" s="158">
        <v>0.9430426787999999</v>
      </c>
      <c r="AQ6" s="100">
        <v>0.10682492581602374</v>
      </c>
      <c r="AR6" s="100">
        <v>0.5294117647058824</v>
      </c>
      <c r="AS6" s="98">
        <v>326.2826282628263</v>
      </c>
      <c r="AT6" s="98">
        <v>331.9081908190819</v>
      </c>
      <c r="AU6" s="98">
        <v>90.00900090009002</v>
      </c>
      <c r="AV6" s="98">
        <v>399.4149414941494</v>
      </c>
      <c r="AW6" s="98">
        <v>860.7110711071107</v>
      </c>
      <c r="AX6" s="98">
        <v>382.5382538253825</v>
      </c>
      <c r="AY6" s="98">
        <v>928.2178217821782</v>
      </c>
      <c r="AZ6" s="98">
        <v>742.5742574257425</v>
      </c>
      <c r="BA6" s="100" t="s">
        <v>736</v>
      </c>
      <c r="BB6" s="100" t="s">
        <v>736</v>
      </c>
      <c r="BC6" s="100" t="s">
        <v>736</v>
      </c>
      <c r="BD6" s="158">
        <v>0.8450338745</v>
      </c>
      <c r="BE6" s="158">
        <v>1.049299011</v>
      </c>
      <c r="BF6" s="162">
        <v>2216</v>
      </c>
      <c r="BG6" s="162">
        <v>29</v>
      </c>
      <c r="BH6" s="162">
        <v>4416</v>
      </c>
      <c r="BI6" s="162">
        <v>2030</v>
      </c>
      <c r="BJ6" s="162">
        <v>866</v>
      </c>
      <c r="BK6" s="97"/>
      <c r="BL6" s="97"/>
      <c r="BM6" s="97"/>
      <c r="BN6" s="97"/>
    </row>
    <row r="7" spans="1:66" ht="12.75">
      <c r="A7" s="79" t="s">
        <v>660</v>
      </c>
      <c r="B7" s="79" t="s">
        <v>343</v>
      </c>
      <c r="C7" s="79" t="s">
        <v>216</v>
      </c>
      <c r="D7" s="99">
        <v>9074</v>
      </c>
      <c r="E7" s="99">
        <v>1117</v>
      </c>
      <c r="F7" s="99" t="s">
        <v>440</v>
      </c>
      <c r="G7" s="99">
        <v>30</v>
      </c>
      <c r="H7" s="99">
        <v>23</v>
      </c>
      <c r="I7" s="99">
        <v>142</v>
      </c>
      <c r="J7" s="99">
        <v>681</v>
      </c>
      <c r="K7" s="99">
        <v>13</v>
      </c>
      <c r="L7" s="99">
        <v>1855</v>
      </c>
      <c r="M7" s="99">
        <v>378</v>
      </c>
      <c r="N7" s="99">
        <v>190</v>
      </c>
      <c r="O7" s="99">
        <v>200</v>
      </c>
      <c r="P7" s="159">
        <v>200</v>
      </c>
      <c r="Q7" s="99">
        <v>15</v>
      </c>
      <c r="R7" s="99">
        <v>31</v>
      </c>
      <c r="S7" s="99">
        <v>42</v>
      </c>
      <c r="T7" s="99">
        <v>27</v>
      </c>
      <c r="U7" s="99">
        <v>10</v>
      </c>
      <c r="V7" s="99">
        <v>39</v>
      </c>
      <c r="W7" s="99">
        <v>58</v>
      </c>
      <c r="X7" s="99">
        <v>19</v>
      </c>
      <c r="Y7" s="99">
        <v>74</v>
      </c>
      <c r="Z7" s="99">
        <v>65</v>
      </c>
      <c r="AA7" s="99" t="s">
        <v>736</v>
      </c>
      <c r="AB7" s="99" t="s">
        <v>736</v>
      </c>
      <c r="AC7" s="99" t="s">
        <v>736</v>
      </c>
      <c r="AD7" s="98" t="s">
        <v>417</v>
      </c>
      <c r="AE7" s="100">
        <v>0.12309896407317611</v>
      </c>
      <c r="AF7" s="100">
        <v>0.08</v>
      </c>
      <c r="AG7" s="98">
        <v>330.61494379545957</v>
      </c>
      <c r="AH7" s="98">
        <v>253.47145690985232</v>
      </c>
      <c r="AI7" s="100">
        <v>0.016</v>
      </c>
      <c r="AJ7" s="100">
        <v>0.695608</v>
      </c>
      <c r="AK7" s="100">
        <v>0.52</v>
      </c>
      <c r="AL7" s="100">
        <v>0.766846</v>
      </c>
      <c r="AM7" s="100">
        <v>0.481529</v>
      </c>
      <c r="AN7" s="100">
        <v>0.541311</v>
      </c>
      <c r="AO7" s="98">
        <v>2204.0996253030635</v>
      </c>
      <c r="AP7" s="158">
        <v>1.330087738</v>
      </c>
      <c r="AQ7" s="100">
        <v>0.075</v>
      </c>
      <c r="AR7" s="100">
        <v>0.4838709677419355</v>
      </c>
      <c r="AS7" s="98">
        <v>462.86092131364336</v>
      </c>
      <c r="AT7" s="98">
        <v>297.5534494159136</v>
      </c>
      <c r="AU7" s="98">
        <v>110.20498126515318</v>
      </c>
      <c r="AV7" s="98">
        <v>429.7994269340974</v>
      </c>
      <c r="AW7" s="98">
        <v>639.1888913378884</v>
      </c>
      <c r="AX7" s="98">
        <v>209.38946440379104</v>
      </c>
      <c r="AY7" s="98">
        <v>815.5168613621336</v>
      </c>
      <c r="AZ7" s="98">
        <v>716.3323782234957</v>
      </c>
      <c r="BA7" s="100" t="s">
        <v>736</v>
      </c>
      <c r="BB7" s="100" t="s">
        <v>736</v>
      </c>
      <c r="BC7" s="100" t="s">
        <v>736</v>
      </c>
      <c r="BD7" s="158">
        <v>1.152127838</v>
      </c>
      <c r="BE7" s="158">
        <v>1.5277519229999998</v>
      </c>
      <c r="BF7" s="162">
        <v>979</v>
      </c>
      <c r="BG7" s="162">
        <v>25</v>
      </c>
      <c r="BH7" s="162">
        <v>2419</v>
      </c>
      <c r="BI7" s="162">
        <v>785</v>
      </c>
      <c r="BJ7" s="162">
        <v>351</v>
      </c>
      <c r="BK7" s="97"/>
      <c r="BL7" s="97"/>
      <c r="BM7" s="97"/>
      <c r="BN7" s="97"/>
    </row>
    <row r="8" spans="1:66" ht="12.75">
      <c r="A8" s="79" t="s">
        <v>724</v>
      </c>
      <c r="B8" s="79" t="s">
        <v>411</v>
      </c>
      <c r="C8" s="79" t="s">
        <v>216</v>
      </c>
      <c r="D8" s="99">
        <v>3068</v>
      </c>
      <c r="E8" s="99">
        <v>533</v>
      </c>
      <c r="F8" s="99" t="s">
        <v>440</v>
      </c>
      <c r="G8" s="99" t="s">
        <v>736</v>
      </c>
      <c r="H8" s="99">
        <v>7</v>
      </c>
      <c r="I8" s="99">
        <v>38</v>
      </c>
      <c r="J8" s="99">
        <v>174</v>
      </c>
      <c r="K8" s="99" t="s">
        <v>736</v>
      </c>
      <c r="L8" s="99">
        <v>568</v>
      </c>
      <c r="M8" s="99">
        <v>126</v>
      </c>
      <c r="N8" s="99">
        <v>70</v>
      </c>
      <c r="O8" s="99">
        <v>46</v>
      </c>
      <c r="P8" s="159">
        <v>46</v>
      </c>
      <c r="Q8" s="99">
        <v>6</v>
      </c>
      <c r="R8" s="99">
        <v>9</v>
      </c>
      <c r="S8" s="99">
        <v>14</v>
      </c>
      <c r="T8" s="99">
        <v>9</v>
      </c>
      <c r="U8" s="99" t="s">
        <v>736</v>
      </c>
      <c r="V8" s="99">
        <v>7</v>
      </c>
      <c r="W8" s="99">
        <v>24</v>
      </c>
      <c r="X8" s="99">
        <v>19</v>
      </c>
      <c r="Y8" s="99">
        <v>37</v>
      </c>
      <c r="Z8" s="99">
        <v>23</v>
      </c>
      <c r="AA8" s="99" t="s">
        <v>736</v>
      </c>
      <c r="AB8" s="99" t="s">
        <v>736</v>
      </c>
      <c r="AC8" s="99" t="s">
        <v>736</v>
      </c>
      <c r="AD8" s="98" t="s">
        <v>417</v>
      </c>
      <c r="AE8" s="100">
        <v>0.17372881355932204</v>
      </c>
      <c r="AF8" s="100">
        <v>0.08</v>
      </c>
      <c r="AG8" s="98" t="s">
        <v>736</v>
      </c>
      <c r="AH8" s="98">
        <v>228.16166883963493</v>
      </c>
      <c r="AI8" s="100">
        <v>0.012</v>
      </c>
      <c r="AJ8" s="100">
        <v>0.587838</v>
      </c>
      <c r="AK8" s="100" t="s">
        <v>736</v>
      </c>
      <c r="AL8" s="100">
        <v>0.70559</v>
      </c>
      <c r="AM8" s="100">
        <v>0.482759</v>
      </c>
      <c r="AN8" s="100">
        <v>0.59322</v>
      </c>
      <c r="AO8" s="98">
        <v>1499.348109517601</v>
      </c>
      <c r="AP8" s="158">
        <v>0.8119644165</v>
      </c>
      <c r="AQ8" s="100">
        <v>0.13043478260869565</v>
      </c>
      <c r="AR8" s="100">
        <v>0.6666666666666666</v>
      </c>
      <c r="AS8" s="98">
        <v>456.32333767926986</v>
      </c>
      <c r="AT8" s="98">
        <v>293.3507170795306</v>
      </c>
      <c r="AU8" s="98" t="s">
        <v>736</v>
      </c>
      <c r="AV8" s="98">
        <v>228.16166883963493</v>
      </c>
      <c r="AW8" s="98">
        <v>782.2685788787484</v>
      </c>
      <c r="AX8" s="98">
        <v>619.2959582790091</v>
      </c>
      <c r="AY8" s="98">
        <v>1205.9973924380704</v>
      </c>
      <c r="AZ8" s="98">
        <v>749.6740547588005</v>
      </c>
      <c r="BA8" s="100" t="s">
        <v>736</v>
      </c>
      <c r="BB8" s="100" t="s">
        <v>736</v>
      </c>
      <c r="BC8" s="100" t="s">
        <v>736</v>
      </c>
      <c r="BD8" s="158">
        <v>0.5944599915</v>
      </c>
      <c r="BE8" s="158">
        <v>1.083046722</v>
      </c>
      <c r="BF8" s="162">
        <v>296</v>
      </c>
      <c r="BG8" s="162" t="s">
        <v>736</v>
      </c>
      <c r="BH8" s="162">
        <v>805</v>
      </c>
      <c r="BI8" s="162">
        <v>261</v>
      </c>
      <c r="BJ8" s="162">
        <v>118</v>
      </c>
      <c r="BK8" s="97"/>
      <c r="BL8" s="97"/>
      <c r="BM8" s="97"/>
      <c r="BN8" s="97"/>
    </row>
    <row r="9" spans="1:66" ht="12.75">
      <c r="A9" s="79" t="s">
        <v>693</v>
      </c>
      <c r="B9" s="79" t="s">
        <v>380</v>
      </c>
      <c r="C9" s="79" t="s">
        <v>216</v>
      </c>
      <c r="D9" s="99">
        <v>3192</v>
      </c>
      <c r="E9" s="99">
        <v>740</v>
      </c>
      <c r="F9" s="99" t="s">
        <v>440</v>
      </c>
      <c r="G9" s="99">
        <v>13</v>
      </c>
      <c r="H9" s="99" t="s">
        <v>736</v>
      </c>
      <c r="I9" s="99">
        <v>56</v>
      </c>
      <c r="J9" s="99">
        <v>312</v>
      </c>
      <c r="K9" s="99">
        <v>270</v>
      </c>
      <c r="L9" s="99">
        <v>518</v>
      </c>
      <c r="M9" s="99">
        <v>237</v>
      </c>
      <c r="N9" s="99">
        <v>124</v>
      </c>
      <c r="O9" s="99">
        <v>39</v>
      </c>
      <c r="P9" s="159">
        <v>39</v>
      </c>
      <c r="Q9" s="99" t="s">
        <v>736</v>
      </c>
      <c r="R9" s="99">
        <v>12</v>
      </c>
      <c r="S9" s="99" t="s">
        <v>736</v>
      </c>
      <c r="T9" s="99">
        <v>8</v>
      </c>
      <c r="U9" s="99" t="s">
        <v>736</v>
      </c>
      <c r="V9" s="99">
        <v>6</v>
      </c>
      <c r="W9" s="99">
        <v>19</v>
      </c>
      <c r="X9" s="99" t="s">
        <v>736</v>
      </c>
      <c r="Y9" s="99">
        <v>26</v>
      </c>
      <c r="Z9" s="99">
        <v>15</v>
      </c>
      <c r="AA9" s="99" t="s">
        <v>736</v>
      </c>
      <c r="AB9" s="99" t="s">
        <v>736</v>
      </c>
      <c r="AC9" s="99" t="s">
        <v>736</v>
      </c>
      <c r="AD9" s="98" t="s">
        <v>417</v>
      </c>
      <c r="AE9" s="100">
        <v>0.23182957393483708</v>
      </c>
      <c r="AF9" s="100">
        <v>0.07</v>
      </c>
      <c r="AG9" s="98">
        <v>407.2681704260652</v>
      </c>
      <c r="AH9" s="98" t="s">
        <v>736</v>
      </c>
      <c r="AI9" s="100">
        <v>0.018000000000000002</v>
      </c>
      <c r="AJ9" s="100">
        <v>0.768473</v>
      </c>
      <c r="AK9" s="100">
        <v>0.671642</v>
      </c>
      <c r="AL9" s="100">
        <v>0.705722</v>
      </c>
      <c r="AM9" s="100">
        <v>0.523179</v>
      </c>
      <c r="AN9" s="100">
        <v>0.599034</v>
      </c>
      <c r="AO9" s="98">
        <v>1221.8045112781954</v>
      </c>
      <c r="AP9" s="158">
        <v>0.5593015671</v>
      </c>
      <c r="AQ9" s="100" t="s">
        <v>736</v>
      </c>
      <c r="AR9" s="100" t="s">
        <v>736</v>
      </c>
      <c r="AS9" s="98" t="s">
        <v>736</v>
      </c>
      <c r="AT9" s="98">
        <v>250.6265664160401</v>
      </c>
      <c r="AU9" s="98" t="s">
        <v>736</v>
      </c>
      <c r="AV9" s="98">
        <v>187.9699248120301</v>
      </c>
      <c r="AW9" s="98">
        <v>595.2380952380952</v>
      </c>
      <c r="AX9" s="98" t="s">
        <v>736</v>
      </c>
      <c r="AY9" s="98">
        <v>814.5363408521304</v>
      </c>
      <c r="AZ9" s="98">
        <v>469.9248120300752</v>
      </c>
      <c r="BA9" s="100" t="s">
        <v>736</v>
      </c>
      <c r="BB9" s="100" t="s">
        <v>736</v>
      </c>
      <c r="BC9" s="100" t="s">
        <v>736</v>
      </c>
      <c r="BD9" s="158">
        <v>0.39771808620000004</v>
      </c>
      <c r="BE9" s="158">
        <v>0.7645836639</v>
      </c>
      <c r="BF9" s="162">
        <v>406</v>
      </c>
      <c r="BG9" s="162">
        <v>402</v>
      </c>
      <c r="BH9" s="162">
        <v>734</v>
      </c>
      <c r="BI9" s="162">
        <v>453</v>
      </c>
      <c r="BJ9" s="162">
        <v>207</v>
      </c>
      <c r="BK9" s="97"/>
      <c r="BL9" s="97"/>
      <c r="BM9" s="97"/>
      <c r="BN9" s="97"/>
    </row>
    <row r="10" spans="1:66" ht="12.75">
      <c r="A10" s="79" t="s">
        <v>605</v>
      </c>
      <c r="B10" s="79" t="s">
        <v>286</v>
      </c>
      <c r="C10" s="79" t="s">
        <v>216</v>
      </c>
      <c r="D10" s="99">
        <v>6844</v>
      </c>
      <c r="E10" s="99">
        <v>1162</v>
      </c>
      <c r="F10" s="99" t="s">
        <v>440</v>
      </c>
      <c r="G10" s="99">
        <v>16</v>
      </c>
      <c r="H10" s="99">
        <v>10</v>
      </c>
      <c r="I10" s="99">
        <v>133</v>
      </c>
      <c r="J10" s="99">
        <v>660</v>
      </c>
      <c r="K10" s="99">
        <v>632</v>
      </c>
      <c r="L10" s="99">
        <v>1446</v>
      </c>
      <c r="M10" s="99">
        <v>427</v>
      </c>
      <c r="N10" s="99">
        <v>199</v>
      </c>
      <c r="O10" s="99">
        <v>53</v>
      </c>
      <c r="P10" s="159">
        <v>53</v>
      </c>
      <c r="Q10" s="99">
        <v>8</v>
      </c>
      <c r="R10" s="99">
        <v>23</v>
      </c>
      <c r="S10" s="99">
        <v>15</v>
      </c>
      <c r="T10" s="99">
        <v>7</v>
      </c>
      <c r="U10" s="99" t="s">
        <v>736</v>
      </c>
      <c r="V10" s="99">
        <v>6</v>
      </c>
      <c r="W10" s="99">
        <v>48</v>
      </c>
      <c r="X10" s="99">
        <v>22</v>
      </c>
      <c r="Y10" s="99">
        <v>89</v>
      </c>
      <c r="Z10" s="99">
        <v>23</v>
      </c>
      <c r="AA10" s="99" t="s">
        <v>736</v>
      </c>
      <c r="AB10" s="99" t="s">
        <v>736</v>
      </c>
      <c r="AC10" s="99" t="s">
        <v>736</v>
      </c>
      <c r="AD10" s="98" t="s">
        <v>417</v>
      </c>
      <c r="AE10" s="100">
        <v>0.16978375219170075</v>
      </c>
      <c r="AF10" s="100">
        <v>0.05</v>
      </c>
      <c r="AG10" s="98">
        <v>233.78141437755698</v>
      </c>
      <c r="AH10" s="98">
        <v>146.11338398597312</v>
      </c>
      <c r="AI10" s="100">
        <v>0.019</v>
      </c>
      <c r="AJ10" s="100">
        <v>0.794224</v>
      </c>
      <c r="AK10" s="100">
        <v>0.77546</v>
      </c>
      <c r="AL10" s="100">
        <v>0.824401</v>
      </c>
      <c r="AM10" s="100">
        <v>0.59388</v>
      </c>
      <c r="AN10" s="100">
        <v>0.652459</v>
      </c>
      <c r="AO10" s="98">
        <v>774.4009351256575</v>
      </c>
      <c r="AP10" s="158">
        <v>0.4009267807</v>
      </c>
      <c r="AQ10" s="100">
        <v>0.1509433962264151</v>
      </c>
      <c r="AR10" s="100">
        <v>0.34782608695652173</v>
      </c>
      <c r="AS10" s="98">
        <v>219.17007597895966</v>
      </c>
      <c r="AT10" s="98">
        <v>102.27936879018118</v>
      </c>
      <c r="AU10" s="98" t="s">
        <v>736</v>
      </c>
      <c r="AV10" s="98">
        <v>87.66803039158387</v>
      </c>
      <c r="AW10" s="98">
        <v>701.344243132671</v>
      </c>
      <c r="AX10" s="98">
        <v>321.4494447691408</v>
      </c>
      <c r="AY10" s="98">
        <v>1300.4091174751607</v>
      </c>
      <c r="AZ10" s="98">
        <v>336.0607831677382</v>
      </c>
      <c r="BA10" s="100" t="s">
        <v>736</v>
      </c>
      <c r="BB10" s="100" t="s">
        <v>736</v>
      </c>
      <c r="BC10" s="100" t="s">
        <v>736</v>
      </c>
      <c r="BD10" s="158">
        <v>0.3003216743</v>
      </c>
      <c r="BE10" s="158">
        <v>0.5244221115</v>
      </c>
      <c r="BF10" s="162">
        <v>831</v>
      </c>
      <c r="BG10" s="162">
        <v>815</v>
      </c>
      <c r="BH10" s="162">
        <v>1754</v>
      </c>
      <c r="BI10" s="162">
        <v>719</v>
      </c>
      <c r="BJ10" s="162">
        <v>305</v>
      </c>
      <c r="BK10" s="97"/>
      <c r="BL10" s="97"/>
      <c r="BM10" s="97"/>
      <c r="BN10" s="97"/>
    </row>
    <row r="11" spans="1:66" ht="12.75">
      <c r="A11" s="79" t="s">
        <v>619</v>
      </c>
      <c r="B11" s="79" t="s">
        <v>302</v>
      </c>
      <c r="C11" s="79" t="s">
        <v>216</v>
      </c>
      <c r="D11" s="99">
        <v>10347</v>
      </c>
      <c r="E11" s="99">
        <v>1729</v>
      </c>
      <c r="F11" s="99" t="s">
        <v>440</v>
      </c>
      <c r="G11" s="99">
        <v>52</v>
      </c>
      <c r="H11" s="99">
        <v>25</v>
      </c>
      <c r="I11" s="99">
        <v>179</v>
      </c>
      <c r="J11" s="99">
        <v>929</v>
      </c>
      <c r="K11" s="99">
        <v>8</v>
      </c>
      <c r="L11" s="99">
        <v>2061</v>
      </c>
      <c r="M11" s="99">
        <v>683</v>
      </c>
      <c r="N11" s="99">
        <v>321</v>
      </c>
      <c r="O11" s="99">
        <v>177</v>
      </c>
      <c r="P11" s="159">
        <v>177</v>
      </c>
      <c r="Q11" s="99">
        <v>21</v>
      </c>
      <c r="R11" s="99">
        <v>34</v>
      </c>
      <c r="S11" s="99">
        <v>37</v>
      </c>
      <c r="T11" s="99">
        <v>30</v>
      </c>
      <c r="U11" s="99">
        <v>6</v>
      </c>
      <c r="V11" s="99">
        <v>28</v>
      </c>
      <c r="W11" s="99">
        <v>68</v>
      </c>
      <c r="X11" s="99">
        <v>33</v>
      </c>
      <c r="Y11" s="99">
        <v>124</v>
      </c>
      <c r="Z11" s="99">
        <v>49</v>
      </c>
      <c r="AA11" s="99" t="s">
        <v>736</v>
      </c>
      <c r="AB11" s="99" t="s">
        <v>736</v>
      </c>
      <c r="AC11" s="99" t="s">
        <v>736</v>
      </c>
      <c r="AD11" s="98" t="s">
        <v>417</v>
      </c>
      <c r="AE11" s="100">
        <v>0.16710157533584613</v>
      </c>
      <c r="AF11" s="100">
        <v>0.07</v>
      </c>
      <c r="AG11" s="98">
        <v>502.56112882961247</v>
      </c>
      <c r="AH11" s="98">
        <v>241.61592732192906</v>
      </c>
      <c r="AI11" s="100">
        <v>0.017</v>
      </c>
      <c r="AJ11" s="100">
        <v>0.711877</v>
      </c>
      <c r="AK11" s="100">
        <v>0.615385</v>
      </c>
      <c r="AL11" s="100">
        <v>0.790564</v>
      </c>
      <c r="AM11" s="100">
        <v>0.595466</v>
      </c>
      <c r="AN11" s="100">
        <v>0.647177</v>
      </c>
      <c r="AO11" s="98">
        <v>1710.6407654392578</v>
      </c>
      <c r="AP11" s="158">
        <v>0.8986206055</v>
      </c>
      <c r="AQ11" s="100">
        <v>0.11864406779661017</v>
      </c>
      <c r="AR11" s="100">
        <v>0.6176470588235294</v>
      </c>
      <c r="AS11" s="98">
        <v>357.591572436455</v>
      </c>
      <c r="AT11" s="98">
        <v>289.93911278631487</v>
      </c>
      <c r="AU11" s="98">
        <v>57.98782255726297</v>
      </c>
      <c r="AV11" s="98">
        <v>270.6098386005605</v>
      </c>
      <c r="AW11" s="98">
        <v>657.1953223156471</v>
      </c>
      <c r="AX11" s="98">
        <v>318.9330240649464</v>
      </c>
      <c r="AY11" s="98">
        <v>1198.4149995167681</v>
      </c>
      <c r="AZ11" s="98">
        <v>473.56721755098096</v>
      </c>
      <c r="BA11" s="101" t="s">
        <v>736</v>
      </c>
      <c r="BB11" s="101" t="s">
        <v>736</v>
      </c>
      <c r="BC11" s="101" t="s">
        <v>736</v>
      </c>
      <c r="BD11" s="158">
        <v>0.7711080933</v>
      </c>
      <c r="BE11" s="158">
        <v>1.041197052</v>
      </c>
      <c r="BF11" s="162">
        <v>1305</v>
      </c>
      <c r="BG11" s="162">
        <v>13</v>
      </c>
      <c r="BH11" s="162">
        <v>2607</v>
      </c>
      <c r="BI11" s="162">
        <v>1147</v>
      </c>
      <c r="BJ11" s="162">
        <v>496</v>
      </c>
      <c r="BK11" s="97"/>
      <c r="BL11" s="97"/>
      <c r="BM11" s="97"/>
      <c r="BN11" s="97"/>
    </row>
    <row r="12" spans="1:66" ht="12.75">
      <c r="A12" s="79" t="s">
        <v>630</v>
      </c>
      <c r="B12" s="79" t="s">
        <v>313</v>
      </c>
      <c r="C12" s="79" t="s">
        <v>216</v>
      </c>
      <c r="D12" s="99">
        <v>13565</v>
      </c>
      <c r="E12" s="99">
        <v>2371</v>
      </c>
      <c r="F12" s="99" t="s">
        <v>440</v>
      </c>
      <c r="G12" s="99">
        <v>51</v>
      </c>
      <c r="H12" s="99">
        <v>38</v>
      </c>
      <c r="I12" s="99">
        <v>216</v>
      </c>
      <c r="J12" s="99">
        <v>1289</v>
      </c>
      <c r="K12" s="99">
        <v>8</v>
      </c>
      <c r="L12" s="99">
        <v>2609</v>
      </c>
      <c r="M12" s="99">
        <v>822</v>
      </c>
      <c r="N12" s="99">
        <v>420</v>
      </c>
      <c r="O12" s="99">
        <v>323</v>
      </c>
      <c r="P12" s="159">
        <v>323</v>
      </c>
      <c r="Q12" s="99">
        <v>29</v>
      </c>
      <c r="R12" s="99">
        <v>70</v>
      </c>
      <c r="S12" s="99">
        <v>55</v>
      </c>
      <c r="T12" s="99">
        <v>42</v>
      </c>
      <c r="U12" s="99">
        <v>11</v>
      </c>
      <c r="V12" s="99">
        <v>79</v>
      </c>
      <c r="W12" s="99">
        <v>81</v>
      </c>
      <c r="X12" s="99">
        <v>65</v>
      </c>
      <c r="Y12" s="99">
        <v>141</v>
      </c>
      <c r="Z12" s="99">
        <v>105</v>
      </c>
      <c r="AA12" s="99" t="s">
        <v>736</v>
      </c>
      <c r="AB12" s="99" t="s">
        <v>736</v>
      </c>
      <c r="AC12" s="99" t="s">
        <v>736</v>
      </c>
      <c r="AD12" s="98" t="s">
        <v>417</v>
      </c>
      <c r="AE12" s="100">
        <v>0.1747880575009215</v>
      </c>
      <c r="AF12" s="100">
        <v>0.07</v>
      </c>
      <c r="AG12" s="98">
        <v>375.96756358274973</v>
      </c>
      <c r="AH12" s="98">
        <v>280.1326944342057</v>
      </c>
      <c r="AI12" s="100">
        <v>0.016</v>
      </c>
      <c r="AJ12" s="100">
        <v>0.762722</v>
      </c>
      <c r="AK12" s="100">
        <v>0.32</v>
      </c>
      <c r="AL12" s="100">
        <v>0.759313</v>
      </c>
      <c r="AM12" s="100">
        <v>0.541145</v>
      </c>
      <c r="AN12" s="100">
        <v>0.613139</v>
      </c>
      <c r="AO12" s="98">
        <v>2381.127902690748</v>
      </c>
      <c r="AP12" s="158">
        <v>1.228903885</v>
      </c>
      <c r="AQ12" s="100">
        <v>0.08978328173374613</v>
      </c>
      <c r="AR12" s="100">
        <v>0.4142857142857143</v>
      </c>
      <c r="AS12" s="98">
        <v>405.45521562845556</v>
      </c>
      <c r="AT12" s="98">
        <v>309.6203464799115</v>
      </c>
      <c r="AU12" s="98">
        <v>81.09104312569112</v>
      </c>
      <c r="AV12" s="98">
        <v>582.3811279026908</v>
      </c>
      <c r="AW12" s="98">
        <v>597.1249539255437</v>
      </c>
      <c r="AX12" s="98">
        <v>479.1743457427202</v>
      </c>
      <c r="AY12" s="98">
        <v>1039.4397346111316</v>
      </c>
      <c r="AZ12" s="98">
        <v>774.0508661997789</v>
      </c>
      <c r="BA12" s="100" t="s">
        <v>736</v>
      </c>
      <c r="BB12" s="100" t="s">
        <v>736</v>
      </c>
      <c r="BC12" s="100" t="s">
        <v>736</v>
      </c>
      <c r="BD12" s="158">
        <v>1.098524551</v>
      </c>
      <c r="BE12" s="158">
        <v>1.370500793</v>
      </c>
      <c r="BF12" s="162">
        <v>1690</v>
      </c>
      <c r="BG12" s="162">
        <v>25</v>
      </c>
      <c r="BH12" s="162">
        <v>3436</v>
      </c>
      <c r="BI12" s="162">
        <v>1519</v>
      </c>
      <c r="BJ12" s="162">
        <v>685</v>
      </c>
      <c r="BK12" s="97"/>
      <c r="BL12" s="97"/>
      <c r="BM12" s="97"/>
      <c r="BN12" s="97"/>
    </row>
    <row r="13" spans="1:66" ht="12.75">
      <c r="A13" s="79" t="s">
        <v>645</v>
      </c>
      <c r="B13" s="79" t="s">
        <v>328</v>
      </c>
      <c r="C13" s="79" t="s">
        <v>216</v>
      </c>
      <c r="D13" s="99">
        <v>7648</v>
      </c>
      <c r="E13" s="99">
        <v>1303</v>
      </c>
      <c r="F13" s="99" t="s">
        <v>438</v>
      </c>
      <c r="G13" s="99">
        <v>43</v>
      </c>
      <c r="H13" s="99">
        <v>20</v>
      </c>
      <c r="I13" s="99">
        <v>71</v>
      </c>
      <c r="J13" s="99">
        <v>605</v>
      </c>
      <c r="K13" s="99">
        <v>14</v>
      </c>
      <c r="L13" s="99">
        <v>1450</v>
      </c>
      <c r="M13" s="99">
        <v>465</v>
      </c>
      <c r="N13" s="99">
        <v>224</v>
      </c>
      <c r="O13" s="99">
        <v>160</v>
      </c>
      <c r="P13" s="159">
        <v>160</v>
      </c>
      <c r="Q13" s="99">
        <v>15</v>
      </c>
      <c r="R13" s="99">
        <v>33</v>
      </c>
      <c r="S13" s="99">
        <v>35</v>
      </c>
      <c r="T13" s="99">
        <v>32</v>
      </c>
      <c r="U13" s="99">
        <v>9</v>
      </c>
      <c r="V13" s="99">
        <v>32</v>
      </c>
      <c r="W13" s="99">
        <v>49</v>
      </c>
      <c r="X13" s="99">
        <v>36</v>
      </c>
      <c r="Y13" s="99">
        <v>88</v>
      </c>
      <c r="Z13" s="99">
        <v>53</v>
      </c>
      <c r="AA13" s="99" t="s">
        <v>736</v>
      </c>
      <c r="AB13" s="99" t="s">
        <v>736</v>
      </c>
      <c r="AC13" s="99" t="s">
        <v>736</v>
      </c>
      <c r="AD13" s="98" t="s">
        <v>417</v>
      </c>
      <c r="AE13" s="100">
        <v>0.17037133891213388</v>
      </c>
      <c r="AF13" s="100">
        <v>0.09</v>
      </c>
      <c r="AG13" s="98">
        <v>562.2384937238494</v>
      </c>
      <c r="AH13" s="98">
        <v>261.5062761506276</v>
      </c>
      <c r="AI13" s="100">
        <v>0.009000000000000001</v>
      </c>
      <c r="AJ13" s="100">
        <v>0.647752</v>
      </c>
      <c r="AK13" s="100">
        <v>0.608696</v>
      </c>
      <c r="AL13" s="100">
        <v>0.74093</v>
      </c>
      <c r="AM13" s="100">
        <v>0.52306</v>
      </c>
      <c r="AN13" s="100">
        <v>0.564232</v>
      </c>
      <c r="AO13" s="98">
        <v>2092.050209205021</v>
      </c>
      <c r="AP13" s="158">
        <v>1.0832443999999999</v>
      </c>
      <c r="AQ13" s="100">
        <v>0.09375</v>
      </c>
      <c r="AR13" s="100">
        <v>0.45454545454545453</v>
      </c>
      <c r="AS13" s="98">
        <v>457.63598326359835</v>
      </c>
      <c r="AT13" s="98">
        <v>418.41004184100416</v>
      </c>
      <c r="AU13" s="98">
        <v>117.67782426778243</v>
      </c>
      <c r="AV13" s="98">
        <v>418.41004184100416</v>
      </c>
      <c r="AW13" s="98">
        <v>640.6903765690377</v>
      </c>
      <c r="AX13" s="98">
        <v>470.7112970711297</v>
      </c>
      <c r="AY13" s="98">
        <v>1150.6276150627616</v>
      </c>
      <c r="AZ13" s="98">
        <v>692.9916317991632</v>
      </c>
      <c r="BA13" s="100" t="s">
        <v>736</v>
      </c>
      <c r="BB13" s="100" t="s">
        <v>736</v>
      </c>
      <c r="BC13" s="100" t="s">
        <v>736</v>
      </c>
      <c r="BD13" s="158">
        <v>0.9218985748</v>
      </c>
      <c r="BE13" s="158">
        <v>1.2647037509999999</v>
      </c>
      <c r="BF13" s="162">
        <v>934</v>
      </c>
      <c r="BG13" s="162">
        <v>23</v>
      </c>
      <c r="BH13" s="162">
        <v>1957</v>
      </c>
      <c r="BI13" s="162">
        <v>889</v>
      </c>
      <c r="BJ13" s="162">
        <v>397</v>
      </c>
      <c r="BK13" s="97"/>
      <c r="BL13" s="97"/>
      <c r="BM13" s="97"/>
      <c r="BN13" s="97"/>
    </row>
    <row r="14" spans="1:66" ht="12.75">
      <c r="A14" s="79" t="s">
        <v>670</v>
      </c>
      <c r="B14" s="79" t="s">
        <v>354</v>
      </c>
      <c r="C14" s="79" t="s">
        <v>216</v>
      </c>
      <c r="D14" s="99">
        <v>9486</v>
      </c>
      <c r="E14" s="99">
        <v>1446</v>
      </c>
      <c r="F14" s="99" t="s">
        <v>438</v>
      </c>
      <c r="G14" s="99">
        <v>27</v>
      </c>
      <c r="H14" s="99">
        <v>13</v>
      </c>
      <c r="I14" s="99">
        <v>170</v>
      </c>
      <c r="J14" s="99">
        <v>846</v>
      </c>
      <c r="K14" s="99">
        <v>838</v>
      </c>
      <c r="L14" s="99">
        <v>1817</v>
      </c>
      <c r="M14" s="99">
        <v>541</v>
      </c>
      <c r="N14" s="99">
        <v>243</v>
      </c>
      <c r="O14" s="99">
        <v>169</v>
      </c>
      <c r="P14" s="159">
        <v>169</v>
      </c>
      <c r="Q14" s="99">
        <v>16</v>
      </c>
      <c r="R14" s="99">
        <v>49</v>
      </c>
      <c r="S14" s="99">
        <v>44</v>
      </c>
      <c r="T14" s="99">
        <v>32</v>
      </c>
      <c r="U14" s="99">
        <v>7</v>
      </c>
      <c r="V14" s="99">
        <v>20</v>
      </c>
      <c r="W14" s="99">
        <v>92</v>
      </c>
      <c r="X14" s="99">
        <v>55</v>
      </c>
      <c r="Y14" s="99">
        <v>109</v>
      </c>
      <c r="Z14" s="99">
        <v>57</v>
      </c>
      <c r="AA14" s="99" t="s">
        <v>736</v>
      </c>
      <c r="AB14" s="99" t="s">
        <v>736</v>
      </c>
      <c r="AC14" s="99" t="s">
        <v>736</v>
      </c>
      <c r="AD14" s="98" t="s">
        <v>417</v>
      </c>
      <c r="AE14" s="100">
        <v>0.15243516761543327</v>
      </c>
      <c r="AF14" s="100">
        <v>0.09</v>
      </c>
      <c r="AG14" s="98">
        <v>284.6299810246679</v>
      </c>
      <c r="AH14" s="98">
        <v>137.04406493780309</v>
      </c>
      <c r="AI14" s="100">
        <v>0.018000000000000002</v>
      </c>
      <c r="AJ14" s="100">
        <v>0.752</v>
      </c>
      <c r="AK14" s="100">
        <v>0.771639</v>
      </c>
      <c r="AL14" s="100">
        <v>0.769589</v>
      </c>
      <c r="AM14" s="100">
        <v>0.581096</v>
      </c>
      <c r="AN14" s="100">
        <v>0.646277</v>
      </c>
      <c r="AO14" s="98">
        <v>1781.57284419144</v>
      </c>
      <c r="AP14" s="158">
        <v>0.9687766266</v>
      </c>
      <c r="AQ14" s="100">
        <v>0.09467455621301775</v>
      </c>
      <c r="AR14" s="100">
        <v>0.32653061224489793</v>
      </c>
      <c r="AS14" s="98">
        <v>463.8414505587181</v>
      </c>
      <c r="AT14" s="98">
        <v>337.3392367699768</v>
      </c>
      <c r="AU14" s="98">
        <v>73.79295804343242</v>
      </c>
      <c r="AV14" s="98">
        <v>210.8370229812355</v>
      </c>
      <c r="AW14" s="98">
        <v>969.8503057136833</v>
      </c>
      <c r="AX14" s="98">
        <v>579.8018131983977</v>
      </c>
      <c r="AY14" s="98">
        <v>1149.0617752477335</v>
      </c>
      <c r="AZ14" s="98">
        <v>600.8855154965212</v>
      </c>
      <c r="BA14" s="100" t="s">
        <v>736</v>
      </c>
      <c r="BB14" s="100" t="s">
        <v>736</v>
      </c>
      <c r="BC14" s="100" t="s">
        <v>736</v>
      </c>
      <c r="BD14" s="158">
        <v>0.82822052</v>
      </c>
      <c r="BE14" s="158">
        <v>1.1263512420000001</v>
      </c>
      <c r="BF14" s="162">
        <v>1125</v>
      </c>
      <c r="BG14" s="162">
        <v>1086</v>
      </c>
      <c r="BH14" s="162">
        <v>2361</v>
      </c>
      <c r="BI14" s="162">
        <v>931</v>
      </c>
      <c r="BJ14" s="162">
        <v>376</v>
      </c>
      <c r="BK14" s="97"/>
      <c r="BL14" s="97"/>
      <c r="BM14" s="97"/>
      <c r="BN14" s="97"/>
    </row>
    <row r="15" spans="1:66" ht="12.75">
      <c r="A15" s="79" t="s">
        <v>688</v>
      </c>
      <c r="B15" s="79" t="s">
        <v>375</v>
      </c>
      <c r="C15" s="79" t="s">
        <v>216</v>
      </c>
      <c r="D15" s="99">
        <v>7881</v>
      </c>
      <c r="E15" s="99">
        <v>1318</v>
      </c>
      <c r="F15" s="99" t="s">
        <v>440</v>
      </c>
      <c r="G15" s="99">
        <v>40</v>
      </c>
      <c r="H15" s="99">
        <v>10</v>
      </c>
      <c r="I15" s="99">
        <v>116</v>
      </c>
      <c r="J15" s="99">
        <v>736</v>
      </c>
      <c r="K15" s="99">
        <v>683</v>
      </c>
      <c r="L15" s="99">
        <v>1456</v>
      </c>
      <c r="M15" s="99">
        <v>436</v>
      </c>
      <c r="N15" s="99">
        <v>191</v>
      </c>
      <c r="O15" s="99">
        <v>162</v>
      </c>
      <c r="P15" s="159">
        <v>162</v>
      </c>
      <c r="Q15" s="99">
        <v>13</v>
      </c>
      <c r="R15" s="99">
        <v>31</v>
      </c>
      <c r="S15" s="99">
        <v>35</v>
      </c>
      <c r="T15" s="99">
        <v>27</v>
      </c>
      <c r="U15" s="99" t="s">
        <v>736</v>
      </c>
      <c r="V15" s="99">
        <v>39</v>
      </c>
      <c r="W15" s="99">
        <v>44</v>
      </c>
      <c r="X15" s="99">
        <v>9</v>
      </c>
      <c r="Y15" s="99">
        <v>55</v>
      </c>
      <c r="Z15" s="99">
        <v>36</v>
      </c>
      <c r="AA15" s="99" t="s">
        <v>736</v>
      </c>
      <c r="AB15" s="99" t="s">
        <v>736</v>
      </c>
      <c r="AC15" s="99" t="s">
        <v>736</v>
      </c>
      <c r="AD15" s="98" t="s">
        <v>417</v>
      </c>
      <c r="AE15" s="100">
        <v>0.16723766019540667</v>
      </c>
      <c r="AF15" s="100">
        <v>0.05</v>
      </c>
      <c r="AG15" s="98">
        <v>507.5498033244512</v>
      </c>
      <c r="AH15" s="98">
        <v>126.8874508311128</v>
      </c>
      <c r="AI15" s="100">
        <v>0.015</v>
      </c>
      <c r="AJ15" s="100">
        <v>0.767466</v>
      </c>
      <c r="AK15" s="100">
        <v>0.743199</v>
      </c>
      <c r="AL15" s="100">
        <v>0.742857</v>
      </c>
      <c r="AM15" s="100">
        <v>0.542964</v>
      </c>
      <c r="AN15" s="100">
        <v>0.550432</v>
      </c>
      <c r="AO15" s="98">
        <v>2055.5767034640276</v>
      </c>
      <c r="AP15" s="158">
        <v>1.0893335720000001</v>
      </c>
      <c r="AQ15" s="100">
        <v>0.08024691358024691</v>
      </c>
      <c r="AR15" s="100">
        <v>0.41935483870967744</v>
      </c>
      <c r="AS15" s="98">
        <v>444.1060779088948</v>
      </c>
      <c r="AT15" s="98">
        <v>342.5961172440046</v>
      </c>
      <c r="AU15" s="98" t="s">
        <v>736</v>
      </c>
      <c r="AV15" s="98">
        <v>494.86105824133995</v>
      </c>
      <c r="AW15" s="98">
        <v>558.3047836568963</v>
      </c>
      <c r="AX15" s="98">
        <v>114.19870574800153</v>
      </c>
      <c r="AY15" s="98">
        <v>697.8809795711204</v>
      </c>
      <c r="AZ15" s="98">
        <v>456.7948229920061</v>
      </c>
      <c r="BA15" s="100" t="s">
        <v>736</v>
      </c>
      <c r="BB15" s="100" t="s">
        <v>736</v>
      </c>
      <c r="BC15" s="100" t="s">
        <v>736</v>
      </c>
      <c r="BD15" s="158">
        <v>0.9280446625000001</v>
      </c>
      <c r="BE15" s="158">
        <v>1.270596161</v>
      </c>
      <c r="BF15" s="162">
        <v>959</v>
      </c>
      <c r="BG15" s="162">
        <v>919</v>
      </c>
      <c r="BH15" s="162">
        <v>1960</v>
      </c>
      <c r="BI15" s="162">
        <v>803</v>
      </c>
      <c r="BJ15" s="162">
        <v>347</v>
      </c>
      <c r="BK15" s="97"/>
      <c r="BL15" s="97"/>
      <c r="BM15" s="97"/>
      <c r="BN15" s="97"/>
    </row>
    <row r="16" spans="1:66" ht="12.75">
      <c r="A16" s="79" t="s">
        <v>638</v>
      </c>
      <c r="B16" s="79" t="s">
        <v>321</v>
      </c>
      <c r="C16" s="79" t="s">
        <v>216</v>
      </c>
      <c r="D16" s="99">
        <v>8510</v>
      </c>
      <c r="E16" s="99">
        <v>1470</v>
      </c>
      <c r="F16" s="99" t="s">
        <v>440</v>
      </c>
      <c r="G16" s="99">
        <v>32</v>
      </c>
      <c r="H16" s="99">
        <v>16</v>
      </c>
      <c r="I16" s="99">
        <v>159</v>
      </c>
      <c r="J16" s="99">
        <v>784</v>
      </c>
      <c r="K16" s="99">
        <v>758</v>
      </c>
      <c r="L16" s="99">
        <v>1746</v>
      </c>
      <c r="M16" s="99">
        <v>510</v>
      </c>
      <c r="N16" s="99">
        <v>239</v>
      </c>
      <c r="O16" s="99">
        <v>57</v>
      </c>
      <c r="P16" s="159">
        <v>57</v>
      </c>
      <c r="Q16" s="99">
        <v>10</v>
      </c>
      <c r="R16" s="99">
        <v>36</v>
      </c>
      <c r="S16" s="99">
        <v>11</v>
      </c>
      <c r="T16" s="99">
        <v>13</v>
      </c>
      <c r="U16" s="99" t="s">
        <v>736</v>
      </c>
      <c r="V16" s="99">
        <v>14</v>
      </c>
      <c r="W16" s="99">
        <v>55</v>
      </c>
      <c r="X16" s="99">
        <v>25</v>
      </c>
      <c r="Y16" s="99">
        <v>60</v>
      </c>
      <c r="Z16" s="99">
        <v>40</v>
      </c>
      <c r="AA16" s="99" t="s">
        <v>736</v>
      </c>
      <c r="AB16" s="99" t="s">
        <v>736</v>
      </c>
      <c r="AC16" s="99" t="s">
        <v>736</v>
      </c>
      <c r="AD16" s="98" t="s">
        <v>417</v>
      </c>
      <c r="AE16" s="100">
        <v>0.172737955346651</v>
      </c>
      <c r="AF16" s="100">
        <v>0.07</v>
      </c>
      <c r="AG16" s="98">
        <v>376.02820211515865</v>
      </c>
      <c r="AH16" s="98">
        <v>188.01410105757932</v>
      </c>
      <c r="AI16" s="100">
        <v>0.019</v>
      </c>
      <c r="AJ16" s="100">
        <v>0.762646</v>
      </c>
      <c r="AK16" s="100">
        <v>0.759519</v>
      </c>
      <c r="AL16" s="100">
        <v>0.786132</v>
      </c>
      <c r="AM16" s="100">
        <v>0.543131</v>
      </c>
      <c r="AN16" s="100">
        <v>0.619171</v>
      </c>
      <c r="AO16" s="98">
        <v>669.8002350176263</v>
      </c>
      <c r="AP16" s="158">
        <v>0.3448566437</v>
      </c>
      <c r="AQ16" s="100">
        <v>0.17543859649122806</v>
      </c>
      <c r="AR16" s="100">
        <v>0.2777777777777778</v>
      </c>
      <c r="AS16" s="98">
        <v>129.2596944770858</v>
      </c>
      <c r="AT16" s="98">
        <v>152.76145710928319</v>
      </c>
      <c r="AU16" s="98" t="s">
        <v>736</v>
      </c>
      <c r="AV16" s="98">
        <v>164.5123384253819</v>
      </c>
      <c r="AW16" s="98">
        <v>646.2984723854289</v>
      </c>
      <c r="AX16" s="98">
        <v>293.7720329024677</v>
      </c>
      <c r="AY16" s="98">
        <v>705.0528789659224</v>
      </c>
      <c r="AZ16" s="98">
        <v>470.0352526439483</v>
      </c>
      <c r="BA16" s="100" t="s">
        <v>736</v>
      </c>
      <c r="BB16" s="100" t="s">
        <v>736</v>
      </c>
      <c r="BC16" s="100" t="s">
        <v>736</v>
      </c>
      <c r="BD16" s="158">
        <v>0.26119104390000003</v>
      </c>
      <c r="BE16" s="158">
        <v>0.4468017578</v>
      </c>
      <c r="BF16" s="162">
        <v>1028</v>
      </c>
      <c r="BG16" s="162">
        <v>998</v>
      </c>
      <c r="BH16" s="162">
        <v>2221</v>
      </c>
      <c r="BI16" s="162">
        <v>939</v>
      </c>
      <c r="BJ16" s="162">
        <v>386</v>
      </c>
      <c r="BK16" s="97"/>
      <c r="BL16" s="97"/>
      <c r="BM16" s="97"/>
      <c r="BN16" s="97"/>
    </row>
    <row r="17" spans="1:66" ht="12.75">
      <c r="A17" s="79" t="s">
        <v>723</v>
      </c>
      <c r="B17" s="79" t="s">
        <v>410</v>
      </c>
      <c r="C17" s="79" t="s">
        <v>216</v>
      </c>
      <c r="D17" s="99">
        <v>4148</v>
      </c>
      <c r="E17" s="99">
        <v>541</v>
      </c>
      <c r="F17" s="99" t="s">
        <v>440</v>
      </c>
      <c r="G17" s="99">
        <v>19</v>
      </c>
      <c r="H17" s="99">
        <v>11</v>
      </c>
      <c r="I17" s="99">
        <v>62</v>
      </c>
      <c r="J17" s="99">
        <v>318</v>
      </c>
      <c r="K17" s="99">
        <v>306</v>
      </c>
      <c r="L17" s="99">
        <v>872</v>
      </c>
      <c r="M17" s="99">
        <v>192</v>
      </c>
      <c r="N17" s="99">
        <v>92</v>
      </c>
      <c r="O17" s="99">
        <v>87</v>
      </c>
      <c r="P17" s="159">
        <v>87</v>
      </c>
      <c r="Q17" s="99" t="s">
        <v>736</v>
      </c>
      <c r="R17" s="99">
        <v>14</v>
      </c>
      <c r="S17" s="99">
        <v>18</v>
      </c>
      <c r="T17" s="99">
        <v>7</v>
      </c>
      <c r="U17" s="99" t="s">
        <v>736</v>
      </c>
      <c r="V17" s="99">
        <v>19</v>
      </c>
      <c r="W17" s="99">
        <v>41</v>
      </c>
      <c r="X17" s="99">
        <v>15</v>
      </c>
      <c r="Y17" s="99">
        <v>50</v>
      </c>
      <c r="Z17" s="99">
        <v>39</v>
      </c>
      <c r="AA17" s="99" t="s">
        <v>736</v>
      </c>
      <c r="AB17" s="99" t="s">
        <v>736</v>
      </c>
      <c r="AC17" s="99" t="s">
        <v>736</v>
      </c>
      <c r="AD17" s="98" t="s">
        <v>417</v>
      </c>
      <c r="AE17" s="100">
        <v>0.13042430086788814</v>
      </c>
      <c r="AF17" s="100">
        <v>0.08</v>
      </c>
      <c r="AG17" s="98">
        <v>458.0520732883317</v>
      </c>
      <c r="AH17" s="98">
        <v>265.1880424300868</v>
      </c>
      <c r="AI17" s="100">
        <v>0.015</v>
      </c>
      <c r="AJ17" s="100">
        <v>0.746479</v>
      </c>
      <c r="AK17" s="100">
        <v>0.755556</v>
      </c>
      <c r="AL17" s="100">
        <v>0.832856</v>
      </c>
      <c r="AM17" s="100">
        <v>0.547009</v>
      </c>
      <c r="AN17" s="100">
        <v>0.621622</v>
      </c>
      <c r="AO17" s="98">
        <v>2097.3963355834135</v>
      </c>
      <c r="AP17" s="158">
        <v>1.253997269</v>
      </c>
      <c r="AQ17" s="100" t="s">
        <v>736</v>
      </c>
      <c r="AR17" s="100" t="s">
        <v>736</v>
      </c>
      <c r="AS17" s="98">
        <v>433.9440694310511</v>
      </c>
      <c r="AT17" s="98">
        <v>168.7560270009643</v>
      </c>
      <c r="AU17" s="98" t="s">
        <v>736</v>
      </c>
      <c r="AV17" s="98">
        <v>458.0520732883317</v>
      </c>
      <c r="AW17" s="98">
        <v>988.4281581485053</v>
      </c>
      <c r="AX17" s="98">
        <v>361.6200578592093</v>
      </c>
      <c r="AY17" s="98">
        <v>1205.400192864031</v>
      </c>
      <c r="AZ17" s="98">
        <v>940.2121504339441</v>
      </c>
      <c r="BA17" s="100" t="s">
        <v>736</v>
      </c>
      <c r="BB17" s="100" t="s">
        <v>736</v>
      </c>
      <c r="BC17" s="100" t="s">
        <v>736</v>
      </c>
      <c r="BD17" s="158">
        <v>1.004400406</v>
      </c>
      <c r="BE17" s="158">
        <v>1.5468009950000001</v>
      </c>
      <c r="BF17" s="162">
        <v>426</v>
      </c>
      <c r="BG17" s="162">
        <v>405</v>
      </c>
      <c r="BH17" s="162">
        <v>1047</v>
      </c>
      <c r="BI17" s="162">
        <v>351</v>
      </c>
      <c r="BJ17" s="162">
        <v>148</v>
      </c>
      <c r="BK17" s="97"/>
      <c r="BL17" s="97"/>
      <c r="BM17" s="97"/>
      <c r="BN17" s="97"/>
    </row>
    <row r="18" spans="1:66" ht="12.75">
      <c r="A18" s="79" t="s">
        <v>615</v>
      </c>
      <c r="B18" s="79" t="s">
        <v>298</v>
      </c>
      <c r="C18" s="79" t="s">
        <v>216</v>
      </c>
      <c r="D18" s="99">
        <v>4536</v>
      </c>
      <c r="E18" s="99">
        <v>850</v>
      </c>
      <c r="F18" s="99" t="s">
        <v>440</v>
      </c>
      <c r="G18" s="99">
        <v>17</v>
      </c>
      <c r="H18" s="99">
        <v>15</v>
      </c>
      <c r="I18" s="99">
        <v>114</v>
      </c>
      <c r="J18" s="99">
        <v>432</v>
      </c>
      <c r="K18" s="99">
        <v>6</v>
      </c>
      <c r="L18" s="99">
        <v>893</v>
      </c>
      <c r="M18" s="99">
        <v>341</v>
      </c>
      <c r="N18" s="99">
        <v>152</v>
      </c>
      <c r="O18" s="99">
        <v>94</v>
      </c>
      <c r="P18" s="159">
        <v>94</v>
      </c>
      <c r="Q18" s="99">
        <v>9</v>
      </c>
      <c r="R18" s="99">
        <v>23</v>
      </c>
      <c r="S18" s="99">
        <v>17</v>
      </c>
      <c r="T18" s="99">
        <v>13</v>
      </c>
      <c r="U18" s="99" t="s">
        <v>736</v>
      </c>
      <c r="V18" s="99">
        <v>22</v>
      </c>
      <c r="W18" s="99">
        <v>35</v>
      </c>
      <c r="X18" s="99">
        <v>10</v>
      </c>
      <c r="Y18" s="99">
        <v>71</v>
      </c>
      <c r="Z18" s="99">
        <v>28</v>
      </c>
      <c r="AA18" s="99" t="s">
        <v>736</v>
      </c>
      <c r="AB18" s="99" t="s">
        <v>736</v>
      </c>
      <c r="AC18" s="99" t="s">
        <v>736</v>
      </c>
      <c r="AD18" s="98" t="s">
        <v>417</v>
      </c>
      <c r="AE18" s="100">
        <v>0.18738977072310406</v>
      </c>
      <c r="AF18" s="100">
        <v>0.05</v>
      </c>
      <c r="AG18" s="98">
        <v>374.7795414462081</v>
      </c>
      <c r="AH18" s="98">
        <v>330.6878306878307</v>
      </c>
      <c r="AI18" s="100">
        <v>0.025</v>
      </c>
      <c r="AJ18" s="100">
        <v>0.66055</v>
      </c>
      <c r="AK18" s="100">
        <v>0.5</v>
      </c>
      <c r="AL18" s="100">
        <v>0.79661</v>
      </c>
      <c r="AM18" s="100">
        <v>0.565506</v>
      </c>
      <c r="AN18" s="100">
        <v>0.598425</v>
      </c>
      <c r="AO18" s="98">
        <v>2072.310405643739</v>
      </c>
      <c r="AP18" s="158">
        <v>1.02678566</v>
      </c>
      <c r="AQ18" s="100">
        <v>0.09574468085106383</v>
      </c>
      <c r="AR18" s="100">
        <v>0.391304347826087</v>
      </c>
      <c r="AS18" s="98">
        <v>374.7795414462081</v>
      </c>
      <c r="AT18" s="98">
        <v>286.59611992945327</v>
      </c>
      <c r="AU18" s="98" t="s">
        <v>736</v>
      </c>
      <c r="AV18" s="98">
        <v>485.0088183421517</v>
      </c>
      <c r="AW18" s="98">
        <v>771.604938271605</v>
      </c>
      <c r="AX18" s="98">
        <v>220.4585537918871</v>
      </c>
      <c r="AY18" s="98">
        <v>1565.2557319223986</v>
      </c>
      <c r="AZ18" s="98">
        <v>617.283950617284</v>
      </c>
      <c r="BA18" s="100" t="s">
        <v>736</v>
      </c>
      <c r="BB18" s="100" t="s">
        <v>736</v>
      </c>
      <c r="BC18" s="100" t="s">
        <v>736</v>
      </c>
      <c r="BD18" s="158">
        <v>0.8297473907</v>
      </c>
      <c r="BE18" s="158">
        <v>1.25652565</v>
      </c>
      <c r="BF18" s="162">
        <v>654</v>
      </c>
      <c r="BG18" s="162">
        <v>12</v>
      </c>
      <c r="BH18" s="162">
        <v>1121</v>
      </c>
      <c r="BI18" s="162">
        <v>603</v>
      </c>
      <c r="BJ18" s="162">
        <v>254</v>
      </c>
      <c r="BK18" s="97"/>
      <c r="BL18" s="97"/>
      <c r="BM18" s="97"/>
      <c r="BN18" s="97"/>
    </row>
    <row r="19" spans="1:66" ht="12.75">
      <c r="A19" s="79" t="s">
        <v>741</v>
      </c>
      <c r="B19" s="79" t="s">
        <v>292</v>
      </c>
      <c r="C19" s="79" t="s">
        <v>216</v>
      </c>
      <c r="D19" s="99">
        <v>11268</v>
      </c>
      <c r="E19" s="99">
        <v>1844</v>
      </c>
      <c r="F19" s="99" t="s">
        <v>440</v>
      </c>
      <c r="G19" s="99">
        <v>52</v>
      </c>
      <c r="H19" s="99">
        <v>21</v>
      </c>
      <c r="I19" s="99">
        <v>125</v>
      </c>
      <c r="J19" s="99">
        <v>1153</v>
      </c>
      <c r="K19" s="99">
        <v>16</v>
      </c>
      <c r="L19" s="99">
        <v>2254</v>
      </c>
      <c r="M19" s="99">
        <v>702</v>
      </c>
      <c r="N19" s="99">
        <v>320</v>
      </c>
      <c r="O19" s="99">
        <v>280</v>
      </c>
      <c r="P19" s="159">
        <v>280</v>
      </c>
      <c r="Q19" s="99">
        <v>23</v>
      </c>
      <c r="R19" s="99">
        <v>44</v>
      </c>
      <c r="S19" s="99">
        <v>48</v>
      </c>
      <c r="T19" s="99">
        <v>69</v>
      </c>
      <c r="U19" s="99">
        <v>14</v>
      </c>
      <c r="V19" s="99">
        <v>45</v>
      </c>
      <c r="W19" s="99">
        <v>93</v>
      </c>
      <c r="X19" s="99">
        <v>56</v>
      </c>
      <c r="Y19" s="99">
        <v>133</v>
      </c>
      <c r="Z19" s="99">
        <v>69</v>
      </c>
      <c r="AA19" s="99" t="s">
        <v>736</v>
      </c>
      <c r="AB19" s="99" t="s">
        <v>736</v>
      </c>
      <c r="AC19" s="99" t="s">
        <v>736</v>
      </c>
      <c r="AD19" s="98" t="s">
        <v>417</v>
      </c>
      <c r="AE19" s="100">
        <v>0.16364927227547035</v>
      </c>
      <c r="AF19" s="100">
        <v>0.05</v>
      </c>
      <c r="AG19" s="98">
        <v>461.4838480653177</v>
      </c>
      <c r="AH19" s="98">
        <v>186.3684771033014</v>
      </c>
      <c r="AI19" s="100">
        <v>0.011000000000000001</v>
      </c>
      <c r="AJ19" s="100">
        <v>0.779054</v>
      </c>
      <c r="AK19" s="100">
        <v>0.571429</v>
      </c>
      <c r="AL19" s="100">
        <v>0.790046</v>
      </c>
      <c r="AM19" s="100">
        <v>0.571661</v>
      </c>
      <c r="AN19" s="100">
        <v>0.627451</v>
      </c>
      <c r="AO19" s="98">
        <v>2484.9130280440186</v>
      </c>
      <c r="AP19" s="158">
        <v>1.303900909</v>
      </c>
      <c r="AQ19" s="100">
        <v>0.08214285714285714</v>
      </c>
      <c r="AR19" s="100">
        <v>0.5227272727272727</v>
      </c>
      <c r="AS19" s="98">
        <v>425.98509052183175</v>
      </c>
      <c r="AT19" s="98">
        <v>612.3535676251331</v>
      </c>
      <c r="AU19" s="98">
        <v>124.24565140220092</v>
      </c>
      <c r="AV19" s="98">
        <v>399.36102236421726</v>
      </c>
      <c r="AW19" s="98">
        <v>825.346112886049</v>
      </c>
      <c r="AX19" s="98">
        <v>496.9826056088037</v>
      </c>
      <c r="AY19" s="98">
        <v>1180.3336883209088</v>
      </c>
      <c r="AZ19" s="98">
        <v>612.3535676251331</v>
      </c>
      <c r="BA19" s="100" t="s">
        <v>736</v>
      </c>
      <c r="BB19" s="100" t="s">
        <v>736</v>
      </c>
      <c r="BC19" s="100" t="s">
        <v>736</v>
      </c>
      <c r="BD19" s="158">
        <v>1.155632019</v>
      </c>
      <c r="BE19" s="158">
        <v>1.465918121</v>
      </c>
      <c r="BF19" s="162">
        <v>1480</v>
      </c>
      <c r="BG19" s="162">
        <v>28</v>
      </c>
      <c r="BH19" s="162">
        <v>2853</v>
      </c>
      <c r="BI19" s="162">
        <v>1228</v>
      </c>
      <c r="BJ19" s="162">
        <v>510</v>
      </c>
      <c r="BK19" s="97"/>
      <c r="BL19" s="97"/>
      <c r="BM19" s="97"/>
      <c r="BN19" s="97"/>
    </row>
    <row r="20" spans="1:66" ht="12.75">
      <c r="A20" s="79" t="s">
        <v>662</v>
      </c>
      <c r="B20" s="79" t="s">
        <v>345</v>
      </c>
      <c r="C20" s="79" t="s">
        <v>216</v>
      </c>
      <c r="D20" s="99">
        <v>12067</v>
      </c>
      <c r="E20" s="99">
        <v>2044</v>
      </c>
      <c r="F20" s="99" t="s">
        <v>440</v>
      </c>
      <c r="G20" s="99">
        <v>47</v>
      </c>
      <c r="H20" s="99">
        <v>27</v>
      </c>
      <c r="I20" s="99">
        <v>251</v>
      </c>
      <c r="J20" s="99">
        <v>919</v>
      </c>
      <c r="K20" s="99">
        <v>880</v>
      </c>
      <c r="L20" s="99">
        <v>2421</v>
      </c>
      <c r="M20" s="99">
        <v>674</v>
      </c>
      <c r="N20" s="99">
        <v>304</v>
      </c>
      <c r="O20" s="99">
        <v>205</v>
      </c>
      <c r="P20" s="159">
        <v>205</v>
      </c>
      <c r="Q20" s="99">
        <v>16</v>
      </c>
      <c r="R20" s="99">
        <v>45</v>
      </c>
      <c r="S20" s="99">
        <v>40</v>
      </c>
      <c r="T20" s="99">
        <v>21</v>
      </c>
      <c r="U20" s="99">
        <v>7</v>
      </c>
      <c r="V20" s="99">
        <v>50</v>
      </c>
      <c r="W20" s="99">
        <v>45</v>
      </c>
      <c r="X20" s="99">
        <v>37</v>
      </c>
      <c r="Y20" s="99">
        <v>94</v>
      </c>
      <c r="Z20" s="99">
        <v>44</v>
      </c>
      <c r="AA20" s="99" t="s">
        <v>736</v>
      </c>
      <c r="AB20" s="99" t="s">
        <v>736</v>
      </c>
      <c r="AC20" s="99" t="s">
        <v>736</v>
      </c>
      <c r="AD20" s="98" t="s">
        <v>417</v>
      </c>
      <c r="AE20" s="100">
        <v>0.1693875859782879</v>
      </c>
      <c r="AF20" s="100">
        <v>0.05</v>
      </c>
      <c r="AG20" s="98">
        <v>389.492002983343</v>
      </c>
      <c r="AH20" s="98">
        <v>223.75072511809066</v>
      </c>
      <c r="AI20" s="100">
        <v>0.021</v>
      </c>
      <c r="AJ20" s="100">
        <v>0.673754</v>
      </c>
      <c r="AK20" s="100">
        <v>0.667172</v>
      </c>
      <c r="AL20" s="100">
        <v>0.73811</v>
      </c>
      <c r="AM20" s="100">
        <v>0.540931</v>
      </c>
      <c r="AN20" s="100">
        <v>0.581262</v>
      </c>
      <c r="AO20" s="98">
        <v>1698.8480981188366</v>
      </c>
      <c r="AP20" s="158">
        <v>0.8978127289</v>
      </c>
      <c r="AQ20" s="100">
        <v>0.07804878048780488</v>
      </c>
      <c r="AR20" s="100">
        <v>0.35555555555555557</v>
      </c>
      <c r="AS20" s="98">
        <v>331.48255573050466</v>
      </c>
      <c r="AT20" s="98">
        <v>174.02834175851496</v>
      </c>
      <c r="AU20" s="98">
        <v>58.00944725283832</v>
      </c>
      <c r="AV20" s="98">
        <v>414.35319466313086</v>
      </c>
      <c r="AW20" s="98">
        <v>372.91787519681776</v>
      </c>
      <c r="AX20" s="98">
        <v>306.6213640507168</v>
      </c>
      <c r="AY20" s="98">
        <v>778.984005966686</v>
      </c>
      <c r="AZ20" s="98">
        <v>364.63081130355516</v>
      </c>
      <c r="BA20" s="100" t="s">
        <v>736</v>
      </c>
      <c r="BB20" s="100" t="s">
        <v>736</v>
      </c>
      <c r="BC20" s="100" t="s">
        <v>736</v>
      </c>
      <c r="BD20" s="158">
        <v>0.7791104889</v>
      </c>
      <c r="BE20" s="158">
        <v>1.029487381</v>
      </c>
      <c r="BF20" s="162">
        <v>1364</v>
      </c>
      <c r="BG20" s="162">
        <v>1319</v>
      </c>
      <c r="BH20" s="162">
        <v>3280</v>
      </c>
      <c r="BI20" s="162">
        <v>1246</v>
      </c>
      <c r="BJ20" s="162">
        <v>523</v>
      </c>
      <c r="BK20" s="97"/>
      <c r="BL20" s="97"/>
      <c r="BM20" s="97"/>
      <c r="BN20" s="97"/>
    </row>
    <row r="21" spans="1:66" ht="12.75">
      <c r="A21" s="79" t="s">
        <v>656</v>
      </c>
      <c r="B21" s="79" t="s">
        <v>339</v>
      </c>
      <c r="C21" s="79" t="s">
        <v>216</v>
      </c>
      <c r="D21" s="99">
        <v>12908</v>
      </c>
      <c r="E21" s="99">
        <v>2113</v>
      </c>
      <c r="F21" s="99" t="s">
        <v>440</v>
      </c>
      <c r="G21" s="99">
        <v>66</v>
      </c>
      <c r="H21" s="99">
        <v>29</v>
      </c>
      <c r="I21" s="99">
        <v>214</v>
      </c>
      <c r="J21" s="99">
        <v>1067</v>
      </c>
      <c r="K21" s="99">
        <v>1016</v>
      </c>
      <c r="L21" s="99">
        <v>2188</v>
      </c>
      <c r="M21" s="99">
        <v>638</v>
      </c>
      <c r="N21" s="99">
        <v>288</v>
      </c>
      <c r="O21" s="99">
        <v>211</v>
      </c>
      <c r="P21" s="159">
        <v>211</v>
      </c>
      <c r="Q21" s="99">
        <v>19</v>
      </c>
      <c r="R21" s="99">
        <v>64</v>
      </c>
      <c r="S21" s="99">
        <v>43</v>
      </c>
      <c r="T21" s="99">
        <v>27</v>
      </c>
      <c r="U21" s="99">
        <v>16</v>
      </c>
      <c r="V21" s="99">
        <v>38</v>
      </c>
      <c r="W21" s="99">
        <v>67</v>
      </c>
      <c r="X21" s="99">
        <v>26</v>
      </c>
      <c r="Y21" s="99">
        <v>95</v>
      </c>
      <c r="Z21" s="99">
        <v>131</v>
      </c>
      <c r="AA21" s="99" t="s">
        <v>736</v>
      </c>
      <c r="AB21" s="99" t="s">
        <v>736</v>
      </c>
      <c r="AC21" s="99" t="s">
        <v>736</v>
      </c>
      <c r="AD21" s="98" t="s">
        <v>417</v>
      </c>
      <c r="AE21" s="100">
        <v>0.16369693213511</v>
      </c>
      <c r="AF21" s="100">
        <v>0.06</v>
      </c>
      <c r="AG21" s="98">
        <v>511.31081499845055</v>
      </c>
      <c r="AH21" s="98">
        <v>224.66687325689495</v>
      </c>
      <c r="AI21" s="100">
        <v>0.017</v>
      </c>
      <c r="AJ21" s="100">
        <v>0.742003</v>
      </c>
      <c r="AK21" s="100">
        <v>0.731461</v>
      </c>
      <c r="AL21" s="100">
        <v>0.741444</v>
      </c>
      <c r="AM21" s="100">
        <v>0.522095</v>
      </c>
      <c r="AN21" s="100">
        <v>0.551724</v>
      </c>
      <c r="AO21" s="98">
        <v>1634.6451812829253</v>
      </c>
      <c r="AP21" s="158">
        <v>0.8883440399</v>
      </c>
      <c r="AQ21" s="100">
        <v>0.09004739336492891</v>
      </c>
      <c r="AR21" s="100">
        <v>0.296875</v>
      </c>
      <c r="AS21" s="98">
        <v>333.1267431050511</v>
      </c>
      <c r="AT21" s="98">
        <v>209.17260613572978</v>
      </c>
      <c r="AU21" s="98">
        <v>123.95413696932135</v>
      </c>
      <c r="AV21" s="98">
        <v>294.39107530213823</v>
      </c>
      <c r="AW21" s="98">
        <v>519.0579485590332</v>
      </c>
      <c r="AX21" s="98">
        <v>201.42547257514718</v>
      </c>
      <c r="AY21" s="98">
        <v>735.9776882553455</v>
      </c>
      <c r="AZ21" s="98">
        <v>1014.8744964363185</v>
      </c>
      <c r="BA21" s="100" t="s">
        <v>736</v>
      </c>
      <c r="BB21" s="100" t="s">
        <v>736</v>
      </c>
      <c r="BC21" s="100" t="s">
        <v>736</v>
      </c>
      <c r="BD21" s="158">
        <v>0.7725163268999999</v>
      </c>
      <c r="BE21" s="158">
        <v>1.016638336</v>
      </c>
      <c r="BF21" s="162">
        <v>1438</v>
      </c>
      <c r="BG21" s="162">
        <v>1389</v>
      </c>
      <c r="BH21" s="162">
        <v>2951</v>
      </c>
      <c r="BI21" s="162">
        <v>1222</v>
      </c>
      <c r="BJ21" s="162">
        <v>522</v>
      </c>
      <c r="BK21" s="97"/>
      <c r="BL21" s="97"/>
      <c r="BM21" s="97"/>
      <c r="BN21" s="97"/>
    </row>
    <row r="22" spans="1:66" ht="12.75">
      <c r="A22" s="79" t="s">
        <v>712</v>
      </c>
      <c r="B22" s="79" t="s">
        <v>399</v>
      </c>
      <c r="C22" s="79" t="s">
        <v>216</v>
      </c>
      <c r="D22" s="99">
        <v>1545</v>
      </c>
      <c r="E22" s="99">
        <v>153</v>
      </c>
      <c r="F22" s="99" t="s">
        <v>438</v>
      </c>
      <c r="G22" s="99" t="s">
        <v>736</v>
      </c>
      <c r="H22" s="99" t="s">
        <v>736</v>
      </c>
      <c r="I22" s="99">
        <v>25</v>
      </c>
      <c r="J22" s="99">
        <v>86</v>
      </c>
      <c r="K22" s="99" t="s">
        <v>736</v>
      </c>
      <c r="L22" s="99" t="s">
        <v>736</v>
      </c>
      <c r="M22" s="99" t="s">
        <v>417</v>
      </c>
      <c r="N22" s="99" t="s">
        <v>417</v>
      </c>
      <c r="O22" s="99">
        <v>16</v>
      </c>
      <c r="P22" s="159">
        <v>16</v>
      </c>
      <c r="Q22" s="99" t="s">
        <v>736</v>
      </c>
      <c r="R22" s="99" t="s">
        <v>736</v>
      </c>
      <c r="S22" s="99" t="s">
        <v>736</v>
      </c>
      <c r="T22" s="99" t="s">
        <v>736</v>
      </c>
      <c r="U22" s="99" t="s">
        <v>736</v>
      </c>
      <c r="V22" s="99" t="s">
        <v>736</v>
      </c>
      <c r="W22" s="99">
        <v>12</v>
      </c>
      <c r="X22" s="99" t="s">
        <v>736</v>
      </c>
      <c r="Y22" s="99">
        <v>18</v>
      </c>
      <c r="Z22" s="99" t="s">
        <v>736</v>
      </c>
      <c r="AA22" s="99" t="s">
        <v>736</v>
      </c>
      <c r="AB22" s="99" t="s">
        <v>736</v>
      </c>
      <c r="AC22" s="99" t="s">
        <v>736</v>
      </c>
      <c r="AD22" s="98" t="s">
        <v>417</v>
      </c>
      <c r="AE22" s="100">
        <v>0.09902912621359224</v>
      </c>
      <c r="AF22" s="100">
        <v>0.12</v>
      </c>
      <c r="AG22" s="98" t="s">
        <v>736</v>
      </c>
      <c r="AH22" s="98" t="s">
        <v>736</v>
      </c>
      <c r="AI22" s="100">
        <v>0.016</v>
      </c>
      <c r="AJ22" s="100">
        <v>0.569536</v>
      </c>
      <c r="AK22" s="100" t="s">
        <v>736</v>
      </c>
      <c r="AL22" s="100" t="s">
        <v>736</v>
      </c>
      <c r="AM22" s="100" t="s">
        <v>417</v>
      </c>
      <c r="AN22" s="100" t="s">
        <v>417</v>
      </c>
      <c r="AO22" s="98">
        <v>1035.598705501618</v>
      </c>
      <c r="AP22" s="158">
        <v>0.6724991608</v>
      </c>
      <c r="AQ22" s="100" t="s">
        <v>736</v>
      </c>
      <c r="AR22" s="100" t="s">
        <v>736</v>
      </c>
      <c r="AS22" s="98" t="s">
        <v>736</v>
      </c>
      <c r="AT22" s="98" t="s">
        <v>736</v>
      </c>
      <c r="AU22" s="98" t="s">
        <v>736</v>
      </c>
      <c r="AV22" s="98" t="s">
        <v>736</v>
      </c>
      <c r="AW22" s="98">
        <v>776.6990291262136</v>
      </c>
      <c r="AX22" s="98" t="s">
        <v>736</v>
      </c>
      <c r="AY22" s="98">
        <v>1165.0485436893205</v>
      </c>
      <c r="AZ22" s="98" t="s">
        <v>736</v>
      </c>
      <c r="BA22" s="100" t="s">
        <v>736</v>
      </c>
      <c r="BB22" s="100" t="s">
        <v>736</v>
      </c>
      <c r="BC22" s="100" t="s">
        <v>736</v>
      </c>
      <c r="BD22" s="158">
        <v>0.3843913651</v>
      </c>
      <c r="BE22" s="158">
        <v>1.092096481</v>
      </c>
      <c r="BF22" s="162">
        <v>151</v>
      </c>
      <c r="BG22" s="162" t="s">
        <v>736</v>
      </c>
      <c r="BH22" s="162" t="s">
        <v>736</v>
      </c>
      <c r="BI22" s="162" t="s">
        <v>417</v>
      </c>
      <c r="BJ22" s="162" t="s">
        <v>417</v>
      </c>
      <c r="BK22" s="97"/>
      <c r="BL22" s="97"/>
      <c r="BM22" s="97"/>
      <c r="BN22" s="97"/>
    </row>
    <row r="23" spans="1:66" ht="12.75">
      <c r="A23" s="79" t="s">
        <v>643</v>
      </c>
      <c r="B23" s="79" t="s">
        <v>326</v>
      </c>
      <c r="C23" s="79" t="s">
        <v>216</v>
      </c>
      <c r="D23" s="99">
        <v>14442</v>
      </c>
      <c r="E23" s="99">
        <v>3285</v>
      </c>
      <c r="F23" s="99" t="s">
        <v>440</v>
      </c>
      <c r="G23" s="99">
        <v>94</v>
      </c>
      <c r="H23" s="99">
        <v>45</v>
      </c>
      <c r="I23" s="99">
        <v>391</v>
      </c>
      <c r="J23" s="99">
        <v>1626</v>
      </c>
      <c r="K23" s="99">
        <v>21</v>
      </c>
      <c r="L23" s="99">
        <v>2516</v>
      </c>
      <c r="M23" s="99">
        <v>1227</v>
      </c>
      <c r="N23" s="99">
        <v>571</v>
      </c>
      <c r="O23" s="99">
        <v>282</v>
      </c>
      <c r="P23" s="159">
        <v>282</v>
      </c>
      <c r="Q23" s="99">
        <v>41</v>
      </c>
      <c r="R23" s="99">
        <v>74</v>
      </c>
      <c r="S23" s="99">
        <v>50</v>
      </c>
      <c r="T23" s="99">
        <v>72</v>
      </c>
      <c r="U23" s="99">
        <v>13</v>
      </c>
      <c r="V23" s="99">
        <v>37</v>
      </c>
      <c r="W23" s="99">
        <v>119</v>
      </c>
      <c r="X23" s="99">
        <v>73</v>
      </c>
      <c r="Y23" s="99">
        <v>177</v>
      </c>
      <c r="Z23" s="99">
        <v>79</v>
      </c>
      <c r="AA23" s="99" t="s">
        <v>736</v>
      </c>
      <c r="AB23" s="99" t="s">
        <v>736</v>
      </c>
      <c r="AC23" s="99" t="s">
        <v>736</v>
      </c>
      <c r="AD23" s="98" t="s">
        <v>417</v>
      </c>
      <c r="AE23" s="100">
        <v>0.22746157041960946</v>
      </c>
      <c r="AF23" s="100">
        <v>0.05</v>
      </c>
      <c r="AG23" s="98">
        <v>650.8793795873148</v>
      </c>
      <c r="AH23" s="98">
        <v>311.5911923556294</v>
      </c>
      <c r="AI23" s="100">
        <v>0.027000000000000003</v>
      </c>
      <c r="AJ23" s="100">
        <v>0.798625</v>
      </c>
      <c r="AK23" s="100">
        <v>0.617647</v>
      </c>
      <c r="AL23" s="100">
        <v>0.781366</v>
      </c>
      <c r="AM23" s="100">
        <v>0.617514</v>
      </c>
      <c r="AN23" s="100">
        <v>0.659353</v>
      </c>
      <c r="AO23" s="98">
        <v>1952.6381387619442</v>
      </c>
      <c r="AP23" s="158">
        <v>0.9079573059</v>
      </c>
      <c r="AQ23" s="100">
        <v>0.1453900709219858</v>
      </c>
      <c r="AR23" s="100">
        <v>0.5540540540540541</v>
      </c>
      <c r="AS23" s="98">
        <v>346.21243595069933</v>
      </c>
      <c r="AT23" s="98">
        <v>498.54590776900704</v>
      </c>
      <c r="AU23" s="98">
        <v>90.01523334718183</v>
      </c>
      <c r="AV23" s="98">
        <v>256.1972026035175</v>
      </c>
      <c r="AW23" s="98">
        <v>823.9855975626645</v>
      </c>
      <c r="AX23" s="98">
        <v>505.4701564880211</v>
      </c>
      <c r="AY23" s="98">
        <v>1225.5920232654757</v>
      </c>
      <c r="AZ23" s="98">
        <v>547.0156488021049</v>
      </c>
      <c r="BA23" s="100" t="s">
        <v>736</v>
      </c>
      <c r="BB23" s="100" t="s">
        <v>736</v>
      </c>
      <c r="BC23" s="100" t="s">
        <v>736</v>
      </c>
      <c r="BD23" s="158">
        <v>0.8050675201</v>
      </c>
      <c r="BE23" s="158">
        <v>1.020352097</v>
      </c>
      <c r="BF23" s="162">
        <v>2036</v>
      </c>
      <c r="BG23" s="162">
        <v>34</v>
      </c>
      <c r="BH23" s="162">
        <v>3220</v>
      </c>
      <c r="BI23" s="162">
        <v>1987</v>
      </c>
      <c r="BJ23" s="162">
        <v>866</v>
      </c>
      <c r="BK23" s="97"/>
      <c r="BL23" s="97"/>
      <c r="BM23" s="97"/>
      <c r="BN23" s="97"/>
    </row>
    <row r="24" spans="1:66" ht="12.75">
      <c r="A24" s="79" t="s">
        <v>635</v>
      </c>
      <c r="B24" s="79" t="s">
        <v>318</v>
      </c>
      <c r="C24" s="79" t="s">
        <v>216</v>
      </c>
      <c r="D24" s="99">
        <v>15537</v>
      </c>
      <c r="E24" s="99">
        <v>2423</v>
      </c>
      <c r="F24" s="99" t="s">
        <v>440</v>
      </c>
      <c r="G24" s="99">
        <v>61</v>
      </c>
      <c r="H24" s="99">
        <v>26</v>
      </c>
      <c r="I24" s="99">
        <v>227</v>
      </c>
      <c r="J24" s="99">
        <v>1217</v>
      </c>
      <c r="K24" s="99">
        <v>1029</v>
      </c>
      <c r="L24" s="99">
        <v>2972</v>
      </c>
      <c r="M24" s="99">
        <v>767</v>
      </c>
      <c r="N24" s="99">
        <v>339</v>
      </c>
      <c r="O24" s="99">
        <v>409</v>
      </c>
      <c r="P24" s="159">
        <v>409</v>
      </c>
      <c r="Q24" s="99">
        <v>40</v>
      </c>
      <c r="R24" s="99">
        <v>63</v>
      </c>
      <c r="S24" s="99">
        <v>53</v>
      </c>
      <c r="T24" s="99">
        <v>73</v>
      </c>
      <c r="U24" s="99">
        <v>19</v>
      </c>
      <c r="V24" s="99">
        <v>74</v>
      </c>
      <c r="W24" s="99">
        <v>89</v>
      </c>
      <c r="X24" s="99">
        <v>70</v>
      </c>
      <c r="Y24" s="99">
        <v>204</v>
      </c>
      <c r="Z24" s="99">
        <v>75</v>
      </c>
      <c r="AA24" s="99" t="s">
        <v>736</v>
      </c>
      <c r="AB24" s="99" t="s">
        <v>736</v>
      </c>
      <c r="AC24" s="99" t="s">
        <v>736</v>
      </c>
      <c r="AD24" s="98" t="s">
        <v>417</v>
      </c>
      <c r="AE24" s="100">
        <v>0.15595031215807428</v>
      </c>
      <c r="AF24" s="100">
        <v>0.08</v>
      </c>
      <c r="AG24" s="98">
        <v>392.61118620068225</v>
      </c>
      <c r="AH24" s="98">
        <v>167.34247280684818</v>
      </c>
      <c r="AI24" s="100">
        <v>0.015</v>
      </c>
      <c r="AJ24" s="100">
        <v>0.714621</v>
      </c>
      <c r="AK24" s="100">
        <v>0.696211</v>
      </c>
      <c r="AL24" s="100">
        <v>0.743</v>
      </c>
      <c r="AM24" s="100">
        <v>0.515111</v>
      </c>
      <c r="AN24" s="100">
        <v>0.541534</v>
      </c>
      <c r="AO24" s="98">
        <v>2632.425822230804</v>
      </c>
      <c r="AP24" s="158">
        <v>1.446094208</v>
      </c>
      <c r="AQ24" s="100">
        <v>0.097799511002445</v>
      </c>
      <c r="AR24" s="100">
        <v>0.6349206349206349</v>
      </c>
      <c r="AS24" s="98">
        <v>341.1211945678059</v>
      </c>
      <c r="AT24" s="98">
        <v>469.8461736499968</v>
      </c>
      <c r="AU24" s="98">
        <v>122.28873012808135</v>
      </c>
      <c r="AV24" s="98">
        <v>476.28242260410633</v>
      </c>
      <c r="AW24" s="98">
        <v>572.8261569157495</v>
      </c>
      <c r="AX24" s="98">
        <v>450.53742678766815</v>
      </c>
      <c r="AY24" s="98">
        <v>1312.9947866383473</v>
      </c>
      <c r="AZ24" s="98">
        <v>482.7186715582159</v>
      </c>
      <c r="BA24" s="100" t="s">
        <v>736</v>
      </c>
      <c r="BB24" s="100" t="s">
        <v>736</v>
      </c>
      <c r="BC24" s="100" t="s">
        <v>736</v>
      </c>
      <c r="BD24" s="158">
        <v>1.3093228149999998</v>
      </c>
      <c r="BE24" s="158">
        <v>1.593268433</v>
      </c>
      <c r="BF24" s="162">
        <v>1703</v>
      </c>
      <c r="BG24" s="162">
        <v>1478</v>
      </c>
      <c r="BH24" s="162">
        <v>4000</v>
      </c>
      <c r="BI24" s="162">
        <v>1489</v>
      </c>
      <c r="BJ24" s="162">
        <v>626</v>
      </c>
      <c r="BK24" s="97"/>
      <c r="BL24" s="97"/>
      <c r="BM24" s="97"/>
      <c r="BN24" s="97"/>
    </row>
    <row r="25" spans="1:66" ht="12.75">
      <c r="A25" s="79" t="s">
        <v>622</v>
      </c>
      <c r="B25" s="79" t="s">
        <v>305</v>
      </c>
      <c r="C25" s="79" t="s">
        <v>216</v>
      </c>
      <c r="D25" s="99">
        <v>11574</v>
      </c>
      <c r="E25" s="99">
        <v>1580</v>
      </c>
      <c r="F25" s="99" t="s">
        <v>440</v>
      </c>
      <c r="G25" s="99">
        <v>40</v>
      </c>
      <c r="H25" s="99">
        <v>18</v>
      </c>
      <c r="I25" s="99">
        <v>211</v>
      </c>
      <c r="J25" s="99">
        <v>869</v>
      </c>
      <c r="K25" s="99">
        <v>840</v>
      </c>
      <c r="L25" s="99">
        <v>2191</v>
      </c>
      <c r="M25" s="99">
        <v>549</v>
      </c>
      <c r="N25" s="99">
        <v>252</v>
      </c>
      <c r="O25" s="99">
        <v>110</v>
      </c>
      <c r="P25" s="159">
        <v>110</v>
      </c>
      <c r="Q25" s="99">
        <v>22</v>
      </c>
      <c r="R25" s="99">
        <v>53</v>
      </c>
      <c r="S25" s="99">
        <v>23</v>
      </c>
      <c r="T25" s="99">
        <v>19</v>
      </c>
      <c r="U25" s="99" t="s">
        <v>736</v>
      </c>
      <c r="V25" s="99">
        <v>14</v>
      </c>
      <c r="W25" s="99">
        <v>63</v>
      </c>
      <c r="X25" s="99">
        <v>33</v>
      </c>
      <c r="Y25" s="99">
        <v>112</v>
      </c>
      <c r="Z25" s="99">
        <v>68</v>
      </c>
      <c r="AA25" s="99" t="s">
        <v>736</v>
      </c>
      <c r="AB25" s="99" t="s">
        <v>736</v>
      </c>
      <c r="AC25" s="99" t="s">
        <v>736</v>
      </c>
      <c r="AD25" s="98" t="s">
        <v>417</v>
      </c>
      <c r="AE25" s="100">
        <v>0.13651287368239157</v>
      </c>
      <c r="AF25" s="100">
        <v>0.08</v>
      </c>
      <c r="AG25" s="98">
        <v>345.6022118541559</v>
      </c>
      <c r="AH25" s="98">
        <v>155.52099533437013</v>
      </c>
      <c r="AI25" s="100">
        <v>0.018000000000000002</v>
      </c>
      <c r="AJ25" s="100">
        <v>0.719967</v>
      </c>
      <c r="AK25" s="100">
        <v>0.718563</v>
      </c>
      <c r="AL25" s="100">
        <v>0.728633</v>
      </c>
      <c r="AM25" s="100">
        <v>0.518904</v>
      </c>
      <c r="AN25" s="100">
        <v>0.572727</v>
      </c>
      <c r="AO25" s="98">
        <v>950.4060825989286</v>
      </c>
      <c r="AP25" s="158">
        <v>0.5542062759</v>
      </c>
      <c r="AQ25" s="100">
        <v>0.2</v>
      </c>
      <c r="AR25" s="100">
        <v>0.41509433962264153</v>
      </c>
      <c r="AS25" s="98">
        <v>198.72127181613962</v>
      </c>
      <c r="AT25" s="98">
        <v>164.16105063072405</v>
      </c>
      <c r="AU25" s="98" t="s">
        <v>736</v>
      </c>
      <c r="AV25" s="98">
        <v>120.96077414895456</v>
      </c>
      <c r="AW25" s="98">
        <v>544.3234836702954</v>
      </c>
      <c r="AX25" s="98">
        <v>285.1218247796786</v>
      </c>
      <c r="AY25" s="98">
        <v>967.6861931916364</v>
      </c>
      <c r="AZ25" s="98">
        <v>587.5237601520649</v>
      </c>
      <c r="BA25" s="100" t="s">
        <v>736</v>
      </c>
      <c r="BB25" s="100" t="s">
        <v>736</v>
      </c>
      <c r="BC25" s="100" t="s">
        <v>736</v>
      </c>
      <c r="BD25" s="158">
        <v>0.4554901505</v>
      </c>
      <c r="BE25" s="158">
        <v>0.6679684448000001</v>
      </c>
      <c r="BF25" s="162">
        <v>1207</v>
      </c>
      <c r="BG25" s="162">
        <v>1169</v>
      </c>
      <c r="BH25" s="162">
        <v>3007</v>
      </c>
      <c r="BI25" s="162">
        <v>1058</v>
      </c>
      <c r="BJ25" s="162">
        <v>440</v>
      </c>
      <c r="BK25" s="97"/>
      <c r="BL25" s="97"/>
      <c r="BM25" s="97"/>
      <c r="BN25" s="97"/>
    </row>
    <row r="26" spans="1:66" ht="12.75">
      <c r="A26" s="79" t="s">
        <v>740</v>
      </c>
      <c r="B26" s="79" t="s">
        <v>287</v>
      </c>
      <c r="C26" s="79" t="s">
        <v>216</v>
      </c>
      <c r="D26" s="99">
        <v>11394</v>
      </c>
      <c r="E26" s="99">
        <v>1648</v>
      </c>
      <c r="F26" s="99" t="s">
        <v>440</v>
      </c>
      <c r="G26" s="99">
        <v>42</v>
      </c>
      <c r="H26" s="99">
        <v>29</v>
      </c>
      <c r="I26" s="99">
        <v>207</v>
      </c>
      <c r="J26" s="99">
        <v>851</v>
      </c>
      <c r="K26" s="99">
        <v>812</v>
      </c>
      <c r="L26" s="99">
        <v>2200</v>
      </c>
      <c r="M26" s="99">
        <v>547</v>
      </c>
      <c r="N26" s="99">
        <v>251</v>
      </c>
      <c r="O26" s="99">
        <v>211</v>
      </c>
      <c r="P26" s="159">
        <v>211</v>
      </c>
      <c r="Q26" s="99">
        <v>24</v>
      </c>
      <c r="R26" s="99">
        <v>49</v>
      </c>
      <c r="S26" s="99">
        <v>55</v>
      </c>
      <c r="T26" s="99">
        <v>40</v>
      </c>
      <c r="U26" s="99" t="s">
        <v>736</v>
      </c>
      <c r="V26" s="99">
        <v>47</v>
      </c>
      <c r="W26" s="99">
        <v>38</v>
      </c>
      <c r="X26" s="99">
        <v>29</v>
      </c>
      <c r="Y26" s="99">
        <v>82</v>
      </c>
      <c r="Z26" s="99">
        <v>61</v>
      </c>
      <c r="AA26" s="99" t="s">
        <v>736</v>
      </c>
      <c r="AB26" s="99" t="s">
        <v>736</v>
      </c>
      <c r="AC26" s="99" t="s">
        <v>736</v>
      </c>
      <c r="AD26" s="98" t="s">
        <v>417</v>
      </c>
      <c r="AE26" s="100">
        <v>0.14463752852378445</v>
      </c>
      <c r="AF26" s="100">
        <v>0.06</v>
      </c>
      <c r="AG26" s="98">
        <v>368.61506055818853</v>
      </c>
      <c r="AH26" s="98">
        <v>254.51992276636827</v>
      </c>
      <c r="AI26" s="100">
        <v>0.018000000000000002</v>
      </c>
      <c r="AJ26" s="100">
        <v>0.670607</v>
      </c>
      <c r="AK26" s="100">
        <v>0.659091</v>
      </c>
      <c r="AL26" s="100">
        <v>0.723922</v>
      </c>
      <c r="AM26" s="100">
        <v>0.50322</v>
      </c>
      <c r="AN26" s="100">
        <v>0.561521</v>
      </c>
      <c r="AO26" s="98">
        <v>1851.851851851852</v>
      </c>
      <c r="AP26" s="158">
        <v>1.030493469</v>
      </c>
      <c r="AQ26" s="100">
        <v>0.11374407582938388</v>
      </c>
      <c r="AR26" s="100">
        <v>0.4897959183673469</v>
      </c>
      <c r="AS26" s="98">
        <v>482.7101983500088</v>
      </c>
      <c r="AT26" s="98">
        <v>351.06196243637004</v>
      </c>
      <c r="AU26" s="98" t="s">
        <v>736</v>
      </c>
      <c r="AV26" s="98">
        <v>412.49780586273477</v>
      </c>
      <c r="AW26" s="98">
        <v>333.50886431455154</v>
      </c>
      <c r="AX26" s="98">
        <v>254.51992276636827</v>
      </c>
      <c r="AY26" s="98">
        <v>719.6770229945586</v>
      </c>
      <c r="AZ26" s="98">
        <v>535.3694927154643</v>
      </c>
      <c r="BA26" s="100" t="s">
        <v>736</v>
      </c>
      <c r="BB26" s="100" t="s">
        <v>736</v>
      </c>
      <c r="BC26" s="100" t="s">
        <v>736</v>
      </c>
      <c r="BD26" s="158">
        <v>0.8961315155</v>
      </c>
      <c r="BE26" s="158">
        <v>1.1793169399999999</v>
      </c>
      <c r="BF26" s="162">
        <v>1269</v>
      </c>
      <c r="BG26" s="162">
        <v>1232</v>
      </c>
      <c r="BH26" s="162">
        <v>3039</v>
      </c>
      <c r="BI26" s="162">
        <v>1087</v>
      </c>
      <c r="BJ26" s="162">
        <v>447</v>
      </c>
      <c r="BK26" s="97"/>
      <c r="BL26" s="97"/>
      <c r="BM26" s="97"/>
      <c r="BN26" s="97"/>
    </row>
    <row r="27" spans="1:66" ht="12.75">
      <c r="A27" s="79" t="s">
        <v>642</v>
      </c>
      <c r="B27" s="79" t="s">
        <v>325</v>
      </c>
      <c r="C27" s="79" t="s">
        <v>216</v>
      </c>
      <c r="D27" s="99">
        <v>12782</v>
      </c>
      <c r="E27" s="99">
        <v>2139</v>
      </c>
      <c r="F27" s="99" t="s">
        <v>440</v>
      </c>
      <c r="G27" s="99">
        <v>42</v>
      </c>
      <c r="H27" s="99">
        <v>29</v>
      </c>
      <c r="I27" s="99">
        <v>124</v>
      </c>
      <c r="J27" s="99">
        <v>967</v>
      </c>
      <c r="K27" s="99">
        <v>8</v>
      </c>
      <c r="L27" s="99">
        <v>2375</v>
      </c>
      <c r="M27" s="99">
        <v>679</v>
      </c>
      <c r="N27" s="99">
        <v>310</v>
      </c>
      <c r="O27" s="99">
        <v>289</v>
      </c>
      <c r="P27" s="159">
        <v>289</v>
      </c>
      <c r="Q27" s="99">
        <v>27</v>
      </c>
      <c r="R27" s="99">
        <v>56</v>
      </c>
      <c r="S27" s="99">
        <v>63</v>
      </c>
      <c r="T27" s="99">
        <v>28</v>
      </c>
      <c r="U27" s="99">
        <v>12</v>
      </c>
      <c r="V27" s="99">
        <v>102</v>
      </c>
      <c r="W27" s="99">
        <v>79</v>
      </c>
      <c r="X27" s="99">
        <v>34</v>
      </c>
      <c r="Y27" s="99">
        <v>109</v>
      </c>
      <c r="Z27" s="99">
        <v>107</v>
      </c>
      <c r="AA27" s="99" t="s">
        <v>736</v>
      </c>
      <c r="AB27" s="99" t="s">
        <v>736</v>
      </c>
      <c r="AC27" s="99" t="s">
        <v>736</v>
      </c>
      <c r="AD27" s="98" t="s">
        <v>417</v>
      </c>
      <c r="AE27" s="100">
        <v>0.1673447034892818</v>
      </c>
      <c r="AF27" s="100">
        <v>0.08</v>
      </c>
      <c r="AG27" s="98">
        <v>328.58707557502737</v>
      </c>
      <c r="AH27" s="98">
        <v>226.881552182757</v>
      </c>
      <c r="AI27" s="100">
        <v>0.01</v>
      </c>
      <c r="AJ27" s="100">
        <v>0.742704</v>
      </c>
      <c r="AK27" s="100">
        <v>0.380952</v>
      </c>
      <c r="AL27" s="100">
        <v>0.770604</v>
      </c>
      <c r="AM27" s="100">
        <v>0.546699</v>
      </c>
      <c r="AN27" s="100">
        <v>0.59387</v>
      </c>
      <c r="AO27" s="98">
        <v>2260.9920200281645</v>
      </c>
      <c r="AP27" s="158">
        <v>1.237872086</v>
      </c>
      <c r="AQ27" s="100">
        <v>0.09342560553633218</v>
      </c>
      <c r="AR27" s="100">
        <v>0.48214285714285715</v>
      </c>
      <c r="AS27" s="98">
        <v>492.88061336254106</v>
      </c>
      <c r="AT27" s="98">
        <v>219.0580503833516</v>
      </c>
      <c r="AU27" s="98">
        <v>93.88202159286497</v>
      </c>
      <c r="AV27" s="98">
        <v>797.9971835393522</v>
      </c>
      <c r="AW27" s="98">
        <v>618.0566421530277</v>
      </c>
      <c r="AX27" s="98">
        <v>265.99906117978406</v>
      </c>
      <c r="AY27" s="98">
        <v>852.7616961351902</v>
      </c>
      <c r="AZ27" s="98">
        <v>837.1146925363793</v>
      </c>
      <c r="BA27" s="100" t="s">
        <v>736</v>
      </c>
      <c r="BB27" s="100" t="s">
        <v>736</v>
      </c>
      <c r="BC27" s="100" t="s">
        <v>736</v>
      </c>
      <c r="BD27" s="158">
        <v>1.099254532</v>
      </c>
      <c r="BE27" s="158">
        <v>1.3891314700000001</v>
      </c>
      <c r="BF27" s="162">
        <v>1302</v>
      </c>
      <c r="BG27" s="162">
        <v>21</v>
      </c>
      <c r="BH27" s="162">
        <v>3082</v>
      </c>
      <c r="BI27" s="162">
        <v>1242</v>
      </c>
      <c r="BJ27" s="162">
        <v>522</v>
      </c>
      <c r="BK27" s="97"/>
      <c r="BL27" s="97"/>
      <c r="BM27" s="97"/>
      <c r="BN27" s="97"/>
    </row>
    <row r="28" spans="1:66" ht="12.75">
      <c r="A28" s="79" t="s">
        <v>676</v>
      </c>
      <c r="B28" s="79" t="s">
        <v>360</v>
      </c>
      <c r="C28" s="79" t="s">
        <v>216</v>
      </c>
      <c r="D28" s="99">
        <v>12592</v>
      </c>
      <c r="E28" s="99">
        <v>2315</v>
      </c>
      <c r="F28" s="99" t="s">
        <v>440</v>
      </c>
      <c r="G28" s="99">
        <v>69</v>
      </c>
      <c r="H28" s="99">
        <v>37</v>
      </c>
      <c r="I28" s="99">
        <v>211</v>
      </c>
      <c r="J28" s="99">
        <v>1307</v>
      </c>
      <c r="K28" s="99">
        <v>25</v>
      </c>
      <c r="L28" s="99">
        <v>2410</v>
      </c>
      <c r="M28" s="99">
        <v>888</v>
      </c>
      <c r="N28" s="99">
        <v>406</v>
      </c>
      <c r="O28" s="99">
        <v>203</v>
      </c>
      <c r="P28" s="159">
        <v>203</v>
      </c>
      <c r="Q28" s="99">
        <v>20</v>
      </c>
      <c r="R28" s="99">
        <v>52</v>
      </c>
      <c r="S28" s="99">
        <v>47</v>
      </c>
      <c r="T28" s="99">
        <v>51</v>
      </c>
      <c r="U28" s="99" t="s">
        <v>736</v>
      </c>
      <c r="V28" s="99">
        <v>35</v>
      </c>
      <c r="W28" s="99">
        <v>86</v>
      </c>
      <c r="X28" s="99">
        <v>68</v>
      </c>
      <c r="Y28" s="99">
        <v>115</v>
      </c>
      <c r="Z28" s="99">
        <v>73</v>
      </c>
      <c r="AA28" s="99" t="s">
        <v>736</v>
      </c>
      <c r="AB28" s="99" t="s">
        <v>736</v>
      </c>
      <c r="AC28" s="99" t="s">
        <v>736</v>
      </c>
      <c r="AD28" s="98" t="s">
        <v>417</v>
      </c>
      <c r="AE28" s="100">
        <v>0.18384688691232529</v>
      </c>
      <c r="AF28" s="100">
        <v>0.07</v>
      </c>
      <c r="AG28" s="98">
        <v>547.9669631512071</v>
      </c>
      <c r="AH28" s="98">
        <v>293.8373570520966</v>
      </c>
      <c r="AI28" s="100">
        <v>0.017</v>
      </c>
      <c r="AJ28" s="100">
        <v>0.774289</v>
      </c>
      <c r="AK28" s="100">
        <v>0.471698</v>
      </c>
      <c r="AL28" s="100">
        <v>0.753832</v>
      </c>
      <c r="AM28" s="100">
        <v>0.587302</v>
      </c>
      <c r="AN28" s="100">
        <v>0.624615</v>
      </c>
      <c r="AO28" s="98">
        <v>1612.1346886912324</v>
      </c>
      <c r="AP28" s="158">
        <v>0.8070156860000001</v>
      </c>
      <c r="AQ28" s="100">
        <v>0.09852216748768473</v>
      </c>
      <c r="AR28" s="100">
        <v>0.38461538461538464</v>
      </c>
      <c r="AS28" s="98">
        <v>373.2528589580686</v>
      </c>
      <c r="AT28" s="98">
        <v>405.01905972045745</v>
      </c>
      <c r="AU28" s="98" t="s">
        <v>736</v>
      </c>
      <c r="AV28" s="98">
        <v>277.95425667090217</v>
      </c>
      <c r="AW28" s="98">
        <v>682.9733163913596</v>
      </c>
      <c r="AX28" s="98">
        <v>540.0254129606099</v>
      </c>
      <c r="AY28" s="98">
        <v>913.2782719186786</v>
      </c>
      <c r="AZ28" s="98">
        <v>579.733163913596</v>
      </c>
      <c r="BA28" s="100" t="s">
        <v>736</v>
      </c>
      <c r="BB28" s="100" t="s">
        <v>736</v>
      </c>
      <c r="BC28" s="100" t="s">
        <v>736</v>
      </c>
      <c r="BD28" s="158">
        <v>0.6998125458</v>
      </c>
      <c r="BE28" s="158">
        <v>0.9259954833999999</v>
      </c>
      <c r="BF28" s="162">
        <v>1688</v>
      </c>
      <c r="BG28" s="162">
        <v>53</v>
      </c>
      <c r="BH28" s="162">
        <v>3197</v>
      </c>
      <c r="BI28" s="162">
        <v>1512</v>
      </c>
      <c r="BJ28" s="162">
        <v>650</v>
      </c>
      <c r="BK28" s="97"/>
      <c r="BL28" s="97"/>
      <c r="BM28" s="97"/>
      <c r="BN28" s="97"/>
    </row>
    <row r="29" spans="1:66" ht="12.75">
      <c r="A29" s="79" t="s">
        <v>702</v>
      </c>
      <c r="B29" s="79" t="s">
        <v>389</v>
      </c>
      <c r="C29" s="79" t="s">
        <v>216</v>
      </c>
      <c r="D29" s="99">
        <v>3072</v>
      </c>
      <c r="E29" s="99">
        <v>416</v>
      </c>
      <c r="F29" s="99" t="s">
        <v>438</v>
      </c>
      <c r="G29" s="99">
        <v>17</v>
      </c>
      <c r="H29" s="99" t="s">
        <v>736</v>
      </c>
      <c r="I29" s="99">
        <v>51</v>
      </c>
      <c r="J29" s="99">
        <v>217</v>
      </c>
      <c r="K29" s="99" t="s">
        <v>736</v>
      </c>
      <c r="L29" s="99">
        <v>629</v>
      </c>
      <c r="M29" s="99">
        <v>116</v>
      </c>
      <c r="N29" s="99">
        <v>56</v>
      </c>
      <c r="O29" s="99">
        <v>32</v>
      </c>
      <c r="P29" s="159">
        <v>32</v>
      </c>
      <c r="Q29" s="99">
        <v>6</v>
      </c>
      <c r="R29" s="99">
        <v>12</v>
      </c>
      <c r="S29" s="99">
        <v>8</v>
      </c>
      <c r="T29" s="99">
        <v>7</v>
      </c>
      <c r="U29" s="99" t="s">
        <v>736</v>
      </c>
      <c r="V29" s="99">
        <v>7</v>
      </c>
      <c r="W29" s="99">
        <v>14</v>
      </c>
      <c r="X29" s="99">
        <v>11</v>
      </c>
      <c r="Y29" s="99">
        <v>13</v>
      </c>
      <c r="Z29" s="99" t="s">
        <v>736</v>
      </c>
      <c r="AA29" s="99" t="s">
        <v>736</v>
      </c>
      <c r="AB29" s="99" t="s">
        <v>736</v>
      </c>
      <c r="AC29" s="99" t="s">
        <v>736</v>
      </c>
      <c r="AD29" s="98" t="s">
        <v>417</v>
      </c>
      <c r="AE29" s="100">
        <v>0.13541666666666666</v>
      </c>
      <c r="AF29" s="100">
        <v>0.09</v>
      </c>
      <c r="AG29" s="98">
        <v>553.3854166666666</v>
      </c>
      <c r="AH29" s="98" t="s">
        <v>736</v>
      </c>
      <c r="AI29" s="100">
        <v>0.017</v>
      </c>
      <c r="AJ29" s="100">
        <v>0.643917</v>
      </c>
      <c r="AK29" s="100" t="s">
        <v>736</v>
      </c>
      <c r="AL29" s="100">
        <v>0.734813</v>
      </c>
      <c r="AM29" s="100">
        <v>0.485356</v>
      </c>
      <c r="AN29" s="100">
        <v>0.54902</v>
      </c>
      <c r="AO29" s="98">
        <v>1041.6666666666667</v>
      </c>
      <c r="AP29" s="158">
        <v>0.5990701294</v>
      </c>
      <c r="AQ29" s="100">
        <v>0.1875</v>
      </c>
      <c r="AR29" s="100">
        <v>0.5</v>
      </c>
      <c r="AS29" s="98">
        <v>260.4166666666667</v>
      </c>
      <c r="AT29" s="98">
        <v>227.86458333333334</v>
      </c>
      <c r="AU29" s="98" t="s">
        <v>736</v>
      </c>
      <c r="AV29" s="98">
        <v>227.86458333333334</v>
      </c>
      <c r="AW29" s="98">
        <v>455.7291666666667</v>
      </c>
      <c r="AX29" s="98">
        <v>358.0729166666667</v>
      </c>
      <c r="AY29" s="98">
        <v>423.1770833333333</v>
      </c>
      <c r="AZ29" s="98" t="s">
        <v>736</v>
      </c>
      <c r="BA29" s="100" t="s">
        <v>736</v>
      </c>
      <c r="BB29" s="100" t="s">
        <v>736</v>
      </c>
      <c r="BC29" s="100" t="s">
        <v>736</v>
      </c>
      <c r="BD29" s="158">
        <v>0.4097635269</v>
      </c>
      <c r="BE29" s="158">
        <v>0.8457083129999999</v>
      </c>
      <c r="BF29" s="162">
        <v>337</v>
      </c>
      <c r="BG29" s="162" t="s">
        <v>736</v>
      </c>
      <c r="BH29" s="162">
        <v>856</v>
      </c>
      <c r="BI29" s="162">
        <v>239</v>
      </c>
      <c r="BJ29" s="162">
        <v>102</v>
      </c>
      <c r="BK29" s="97"/>
      <c r="BL29" s="97"/>
      <c r="BM29" s="97"/>
      <c r="BN29" s="97"/>
    </row>
    <row r="30" spans="1:66" ht="12.75">
      <c r="A30" s="79" t="s">
        <v>725</v>
      </c>
      <c r="B30" s="79" t="s">
        <v>412</v>
      </c>
      <c r="C30" s="79" t="s">
        <v>216</v>
      </c>
      <c r="D30" s="99">
        <v>2487</v>
      </c>
      <c r="E30" s="99">
        <v>431</v>
      </c>
      <c r="F30" s="99" t="s">
        <v>440</v>
      </c>
      <c r="G30" s="99">
        <v>10</v>
      </c>
      <c r="H30" s="99" t="s">
        <v>736</v>
      </c>
      <c r="I30" s="99">
        <v>42</v>
      </c>
      <c r="J30" s="99">
        <v>202</v>
      </c>
      <c r="K30" s="99">
        <v>198</v>
      </c>
      <c r="L30" s="99">
        <v>430</v>
      </c>
      <c r="M30" s="99">
        <v>150</v>
      </c>
      <c r="N30" s="99">
        <v>68</v>
      </c>
      <c r="O30" s="99">
        <v>31</v>
      </c>
      <c r="P30" s="159">
        <v>31</v>
      </c>
      <c r="Q30" s="99" t="s">
        <v>736</v>
      </c>
      <c r="R30" s="99">
        <v>15</v>
      </c>
      <c r="S30" s="99" t="s">
        <v>736</v>
      </c>
      <c r="T30" s="99">
        <v>13</v>
      </c>
      <c r="U30" s="99" t="s">
        <v>736</v>
      </c>
      <c r="V30" s="99">
        <v>8</v>
      </c>
      <c r="W30" s="99">
        <v>16</v>
      </c>
      <c r="X30" s="99">
        <v>10</v>
      </c>
      <c r="Y30" s="99">
        <v>21</v>
      </c>
      <c r="Z30" s="99">
        <v>8</v>
      </c>
      <c r="AA30" s="99" t="s">
        <v>736</v>
      </c>
      <c r="AB30" s="99" t="s">
        <v>736</v>
      </c>
      <c r="AC30" s="99" t="s">
        <v>736</v>
      </c>
      <c r="AD30" s="98" t="s">
        <v>417</v>
      </c>
      <c r="AE30" s="100">
        <v>0.17330116606353035</v>
      </c>
      <c r="AF30" s="100">
        <v>0.08</v>
      </c>
      <c r="AG30" s="98">
        <v>402.09087253719343</v>
      </c>
      <c r="AH30" s="98" t="s">
        <v>736</v>
      </c>
      <c r="AI30" s="100">
        <v>0.017</v>
      </c>
      <c r="AJ30" s="100">
        <v>0.745387</v>
      </c>
      <c r="AK30" s="100">
        <v>0.761538</v>
      </c>
      <c r="AL30" s="100">
        <v>0.765125</v>
      </c>
      <c r="AM30" s="100">
        <v>0.59761</v>
      </c>
      <c r="AN30" s="100">
        <v>0.586207</v>
      </c>
      <c r="AO30" s="98">
        <v>1246.4817048652997</v>
      </c>
      <c r="AP30" s="158">
        <v>0.6698815155</v>
      </c>
      <c r="AQ30" s="100" t="s">
        <v>736</v>
      </c>
      <c r="AR30" s="100" t="s">
        <v>736</v>
      </c>
      <c r="AS30" s="98" t="s">
        <v>736</v>
      </c>
      <c r="AT30" s="98">
        <v>522.7181342983514</v>
      </c>
      <c r="AU30" s="98" t="s">
        <v>736</v>
      </c>
      <c r="AV30" s="98">
        <v>321.6726980297547</v>
      </c>
      <c r="AW30" s="98">
        <v>643.3453960595094</v>
      </c>
      <c r="AX30" s="98">
        <v>402.09087253719343</v>
      </c>
      <c r="AY30" s="98">
        <v>844.3908323281062</v>
      </c>
      <c r="AZ30" s="98">
        <v>321.6726980297547</v>
      </c>
      <c r="BA30" s="100" t="s">
        <v>736</v>
      </c>
      <c r="BB30" s="100" t="s">
        <v>736</v>
      </c>
      <c r="BC30" s="100" t="s">
        <v>736</v>
      </c>
      <c r="BD30" s="158">
        <v>0.45515197749999997</v>
      </c>
      <c r="BE30" s="158">
        <v>0.9508433533</v>
      </c>
      <c r="BF30" s="162">
        <v>271</v>
      </c>
      <c r="BG30" s="162">
        <v>260</v>
      </c>
      <c r="BH30" s="162">
        <v>562</v>
      </c>
      <c r="BI30" s="162">
        <v>251</v>
      </c>
      <c r="BJ30" s="162">
        <v>116</v>
      </c>
      <c r="BK30" s="97"/>
      <c r="BL30" s="97"/>
      <c r="BM30" s="97"/>
      <c r="BN30" s="97"/>
    </row>
    <row r="31" spans="1:66" ht="12.75">
      <c r="A31" s="79" t="s">
        <v>728</v>
      </c>
      <c r="B31" s="79" t="s">
        <v>416</v>
      </c>
      <c r="C31" s="79" t="s">
        <v>216</v>
      </c>
      <c r="D31" s="99">
        <v>2196</v>
      </c>
      <c r="E31" s="99">
        <v>101</v>
      </c>
      <c r="F31" s="99" t="s">
        <v>438</v>
      </c>
      <c r="G31" s="99" t="s">
        <v>736</v>
      </c>
      <c r="H31" s="99" t="s">
        <v>736</v>
      </c>
      <c r="I31" s="99">
        <v>14</v>
      </c>
      <c r="J31" s="99">
        <v>106</v>
      </c>
      <c r="K31" s="99" t="s">
        <v>736</v>
      </c>
      <c r="L31" s="99">
        <v>515</v>
      </c>
      <c r="M31" s="99">
        <v>66</v>
      </c>
      <c r="N31" s="99">
        <v>37</v>
      </c>
      <c r="O31" s="99">
        <v>12</v>
      </c>
      <c r="P31" s="159">
        <v>12</v>
      </c>
      <c r="Q31" s="99" t="s">
        <v>736</v>
      </c>
      <c r="R31" s="99" t="s">
        <v>736</v>
      </c>
      <c r="S31" s="99">
        <v>6</v>
      </c>
      <c r="T31" s="99" t="s">
        <v>736</v>
      </c>
      <c r="U31" s="99" t="s">
        <v>736</v>
      </c>
      <c r="V31" s="99" t="s">
        <v>736</v>
      </c>
      <c r="W31" s="99">
        <v>8</v>
      </c>
      <c r="X31" s="99" t="s">
        <v>736</v>
      </c>
      <c r="Y31" s="99">
        <v>6</v>
      </c>
      <c r="Z31" s="99" t="s">
        <v>736</v>
      </c>
      <c r="AA31" s="99" t="s">
        <v>736</v>
      </c>
      <c r="AB31" s="99" t="s">
        <v>736</v>
      </c>
      <c r="AC31" s="99" t="s">
        <v>736</v>
      </c>
      <c r="AD31" s="98" t="s">
        <v>417</v>
      </c>
      <c r="AE31" s="100">
        <v>0.04599271402550091</v>
      </c>
      <c r="AF31" s="100">
        <v>0.09</v>
      </c>
      <c r="AG31" s="98" t="s">
        <v>736</v>
      </c>
      <c r="AH31" s="98" t="s">
        <v>736</v>
      </c>
      <c r="AI31" s="100">
        <v>0.006</v>
      </c>
      <c r="AJ31" s="100">
        <v>0.683871</v>
      </c>
      <c r="AK31" s="100" t="s">
        <v>736</v>
      </c>
      <c r="AL31" s="100">
        <v>0.730496</v>
      </c>
      <c r="AM31" s="100">
        <v>0.528</v>
      </c>
      <c r="AN31" s="100">
        <v>0.627119</v>
      </c>
      <c r="AO31" s="98">
        <v>546.448087431694</v>
      </c>
      <c r="AP31" s="158">
        <v>0.43973251339999997</v>
      </c>
      <c r="AQ31" s="100" t="s">
        <v>736</v>
      </c>
      <c r="AR31" s="100" t="s">
        <v>736</v>
      </c>
      <c r="AS31" s="98">
        <v>273.224043715847</v>
      </c>
      <c r="AT31" s="98" t="s">
        <v>736</v>
      </c>
      <c r="AU31" s="98" t="s">
        <v>736</v>
      </c>
      <c r="AV31" s="98" t="s">
        <v>736</v>
      </c>
      <c r="AW31" s="98">
        <v>364.29872495446267</v>
      </c>
      <c r="AX31" s="98" t="s">
        <v>736</v>
      </c>
      <c r="AY31" s="98">
        <v>273.224043715847</v>
      </c>
      <c r="AZ31" s="98" t="s">
        <v>736</v>
      </c>
      <c r="BA31" s="100" t="s">
        <v>736</v>
      </c>
      <c r="BB31" s="100" t="s">
        <v>736</v>
      </c>
      <c r="BC31" s="100" t="s">
        <v>736</v>
      </c>
      <c r="BD31" s="158">
        <v>0.2272162247</v>
      </c>
      <c r="BE31" s="158">
        <v>0.7681242371</v>
      </c>
      <c r="BF31" s="162">
        <v>155</v>
      </c>
      <c r="BG31" s="162" t="s">
        <v>736</v>
      </c>
      <c r="BH31" s="162">
        <v>705</v>
      </c>
      <c r="BI31" s="162">
        <v>125</v>
      </c>
      <c r="BJ31" s="162">
        <v>59</v>
      </c>
      <c r="BK31" s="97"/>
      <c r="BL31" s="97"/>
      <c r="BM31" s="97"/>
      <c r="BN31" s="97"/>
    </row>
    <row r="32" spans="1:66" ht="12.75">
      <c r="A32" s="79" t="s">
        <v>672</v>
      </c>
      <c r="B32" s="79" t="s">
        <v>356</v>
      </c>
      <c r="C32" s="79" t="s">
        <v>216</v>
      </c>
      <c r="D32" s="99">
        <v>9814</v>
      </c>
      <c r="E32" s="99">
        <v>2073</v>
      </c>
      <c r="F32" s="99" t="s">
        <v>440</v>
      </c>
      <c r="G32" s="99">
        <v>54</v>
      </c>
      <c r="H32" s="99">
        <v>34</v>
      </c>
      <c r="I32" s="99">
        <v>238</v>
      </c>
      <c r="J32" s="99">
        <v>1052</v>
      </c>
      <c r="K32" s="99">
        <v>14</v>
      </c>
      <c r="L32" s="99">
        <v>1776</v>
      </c>
      <c r="M32" s="99">
        <v>820</v>
      </c>
      <c r="N32" s="99">
        <v>371</v>
      </c>
      <c r="O32" s="99">
        <v>79</v>
      </c>
      <c r="P32" s="159">
        <v>79</v>
      </c>
      <c r="Q32" s="99">
        <v>10</v>
      </c>
      <c r="R32" s="99">
        <v>32</v>
      </c>
      <c r="S32" s="99">
        <v>12</v>
      </c>
      <c r="T32" s="99">
        <v>9</v>
      </c>
      <c r="U32" s="99" t="s">
        <v>736</v>
      </c>
      <c r="V32" s="99">
        <v>28</v>
      </c>
      <c r="W32" s="99">
        <v>61</v>
      </c>
      <c r="X32" s="99">
        <v>20</v>
      </c>
      <c r="Y32" s="99">
        <v>97</v>
      </c>
      <c r="Z32" s="99">
        <v>62</v>
      </c>
      <c r="AA32" s="99" t="s">
        <v>736</v>
      </c>
      <c r="AB32" s="99" t="s">
        <v>736</v>
      </c>
      <c r="AC32" s="99" t="s">
        <v>736</v>
      </c>
      <c r="AD32" s="98" t="s">
        <v>417</v>
      </c>
      <c r="AE32" s="100">
        <v>0.21122885673527614</v>
      </c>
      <c r="AF32" s="100">
        <v>0.04</v>
      </c>
      <c r="AG32" s="98">
        <v>550.2343590788669</v>
      </c>
      <c r="AH32" s="98">
        <v>346.44385571632364</v>
      </c>
      <c r="AI32" s="100">
        <v>0.024</v>
      </c>
      <c r="AJ32" s="100">
        <v>0.761767</v>
      </c>
      <c r="AK32" s="100">
        <v>0.451613</v>
      </c>
      <c r="AL32" s="100">
        <v>0.744654</v>
      </c>
      <c r="AM32" s="100">
        <v>0.625</v>
      </c>
      <c r="AN32" s="100">
        <v>0.646341</v>
      </c>
      <c r="AO32" s="98">
        <v>804.972488282046</v>
      </c>
      <c r="AP32" s="158">
        <v>0.3760678482</v>
      </c>
      <c r="AQ32" s="100">
        <v>0.12658227848101267</v>
      </c>
      <c r="AR32" s="100">
        <v>0.3125</v>
      </c>
      <c r="AS32" s="98">
        <v>122.27430201752598</v>
      </c>
      <c r="AT32" s="98">
        <v>91.70572651314448</v>
      </c>
      <c r="AU32" s="98" t="s">
        <v>736</v>
      </c>
      <c r="AV32" s="98">
        <v>285.30670470756064</v>
      </c>
      <c r="AW32" s="98">
        <v>621.5610352557571</v>
      </c>
      <c r="AX32" s="98">
        <v>203.79050336254332</v>
      </c>
      <c r="AY32" s="98">
        <v>988.383941308335</v>
      </c>
      <c r="AZ32" s="98">
        <v>631.7505604238843</v>
      </c>
      <c r="BA32" s="100" t="s">
        <v>736</v>
      </c>
      <c r="BB32" s="100" t="s">
        <v>736</v>
      </c>
      <c r="BC32" s="100" t="s">
        <v>736</v>
      </c>
      <c r="BD32" s="158">
        <v>0.297736454</v>
      </c>
      <c r="BE32" s="158">
        <v>0.4686927414</v>
      </c>
      <c r="BF32" s="162">
        <v>1381</v>
      </c>
      <c r="BG32" s="162">
        <v>31</v>
      </c>
      <c r="BH32" s="162">
        <v>2385</v>
      </c>
      <c r="BI32" s="162">
        <v>1312</v>
      </c>
      <c r="BJ32" s="162">
        <v>574</v>
      </c>
      <c r="BK32" s="97"/>
      <c r="BL32" s="97"/>
      <c r="BM32" s="97"/>
      <c r="BN32" s="97"/>
    </row>
    <row r="33" spans="1:66" ht="12.75">
      <c r="A33" s="79" t="s">
        <v>684</v>
      </c>
      <c r="B33" s="79" t="s">
        <v>371</v>
      </c>
      <c r="C33" s="79" t="s">
        <v>216</v>
      </c>
      <c r="D33" s="99">
        <v>6560</v>
      </c>
      <c r="E33" s="99">
        <v>1476</v>
      </c>
      <c r="F33" s="99" t="s">
        <v>440</v>
      </c>
      <c r="G33" s="99">
        <v>30</v>
      </c>
      <c r="H33" s="99">
        <v>20</v>
      </c>
      <c r="I33" s="99">
        <v>179</v>
      </c>
      <c r="J33" s="99">
        <v>690</v>
      </c>
      <c r="K33" s="99">
        <v>10</v>
      </c>
      <c r="L33" s="99">
        <v>1193</v>
      </c>
      <c r="M33" s="99">
        <v>576</v>
      </c>
      <c r="N33" s="99">
        <v>246</v>
      </c>
      <c r="O33" s="99">
        <v>54</v>
      </c>
      <c r="P33" s="159">
        <v>54</v>
      </c>
      <c r="Q33" s="99">
        <v>8</v>
      </c>
      <c r="R33" s="99">
        <v>28</v>
      </c>
      <c r="S33" s="99">
        <v>17</v>
      </c>
      <c r="T33" s="99">
        <v>8</v>
      </c>
      <c r="U33" s="99" t="s">
        <v>736</v>
      </c>
      <c r="V33" s="99" t="s">
        <v>736</v>
      </c>
      <c r="W33" s="99">
        <v>43</v>
      </c>
      <c r="X33" s="99">
        <v>12</v>
      </c>
      <c r="Y33" s="99">
        <v>45</v>
      </c>
      <c r="Z33" s="99">
        <v>67</v>
      </c>
      <c r="AA33" s="99" t="s">
        <v>736</v>
      </c>
      <c r="AB33" s="99" t="s">
        <v>736</v>
      </c>
      <c r="AC33" s="99" t="s">
        <v>736</v>
      </c>
      <c r="AD33" s="98" t="s">
        <v>417</v>
      </c>
      <c r="AE33" s="100">
        <v>0.225</v>
      </c>
      <c r="AF33" s="100">
        <v>0.05</v>
      </c>
      <c r="AG33" s="98">
        <v>457.3170731707317</v>
      </c>
      <c r="AH33" s="98">
        <v>304.8780487804878</v>
      </c>
      <c r="AI33" s="100">
        <v>0.027000000000000003</v>
      </c>
      <c r="AJ33" s="100">
        <v>0.732484</v>
      </c>
      <c r="AK33" s="100">
        <v>0.714286</v>
      </c>
      <c r="AL33" s="100">
        <v>0.769181</v>
      </c>
      <c r="AM33" s="100">
        <v>0.643575</v>
      </c>
      <c r="AN33" s="100">
        <v>0.657754</v>
      </c>
      <c r="AO33" s="98">
        <v>823.170731707317</v>
      </c>
      <c r="AP33" s="158">
        <v>0.37802234650000005</v>
      </c>
      <c r="AQ33" s="100">
        <v>0.14814814814814814</v>
      </c>
      <c r="AR33" s="100">
        <v>0.2857142857142857</v>
      </c>
      <c r="AS33" s="98">
        <v>259.1463414634146</v>
      </c>
      <c r="AT33" s="98">
        <v>121.95121951219512</v>
      </c>
      <c r="AU33" s="98" t="s">
        <v>736</v>
      </c>
      <c r="AV33" s="98" t="s">
        <v>736</v>
      </c>
      <c r="AW33" s="98">
        <v>655.4878048780488</v>
      </c>
      <c r="AX33" s="98">
        <v>182.9268292682927</v>
      </c>
      <c r="AY33" s="98">
        <v>685.9756097560976</v>
      </c>
      <c r="AZ33" s="98">
        <v>1021.3414634146342</v>
      </c>
      <c r="BA33" s="101" t="s">
        <v>736</v>
      </c>
      <c r="BB33" s="101" t="s">
        <v>736</v>
      </c>
      <c r="BC33" s="101" t="s">
        <v>736</v>
      </c>
      <c r="BD33" s="158">
        <v>0.283982029</v>
      </c>
      <c r="BE33" s="158">
        <v>0.4932371902</v>
      </c>
      <c r="BF33" s="162">
        <v>942</v>
      </c>
      <c r="BG33" s="162">
        <v>14</v>
      </c>
      <c r="BH33" s="162">
        <v>1551</v>
      </c>
      <c r="BI33" s="162">
        <v>895</v>
      </c>
      <c r="BJ33" s="162">
        <v>374</v>
      </c>
      <c r="BK33" s="97"/>
      <c r="BL33" s="97"/>
      <c r="BM33" s="97"/>
      <c r="BN33" s="97"/>
    </row>
    <row r="34" spans="1:66" ht="12.75">
      <c r="A34" s="79" t="s">
        <v>692</v>
      </c>
      <c r="B34" s="79" t="s">
        <v>379</v>
      </c>
      <c r="C34" s="79" t="s">
        <v>216</v>
      </c>
      <c r="D34" s="99">
        <v>5018</v>
      </c>
      <c r="E34" s="99">
        <v>1097</v>
      </c>
      <c r="F34" s="99" t="s">
        <v>440</v>
      </c>
      <c r="G34" s="99">
        <v>20</v>
      </c>
      <c r="H34" s="99">
        <v>13</v>
      </c>
      <c r="I34" s="99">
        <v>134</v>
      </c>
      <c r="J34" s="99">
        <v>573</v>
      </c>
      <c r="K34" s="99">
        <v>552</v>
      </c>
      <c r="L34" s="99">
        <v>1002</v>
      </c>
      <c r="M34" s="99">
        <v>360</v>
      </c>
      <c r="N34" s="99">
        <v>167</v>
      </c>
      <c r="O34" s="99">
        <v>103</v>
      </c>
      <c r="P34" s="159">
        <v>103</v>
      </c>
      <c r="Q34" s="99">
        <v>19</v>
      </c>
      <c r="R34" s="99">
        <v>44</v>
      </c>
      <c r="S34" s="99">
        <v>11</v>
      </c>
      <c r="T34" s="99">
        <v>13</v>
      </c>
      <c r="U34" s="99" t="s">
        <v>736</v>
      </c>
      <c r="V34" s="99">
        <v>35</v>
      </c>
      <c r="W34" s="99">
        <v>34</v>
      </c>
      <c r="X34" s="99">
        <v>24</v>
      </c>
      <c r="Y34" s="99">
        <v>50</v>
      </c>
      <c r="Z34" s="99">
        <v>43</v>
      </c>
      <c r="AA34" s="99" t="s">
        <v>736</v>
      </c>
      <c r="AB34" s="99" t="s">
        <v>736</v>
      </c>
      <c r="AC34" s="99" t="s">
        <v>736</v>
      </c>
      <c r="AD34" s="98" t="s">
        <v>417</v>
      </c>
      <c r="AE34" s="100">
        <v>0.21861299322439218</v>
      </c>
      <c r="AF34" s="100">
        <v>0.07</v>
      </c>
      <c r="AG34" s="98">
        <v>398.5651654045436</v>
      </c>
      <c r="AH34" s="98">
        <v>259.0673575129534</v>
      </c>
      <c r="AI34" s="100">
        <v>0.027000000000000003</v>
      </c>
      <c r="AJ34" s="100">
        <v>0.79473</v>
      </c>
      <c r="AK34" s="100">
        <v>0.780764</v>
      </c>
      <c r="AL34" s="100">
        <v>0.833611</v>
      </c>
      <c r="AM34" s="100">
        <v>0.567823</v>
      </c>
      <c r="AN34" s="100">
        <v>0.623134</v>
      </c>
      <c r="AO34" s="98">
        <v>2052.6106018334</v>
      </c>
      <c r="AP34" s="158">
        <v>0.9446959685999999</v>
      </c>
      <c r="AQ34" s="100">
        <v>0.18446601941747573</v>
      </c>
      <c r="AR34" s="100">
        <v>0.4318181818181818</v>
      </c>
      <c r="AS34" s="98">
        <v>219.210840972499</v>
      </c>
      <c r="AT34" s="98">
        <v>259.0673575129534</v>
      </c>
      <c r="AU34" s="98" t="s">
        <v>736</v>
      </c>
      <c r="AV34" s="98">
        <v>697.4890394579513</v>
      </c>
      <c r="AW34" s="98">
        <v>677.5607811877242</v>
      </c>
      <c r="AX34" s="98">
        <v>478.2781984854524</v>
      </c>
      <c r="AY34" s="98">
        <v>996.4129135113591</v>
      </c>
      <c r="AZ34" s="98">
        <v>856.9151056197688</v>
      </c>
      <c r="BA34" s="100" t="s">
        <v>736</v>
      </c>
      <c r="BB34" s="100" t="s">
        <v>736</v>
      </c>
      <c r="BC34" s="100" t="s">
        <v>736</v>
      </c>
      <c r="BD34" s="158">
        <v>0.7710914612</v>
      </c>
      <c r="BE34" s="158">
        <v>1.1457186129999999</v>
      </c>
      <c r="BF34" s="162">
        <v>721</v>
      </c>
      <c r="BG34" s="162">
        <v>707</v>
      </c>
      <c r="BH34" s="162">
        <v>1202</v>
      </c>
      <c r="BI34" s="162">
        <v>634</v>
      </c>
      <c r="BJ34" s="162">
        <v>268</v>
      </c>
      <c r="BK34" s="97"/>
      <c r="BL34" s="97"/>
      <c r="BM34" s="97"/>
      <c r="BN34" s="97"/>
    </row>
    <row r="35" spans="1:66" ht="12.75">
      <c r="A35" s="79" t="s">
        <v>681</v>
      </c>
      <c r="B35" s="79" t="s">
        <v>368</v>
      </c>
      <c r="C35" s="79" t="s">
        <v>216</v>
      </c>
      <c r="D35" s="99">
        <v>8258</v>
      </c>
      <c r="E35" s="99">
        <v>1124</v>
      </c>
      <c r="F35" s="99" t="s">
        <v>440</v>
      </c>
      <c r="G35" s="99">
        <v>32</v>
      </c>
      <c r="H35" s="99">
        <v>11</v>
      </c>
      <c r="I35" s="99">
        <v>163</v>
      </c>
      <c r="J35" s="99">
        <v>577</v>
      </c>
      <c r="K35" s="99">
        <v>32</v>
      </c>
      <c r="L35" s="99">
        <v>1683</v>
      </c>
      <c r="M35" s="99">
        <v>410</v>
      </c>
      <c r="N35" s="99">
        <v>202</v>
      </c>
      <c r="O35" s="99">
        <v>172</v>
      </c>
      <c r="P35" s="159">
        <v>172</v>
      </c>
      <c r="Q35" s="99">
        <v>14</v>
      </c>
      <c r="R35" s="99">
        <v>29</v>
      </c>
      <c r="S35" s="99">
        <v>34</v>
      </c>
      <c r="T35" s="99">
        <v>27</v>
      </c>
      <c r="U35" s="99">
        <v>6</v>
      </c>
      <c r="V35" s="99">
        <v>39</v>
      </c>
      <c r="W35" s="99">
        <v>40</v>
      </c>
      <c r="X35" s="99">
        <v>21</v>
      </c>
      <c r="Y35" s="99">
        <v>56</v>
      </c>
      <c r="Z35" s="99">
        <v>30</v>
      </c>
      <c r="AA35" s="99" t="s">
        <v>736</v>
      </c>
      <c r="AB35" s="99" t="s">
        <v>736</v>
      </c>
      <c r="AC35" s="99" t="s">
        <v>736</v>
      </c>
      <c r="AD35" s="98" t="s">
        <v>417</v>
      </c>
      <c r="AE35" s="100">
        <v>0.1361104383627997</v>
      </c>
      <c r="AF35" s="100">
        <v>0.06</v>
      </c>
      <c r="AG35" s="98">
        <v>387.50302736740133</v>
      </c>
      <c r="AH35" s="98">
        <v>133.2041656575442</v>
      </c>
      <c r="AI35" s="100">
        <v>0.02</v>
      </c>
      <c r="AJ35" s="100">
        <v>0.572421</v>
      </c>
      <c r="AK35" s="100">
        <v>0.666667</v>
      </c>
      <c r="AL35" s="100">
        <v>0.748333</v>
      </c>
      <c r="AM35" s="100">
        <v>0.488095</v>
      </c>
      <c r="AN35" s="100">
        <v>0.548913</v>
      </c>
      <c r="AO35" s="98">
        <v>2082.828772099782</v>
      </c>
      <c r="AP35" s="158">
        <v>1.158384247</v>
      </c>
      <c r="AQ35" s="100">
        <v>0.08139534883720931</v>
      </c>
      <c r="AR35" s="100">
        <v>0.4827586206896552</v>
      </c>
      <c r="AS35" s="98">
        <v>411.7219665778639</v>
      </c>
      <c r="AT35" s="98">
        <v>326.95567934124483</v>
      </c>
      <c r="AU35" s="98">
        <v>72.65681763138774</v>
      </c>
      <c r="AV35" s="98">
        <v>472.26931460402034</v>
      </c>
      <c r="AW35" s="98">
        <v>484.37878420925165</v>
      </c>
      <c r="AX35" s="98">
        <v>254.2988617098571</v>
      </c>
      <c r="AY35" s="98">
        <v>678.1302978929523</v>
      </c>
      <c r="AZ35" s="98">
        <v>363.2840881569387</v>
      </c>
      <c r="BA35" s="100" t="s">
        <v>736</v>
      </c>
      <c r="BB35" s="100" t="s">
        <v>736</v>
      </c>
      <c r="BC35" s="100" t="s">
        <v>736</v>
      </c>
      <c r="BD35" s="158">
        <v>0.9917329407</v>
      </c>
      <c r="BE35" s="158">
        <v>1.345025635</v>
      </c>
      <c r="BF35" s="162">
        <v>1008</v>
      </c>
      <c r="BG35" s="162">
        <v>48</v>
      </c>
      <c r="BH35" s="162">
        <v>2249</v>
      </c>
      <c r="BI35" s="162">
        <v>840</v>
      </c>
      <c r="BJ35" s="162">
        <v>368</v>
      </c>
      <c r="BK35" s="97"/>
      <c r="BL35" s="97"/>
      <c r="BM35" s="97"/>
      <c r="BN35" s="97"/>
    </row>
    <row r="36" spans="1:66" ht="12.75">
      <c r="A36" s="79" t="s">
        <v>610</v>
      </c>
      <c r="B36" s="79" t="s">
        <v>293</v>
      </c>
      <c r="C36" s="79" t="s">
        <v>216</v>
      </c>
      <c r="D36" s="99">
        <v>10887</v>
      </c>
      <c r="E36" s="99">
        <v>2571</v>
      </c>
      <c r="F36" s="99" t="s">
        <v>440</v>
      </c>
      <c r="G36" s="99">
        <v>66</v>
      </c>
      <c r="H36" s="99">
        <v>31</v>
      </c>
      <c r="I36" s="99">
        <v>315</v>
      </c>
      <c r="J36" s="99">
        <v>1208</v>
      </c>
      <c r="K36" s="99">
        <v>6</v>
      </c>
      <c r="L36" s="99">
        <v>2030</v>
      </c>
      <c r="M36" s="99">
        <v>888</v>
      </c>
      <c r="N36" s="99">
        <v>429</v>
      </c>
      <c r="O36" s="99">
        <v>313</v>
      </c>
      <c r="P36" s="159">
        <v>313</v>
      </c>
      <c r="Q36" s="99">
        <v>27</v>
      </c>
      <c r="R36" s="99">
        <v>59</v>
      </c>
      <c r="S36" s="99">
        <v>57</v>
      </c>
      <c r="T36" s="99">
        <v>49</v>
      </c>
      <c r="U36" s="99">
        <v>18</v>
      </c>
      <c r="V36" s="99">
        <v>80</v>
      </c>
      <c r="W36" s="99">
        <v>91</v>
      </c>
      <c r="X36" s="99">
        <v>24</v>
      </c>
      <c r="Y36" s="99">
        <v>96</v>
      </c>
      <c r="Z36" s="99">
        <v>85</v>
      </c>
      <c r="AA36" s="99" t="s">
        <v>736</v>
      </c>
      <c r="AB36" s="99" t="s">
        <v>736</v>
      </c>
      <c r="AC36" s="99" t="s">
        <v>736</v>
      </c>
      <c r="AD36" s="98" t="s">
        <v>417</v>
      </c>
      <c r="AE36" s="100">
        <v>0.23615321025075778</v>
      </c>
      <c r="AF36" s="100">
        <v>0.05</v>
      </c>
      <c r="AG36" s="98">
        <v>606.227610912097</v>
      </c>
      <c r="AH36" s="98">
        <v>284.74327179204556</v>
      </c>
      <c r="AI36" s="100">
        <v>0.028999999999999998</v>
      </c>
      <c r="AJ36" s="100">
        <v>0.816216</v>
      </c>
      <c r="AK36" s="100">
        <v>0.5</v>
      </c>
      <c r="AL36" s="100">
        <v>0.822528</v>
      </c>
      <c r="AM36" s="100">
        <v>0.635193</v>
      </c>
      <c r="AN36" s="100">
        <v>0.694175</v>
      </c>
      <c r="AO36" s="98">
        <v>2874.98851841646</v>
      </c>
      <c r="AP36" s="158">
        <v>1.2862677</v>
      </c>
      <c r="AQ36" s="100">
        <v>0.08626198083067092</v>
      </c>
      <c r="AR36" s="100">
        <v>0.4576271186440678</v>
      </c>
      <c r="AS36" s="98">
        <v>523.5602094240837</v>
      </c>
      <c r="AT36" s="98">
        <v>450.078074768072</v>
      </c>
      <c r="AU36" s="98">
        <v>165.33480297602645</v>
      </c>
      <c r="AV36" s="98">
        <v>734.8213465601176</v>
      </c>
      <c r="AW36" s="98">
        <v>835.8592817121338</v>
      </c>
      <c r="AX36" s="98">
        <v>220.44640396803527</v>
      </c>
      <c r="AY36" s="98">
        <v>881.7856158721411</v>
      </c>
      <c r="AZ36" s="98">
        <v>780.7476807201249</v>
      </c>
      <c r="BA36" s="100" t="s">
        <v>736</v>
      </c>
      <c r="BB36" s="100" t="s">
        <v>736</v>
      </c>
      <c r="BC36" s="100" t="s">
        <v>736</v>
      </c>
      <c r="BD36" s="158">
        <v>1.1477014920000002</v>
      </c>
      <c r="BE36" s="158">
        <v>1.4369535830000002</v>
      </c>
      <c r="BF36" s="162">
        <v>1480</v>
      </c>
      <c r="BG36" s="162">
        <v>12</v>
      </c>
      <c r="BH36" s="162">
        <v>2468</v>
      </c>
      <c r="BI36" s="162">
        <v>1398</v>
      </c>
      <c r="BJ36" s="162">
        <v>618</v>
      </c>
      <c r="BK36" s="97"/>
      <c r="BL36" s="97"/>
      <c r="BM36" s="97"/>
      <c r="BN36" s="97"/>
    </row>
    <row r="37" spans="1:66" ht="12.75">
      <c r="A37" s="79" t="s">
        <v>653</v>
      </c>
      <c r="B37" s="79" t="s">
        <v>336</v>
      </c>
      <c r="C37" s="79" t="s">
        <v>216</v>
      </c>
      <c r="D37" s="99">
        <v>11688</v>
      </c>
      <c r="E37" s="99">
        <v>2139</v>
      </c>
      <c r="F37" s="99" t="s">
        <v>440</v>
      </c>
      <c r="G37" s="99">
        <v>55</v>
      </c>
      <c r="H37" s="99">
        <v>17</v>
      </c>
      <c r="I37" s="99">
        <v>245</v>
      </c>
      <c r="J37" s="99">
        <v>1258</v>
      </c>
      <c r="K37" s="99">
        <v>894</v>
      </c>
      <c r="L37" s="99">
        <v>2258</v>
      </c>
      <c r="M37" s="99">
        <v>830</v>
      </c>
      <c r="N37" s="99">
        <v>363</v>
      </c>
      <c r="O37" s="99">
        <v>183</v>
      </c>
      <c r="P37" s="159">
        <v>183</v>
      </c>
      <c r="Q37" s="99">
        <v>20</v>
      </c>
      <c r="R37" s="99">
        <v>55</v>
      </c>
      <c r="S37" s="99">
        <v>29</v>
      </c>
      <c r="T37" s="99">
        <v>34</v>
      </c>
      <c r="U37" s="99" t="s">
        <v>736</v>
      </c>
      <c r="V37" s="99">
        <v>38</v>
      </c>
      <c r="W37" s="99">
        <v>103</v>
      </c>
      <c r="X37" s="99">
        <v>53</v>
      </c>
      <c r="Y37" s="99">
        <v>155</v>
      </c>
      <c r="Z37" s="99">
        <v>57</v>
      </c>
      <c r="AA37" s="99" t="s">
        <v>736</v>
      </c>
      <c r="AB37" s="99" t="s">
        <v>736</v>
      </c>
      <c r="AC37" s="99" t="s">
        <v>736</v>
      </c>
      <c r="AD37" s="98" t="s">
        <v>417</v>
      </c>
      <c r="AE37" s="100">
        <v>0.1830082135523614</v>
      </c>
      <c r="AF37" s="100">
        <v>0.07</v>
      </c>
      <c r="AG37" s="98">
        <v>470.5681040383299</v>
      </c>
      <c r="AH37" s="98">
        <v>145.44832306639287</v>
      </c>
      <c r="AI37" s="100">
        <v>0.021</v>
      </c>
      <c r="AJ37" s="100">
        <v>0.787234</v>
      </c>
      <c r="AK37" s="100">
        <v>0.748744</v>
      </c>
      <c r="AL37" s="100">
        <v>0.771702</v>
      </c>
      <c r="AM37" s="100">
        <v>0.583685</v>
      </c>
      <c r="AN37" s="100">
        <v>0.591205</v>
      </c>
      <c r="AO37" s="98">
        <v>1565.7084188911704</v>
      </c>
      <c r="AP37" s="158">
        <v>0.7865436554</v>
      </c>
      <c r="AQ37" s="100">
        <v>0.1092896174863388</v>
      </c>
      <c r="AR37" s="100">
        <v>0.36363636363636365</v>
      </c>
      <c r="AS37" s="98">
        <v>248.1177275838467</v>
      </c>
      <c r="AT37" s="98">
        <v>290.89664613278575</v>
      </c>
      <c r="AU37" s="98" t="s">
        <v>736</v>
      </c>
      <c r="AV37" s="98">
        <v>325.119780971937</v>
      </c>
      <c r="AW37" s="98">
        <v>881.2457221081451</v>
      </c>
      <c r="AX37" s="98">
        <v>453.4565366187543</v>
      </c>
      <c r="AY37" s="98">
        <v>1326.1464750171115</v>
      </c>
      <c r="AZ37" s="98">
        <v>487.67967145790556</v>
      </c>
      <c r="BA37" s="100" t="s">
        <v>736</v>
      </c>
      <c r="BB37" s="100" t="s">
        <v>736</v>
      </c>
      <c r="BC37" s="100" t="s">
        <v>736</v>
      </c>
      <c r="BD37" s="158">
        <v>0.6767093658000001</v>
      </c>
      <c r="BE37" s="158">
        <v>0.9091256713999999</v>
      </c>
      <c r="BF37" s="162">
        <v>1598</v>
      </c>
      <c r="BG37" s="162">
        <v>1194</v>
      </c>
      <c r="BH37" s="162">
        <v>2926</v>
      </c>
      <c r="BI37" s="162">
        <v>1422</v>
      </c>
      <c r="BJ37" s="162">
        <v>614</v>
      </c>
      <c r="BK37" s="97"/>
      <c r="BL37" s="97"/>
      <c r="BM37" s="97"/>
      <c r="BN37" s="97"/>
    </row>
    <row r="38" spans="1:66" ht="12.75">
      <c r="A38" s="79" t="s">
        <v>708</v>
      </c>
      <c r="B38" s="79" t="s">
        <v>395</v>
      </c>
      <c r="C38" s="79" t="s">
        <v>216</v>
      </c>
      <c r="D38" s="99">
        <v>10953</v>
      </c>
      <c r="E38" s="99">
        <v>1569</v>
      </c>
      <c r="F38" s="99" t="s">
        <v>440</v>
      </c>
      <c r="G38" s="99">
        <v>42</v>
      </c>
      <c r="H38" s="99">
        <v>20</v>
      </c>
      <c r="I38" s="99">
        <v>221</v>
      </c>
      <c r="J38" s="99">
        <v>1026</v>
      </c>
      <c r="K38" s="99">
        <v>16</v>
      </c>
      <c r="L38" s="99">
        <v>2429</v>
      </c>
      <c r="M38" s="99">
        <v>634</v>
      </c>
      <c r="N38" s="99">
        <v>290</v>
      </c>
      <c r="O38" s="99">
        <v>241</v>
      </c>
      <c r="P38" s="159">
        <v>241</v>
      </c>
      <c r="Q38" s="99">
        <v>20</v>
      </c>
      <c r="R38" s="99">
        <v>39</v>
      </c>
      <c r="S38" s="99">
        <v>41</v>
      </c>
      <c r="T38" s="99">
        <v>36</v>
      </c>
      <c r="U38" s="99" t="s">
        <v>736</v>
      </c>
      <c r="V38" s="99">
        <v>90</v>
      </c>
      <c r="W38" s="99">
        <v>80</v>
      </c>
      <c r="X38" s="99">
        <v>48</v>
      </c>
      <c r="Y38" s="99">
        <v>144</v>
      </c>
      <c r="Z38" s="99">
        <v>48</v>
      </c>
      <c r="AA38" s="99" t="s">
        <v>736</v>
      </c>
      <c r="AB38" s="99" t="s">
        <v>736</v>
      </c>
      <c r="AC38" s="99" t="s">
        <v>736</v>
      </c>
      <c r="AD38" s="98" t="s">
        <v>417</v>
      </c>
      <c r="AE38" s="100">
        <v>0.1432484250890167</v>
      </c>
      <c r="AF38" s="100">
        <v>0.06</v>
      </c>
      <c r="AG38" s="98">
        <v>383.4565872363736</v>
      </c>
      <c r="AH38" s="98">
        <v>182.59837487446362</v>
      </c>
      <c r="AI38" s="100">
        <v>0.02</v>
      </c>
      <c r="AJ38" s="100">
        <v>0.703704</v>
      </c>
      <c r="AK38" s="100">
        <v>0.484848</v>
      </c>
      <c r="AL38" s="100">
        <v>0.793272</v>
      </c>
      <c r="AM38" s="100">
        <v>0.571171</v>
      </c>
      <c r="AN38" s="100">
        <v>0.629067</v>
      </c>
      <c r="AO38" s="98">
        <v>2200.3104172372864</v>
      </c>
      <c r="AP38" s="158">
        <v>1.200420914</v>
      </c>
      <c r="AQ38" s="100">
        <v>0.08298755186721991</v>
      </c>
      <c r="AR38" s="100">
        <v>0.5128205128205128</v>
      </c>
      <c r="AS38" s="98">
        <v>374.3266684926504</v>
      </c>
      <c r="AT38" s="98">
        <v>328.6770747740345</v>
      </c>
      <c r="AU38" s="98" t="s">
        <v>736</v>
      </c>
      <c r="AV38" s="98">
        <v>821.6926869350863</v>
      </c>
      <c r="AW38" s="98">
        <v>730.3934994978545</v>
      </c>
      <c r="AX38" s="98">
        <v>438.2360996987127</v>
      </c>
      <c r="AY38" s="98">
        <v>1314.708299096138</v>
      </c>
      <c r="AZ38" s="98">
        <v>438.2360996987127</v>
      </c>
      <c r="BA38" s="100" t="s">
        <v>736</v>
      </c>
      <c r="BB38" s="100" t="s">
        <v>736</v>
      </c>
      <c r="BC38" s="100" t="s">
        <v>736</v>
      </c>
      <c r="BD38" s="158">
        <v>1.053636398</v>
      </c>
      <c r="BE38" s="158">
        <v>1.3619332890000002</v>
      </c>
      <c r="BF38" s="162">
        <v>1458</v>
      </c>
      <c r="BG38" s="162">
        <v>33</v>
      </c>
      <c r="BH38" s="162">
        <v>3062</v>
      </c>
      <c r="BI38" s="162">
        <v>1110</v>
      </c>
      <c r="BJ38" s="162">
        <v>461</v>
      </c>
      <c r="BK38" s="97"/>
      <c r="BL38" s="97"/>
      <c r="BM38" s="97"/>
      <c r="BN38" s="97"/>
    </row>
    <row r="39" spans="1:66" ht="12.75">
      <c r="A39" s="79" t="s">
        <v>648</v>
      </c>
      <c r="B39" s="79" t="s">
        <v>331</v>
      </c>
      <c r="C39" s="79" t="s">
        <v>216</v>
      </c>
      <c r="D39" s="99">
        <v>6920</v>
      </c>
      <c r="E39" s="99">
        <v>1180</v>
      </c>
      <c r="F39" s="99" t="s">
        <v>438</v>
      </c>
      <c r="G39" s="99">
        <v>34</v>
      </c>
      <c r="H39" s="99">
        <v>14</v>
      </c>
      <c r="I39" s="99">
        <v>126</v>
      </c>
      <c r="J39" s="99">
        <v>560</v>
      </c>
      <c r="K39" s="99">
        <v>540</v>
      </c>
      <c r="L39" s="99">
        <v>1300</v>
      </c>
      <c r="M39" s="99">
        <v>362</v>
      </c>
      <c r="N39" s="99">
        <v>155</v>
      </c>
      <c r="O39" s="99">
        <v>103</v>
      </c>
      <c r="P39" s="159">
        <v>103</v>
      </c>
      <c r="Q39" s="99">
        <v>13</v>
      </c>
      <c r="R39" s="99">
        <v>45</v>
      </c>
      <c r="S39" s="99">
        <v>21</v>
      </c>
      <c r="T39" s="99">
        <v>23</v>
      </c>
      <c r="U39" s="99" t="s">
        <v>736</v>
      </c>
      <c r="V39" s="99">
        <v>18</v>
      </c>
      <c r="W39" s="99">
        <v>29</v>
      </c>
      <c r="X39" s="99">
        <v>23</v>
      </c>
      <c r="Y39" s="99">
        <v>79</v>
      </c>
      <c r="Z39" s="99">
        <v>33</v>
      </c>
      <c r="AA39" s="99" t="s">
        <v>736</v>
      </c>
      <c r="AB39" s="99" t="s">
        <v>736</v>
      </c>
      <c r="AC39" s="99" t="s">
        <v>736</v>
      </c>
      <c r="AD39" s="98" t="s">
        <v>417</v>
      </c>
      <c r="AE39" s="100">
        <v>0.17052023121387283</v>
      </c>
      <c r="AF39" s="100">
        <v>0.09</v>
      </c>
      <c r="AG39" s="98">
        <v>491.32947976878614</v>
      </c>
      <c r="AH39" s="98">
        <v>202.3121387283237</v>
      </c>
      <c r="AI39" s="100">
        <v>0.018000000000000002</v>
      </c>
      <c r="AJ39" s="100">
        <v>0.699126</v>
      </c>
      <c r="AK39" s="100">
        <v>0.687023</v>
      </c>
      <c r="AL39" s="100">
        <v>0.784077</v>
      </c>
      <c r="AM39" s="100">
        <v>0.513475</v>
      </c>
      <c r="AN39" s="100">
        <v>0.518395</v>
      </c>
      <c r="AO39" s="98">
        <v>1488.4393063583816</v>
      </c>
      <c r="AP39" s="158">
        <v>0.7990629577999999</v>
      </c>
      <c r="AQ39" s="100">
        <v>0.1262135922330097</v>
      </c>
      <c r="AR39" s="100">
        <v>0.28888888888888886</v>
      </c>
      <c r="AS39" s="98">
        <v>303.46820809248555</v>
      </c>
      <c r="AT39" s="98">
        <v>332.3699421965318</v>
      </c>
      <c r="AU39" s="98" t="s">
        <v>736</v>
      </c>
      <c r="AV39" s="98">
        <v>260.11560693641616</v>
      </c>
      <c r="AW39" s="98">
        <v>419.0751445086705</v>
      </c>
      <c r="AX39" s="98">
        <v>332.3699421965318</v>
      </c>
      <c r="AY39" s="98">
        <v>1141.6184971098266</v>
      </c>
      <c r="AZ39" s="98">
        <v>476.87861271676303</v>
      </c>
      <c r="BA39" s="100" t="s">
        <v>736</v>
      </c>
      <c r="BB39" s="100" t="s">
        <v>736</v>
      </c>
      <c r="BC39" s="100" t="s">
        <v>736</v>
      </c>
      <c r="BD39" s="158">
        <v>0.6522210692999999</v>
      </c>
      <c r="BE39" s="158">
        <v>0.9690962218999999</v>
      </c>
      <c r="BF39" s="162">
        <v>801</v>
      </c>
      <c r="BG39" s="162">
        <v>786</v>
      </c>
      <c r="BH39" s="162">
        <v>1658</v>
      </c>
      <c r="BI39" s="162">
        <v>705</v>
      </c>
      <c r="BJ39" s="162">
        <v>299</v>
      </c>
      <c r="BK39" s="97"/>
      <c r="BL39" s="97"/>
      <c r="BM39" s="97"/>
      <c r="BN39" s="97"/>
    </row>
    <row r="40" spans="1:66" ht="12.75">
      <c r="A40" s="79" t="s">
        <v>613</v>
      </c>
      <c r="B40" s="79" t="s">
        <v>296</v>
      </c>
      <c r="C40" s="79" t="s">
        <v>216</v>
      </c>
      <c r="D40" s="99">
        <v>8755</v>
      </c>
      <c r="E40" s="99">
        <v>1277</v>
      </c>
      <c r="F40" s="99" t="s">
        <v>440</v>
      </c>
      <c r="G40" s="99">
        <v>11</v>
      </c>
      <c r="H40" s="99">
        <v>20</v>
      </c>
      <c r="I40" s="99">
        <v>133</v>
      </c>
      <c r="J40" s="99">
        <v>605</v>
      </c>
      <c r="K40" s="99">
        <v>18</v>
      </c>
      <c r="L40" s="99">
        <v>2014</v>
      </c>
      <c r="M40" s="99">
        <v>453</v>
      </c>
      <c r="N40" s="99">
        <v>217</v>
      </c>
      <c r="O40" s="99">
        <v>239</v>
      </c>
      <c r="P40" s="159">
        <v>239</v>
      </c>
      <c r="Q40" s="99">
        <v>14</v>
      </c>
      <c r="R40" s="99">
        <v>26</v>
      </c>
      <c r="S40" s="99">
        <v>47</v>
      </c>
      <c r="T40" s="99">
        <v>38</v>
      </c>
      <c r="U40" s="99">
        <v>14</v>
      </c>
      <c r="V40" s="99">
        <v>70</v>
      </c>
      <c r="W40" s="99">
        <v>52</v>
      </c>
      <c r="X40" s="99">
        <v>37</v>
      </c>
      <c r="Y40" s="99">
        <v>82</v>
      </c>
      <c r="Z40" s="99">
        <v>34</v>
      </c>
      <c r="AA40" s="99" t="s">
        <v>736</v>
      </c>
      <c r="AB40" s="99" t="s">
        <v>736</v>
      </c>
      <c r="AC40" s="99" t="s">
        <v>736</v>
      </c>
      <c r="AD40" s="98" t="s">
        <v>417</v>
      </c>
      <c r="AE40" s="100">
        <v>0.1458595088520845</v>
      </c>
      <c r="AF40" s="100">
        <v>0.07</v>
      </c>
      <c r="AG40" s="98">
        <v>125.64249000571102</v>
      </c>
      <c r="AH40" s="98">
        <v>228.44089091947458</v>
      </c>
      <c r="AI40" s="100">
        <v>0.015</v>
      </c>
      <c r="AJ40" s="100">
        <v>0.648446</v>
      </c>
      <c r="AK40" s="100">
        <v>0.580645</v>
      </c>
      <c r="AL40" s="100">
        <v>0.832575</v>
      </c>
      <c r="AM40" s="100">
        <v>0.569095</v>
      </c>
      <c r="AN40" s="100">
        <v>0.62536</v>
      </c>
      <c r="AO40" s="98">
        <v>2729.8686464877214</v>
      </c>
      <c r="AP40" s="158">
        <v>1.526998901</v>
      </c>
      <c r="AQ40" s="100">
        <v>0.058577405857740586</v>
      </c>
      <c r="AR40" s="100">
        <v>0.5384615384615384</v>
      </c>
      <c r="AS40" s="98">
        <v>536.8360936607653</v>
      </c>
      <c r="AT40" s="98">
        <v>434.0376927470017</v>
      </c>
      <c r="AU40" s="98">
        <v>159.9086236436322</v>
      </c>
      <c r="AV40" s="98">
        <v>799.543118218161</v>
      </c>
      <c r="AW40" s="98">
        <v>593.9463163906339</v>
      </c>
      <c r="AX40" s="98">
        <v>422.61564820102797</v>
      </c>
      <c r="AY40" s="98">
        <v>936.6076527698458</v>
      </c>
      <c r="AZ40" s="98">
        <v>388.3495145631068</v>
      </c>
      <c r="BA40" s="100" t="s">
        <v>736</v>
      </c>
      <c r="BB40" s="100" t="s">
        <v>736</v>
      </c>
      <c r="BC40" s="100" t="s">
        <v>736</v>
      </c>
      <c r="BD40" s="158">
        <v>1.3395272829999998</v>
      </c>
      <c r="BE40" s="158">
        <v>1.733363647</v>
      </c>
      <c r="BF40" s="162">
        <v>933</v>
      </c>
      <c r="BG40" s="162">
        <v>31</v>
      </c>
      <c r="BH40" s="162">
        <v>2419</v>
      </c>
      <c r="BI40" s="162">
        <v>796</v>
      </c>
      <c r="BJ40" s="162">
        <v>347</v>
      </c>
      <c r="BK40" s="97"/>
      <c r="BL40" s="97"/>
      <c r="BM40" s="97"/>
      <c r="BN40" s="97"/>
    </row>
    <row r="41" spans="1:66" ht="12.75">
      <c r="A41" s="79" t="s">
        <v>718</v>
      </c>
      <c r="B41" s="79" t="s">
        <v>405</v>
      </c>
      <c r="C41" s="79" t="s">
        <v>216</v>
      </c>
      <c r="D41" s="99">
        <v>8844</v>
      </c>
      <c r="E41" s="99">
        <v>1456</v>
      </c>
      <c r="F41" s="99" t="s">
        <v>440</v>
      </c>
      <c r="G41" s="99">
        <v>30</v>
      </c>
      <c r="H41" s="99">
        <v>16</v>
      </c>
      <c r="I41" s="99">
        <v>130</v>
      </c>
      <c r="J41" s="99">
        <v>767</v>
      </c>
      <c r="K41" s="99">
        <v>747</v>
      </c>
      <c r="L41" s="99">
        <v>1721</v>
      </c>
      <c r="M41" s="99">
        <v>542</v>
      </c>
      <c r="N41" s="99">
        <v>257</v>
      </c>
      <c r="O41" s="99">
        <v>147</v>
      </c>
      <c r="P41" s="159">
        <v>147</v>
      </c>
      <c r="Q41" s="99">
        <v>18</v>
      </c>
      <c r="R41" s="99">
        <v>36</v>
      </c>
      <c r="S41" s="99">
        <v>42</v>
      </c>
      <c r="T41" s="99">
        <v>21</v>
      </c>
      <c r="U41" s="99">
        <v>10</v>
      </c>
      <c r="V41" s="99">
        <v>17</v>
      </c>
      <c r="W41" s="99">
        <v>50</v>
      </c>
      <c r="X41" s="99">
        <v>17</v>
      </c>
      <c r="Y41" s="99">
        <v>63</v>
      </c>
      <c r="Z41" s="99">
        <v>40</v>
      </c>
      <c r="AA41" s="99" t="s">
        <v>736</v>
      </c>
      <c r="AB41" s="99" t="s">
        <v>736</v>
      </c>
      <c r="AC41" s="99" t="s">
        <v>736</v>
      </c>
      <c r="AD41" s="98" t="s">
        <v>417</v>
      </c>
      <c r="AE41" s="100">
        <v>0.16463138851198553</v>
      </c>
      <c r="AF41" s="100">
        <v>0.06</v>
      </c>
      <c r="AG41" s="98">
        <v>339.21302578019</v>
      </c>
      <c r="AH41" s="98">
        <v>180.91361374943463</v>
      </c>
      <c r="AI41" s="100">
        <v>0.015</v>
      </c>
      <c r="AJ41" s="100">
        <v>0.760913</v>
      </c>
      <c r="AK41" s="100">
        <v>0.759146</v>
      </c>
      <c r="AL41" s="100">
        <v>0.776975</v>
      </c>
      <c r="AM41" s="100">
        <v>0.57173</v>
      </c>
      <c r="AN41" s="100">
        <v>0.629902</v>
      </c>
      <c r="AO41" s="98">
        <v>1662.1438263229309</v>
      </c>
      <c r="AP41" s="158">
        <v>0.9098367310000001</v>
      </c>
      <c r="AQ41" s="100">
        <v>0.12244897959183673</v>
      </c>
      <c r="AR41" s="100">
        <v>0.5</v>
      </c>
      <c r="AS41" s="98">
        <v>474.89823609226596</v>
      </c>
      <c r="AT41" s="98">
        <v>237.44911804613298</v>
      </c>
      <c r="AU41" s="98">
        <v>113.07100859339666</v>
      </c>
      <c r="AV41" s="98">
        <v>192.2207146087743</v>
      </c>
      <c r="AW41" s="98">
        <v>565.3550429669833</v>
      </c>
      <c r="AX41" s="98">
        <v>192.2207146087743</v>
      </c>
      <c r="AY41" s="98">
        <v>712.3473541383989</v>
      </c>
      <c r="AZ41" s="98">
        <v>452.2840343735866</v>
      </c>
      <c r="BA41" s="100" t="s">
        <v>736</v>
      </c>
      <c r="BB41" s="100" t="s">
        <v>736</v>
      </c>
      <c r="BC41" s="100" t="s">
        <v>736</v>
      </c>
      <c r="BD41" s="158">
        <v>0.7687039948000001</v>
      </c>
      <c r="BE41" s="158">
        <v>1.069377289</v>
      </c>
      <c r="BF41" s="162">
        <v>1008</v>
      </c>
      <c r="BG41" s="162">
        <v>984</v>
      </c>
      <c r="BH41" s="162">
        <v>2215</v>
      </c>
      <c r="BI41" s="162">
        <v>948</v>
      </c>
      <c r="BJ41" s="162">
        <v>408</v>
      </c>
      <c r="BK41" s="97"/>
      <c r="BL41" s="97"/>
      <c r="BM41" s="97"/>
      <c r="BN41" s="97"/>
    </row>
    <row r="42" spans="1:66" ht="12.75">
      <c r="A42" s="79" t="s">
        <v>609</v>
      </c>
      <c r="B42" s="79" t="s">
        <v>291</v>
      </c>
      <c r="C42" s="79" t="s">
        <v>216</v>
      </c>
      <c r="D42" s="99">
        <v>27367</v>
      </c>
      <c r="E42" s="99">
        <v>4404</v>
      </c>
      <c r="F42" s="99" t="s">
        <v>440</v>
      </c>
      <c r="G42" s="99">
        <v>116</v>
      </c>
      <c r="H42" s="99">
        <v>56</v>
      </c>
      <c r="I42" s="99">
        <v>453</v>
      </c>
      <c r="J42" s="99">
        <v>2524</v>
      </c>
      <c r="K42" s="99">
        <v>41</v>
      </c>
      <c r="L42" s="99">
        <v>5352</v>
      </c>
      <c r="M42" s="99">
        <v>1720</v>
      </c>
      <c r="N42" s="99">
        <v>824</v>
      </c>
      <c r="O42" s="99">
        <v>340</v>
      </c>
      <c r="P42" s="159">
        <v>340</v>
      </c>
      <c r="Q42" s="99">
        <v>42</v>
      </c>
      <c r="R42" s="99">
        <v>109</v>
      </c>
      <c r="S42" s="99">
        <v>111</v>
      </c>
      <c r="T42" s="99">
        <v>59</v>
      </c>
      <c r="U42" s="99">
        <v>7</v>
      </c>
      <c r="V42" s="99">
        <v>49</v>
      </c>
      <c r="W42" s="99">
        <v>158</v>
      </c>
      <c r="X42" s="99">
        <v>106</v>
      </c>
      <c r="Y42" s="99">
        <v>248</v>
      </c>
      <c r="Z42" s="99">
        <v>159</v>
      </c>
      <c r="AA42" s="99" t="s">
        <v>736</v>
      </c>
      <c r="AB42" s="99" t="s">
        <v>736</v>
      </c>
      <c r="AC42" s="99" t="s">
        <v>736</v>
      </c>
      <c r="AD42" s="98" t="s">
        <v>417</v>
      </c>
      <c r="AE42" s="100">
        <v>0.16092374027112946</v>
      </c>
      <c r="AF42" s="100">
        <v>0.07</v>
      </c>
      <c r="AG42" s="98">
        <v>423.86816238535465</v>
      </c>
      <c r="AH42" s="98">
        <v>204.62600942741258</v>
      </c>
      <c r="AI42" s="100">
        <v>0.017</v>
      </c>
      <c r="AJ42" s="100">
        <v>0.745422</v>
      </c>
      <c r="AK42" s="100">
        <v>0.683333</v>
      </c>
      <c r="AL42" s="100">
        <v>0.766543</v>
      </c>
      <c r="AM42" s="100">
        <v>0.575059</v>
      </c>
      <c r="AN42" s="100">
        <v>0.639255</v>
      </c>
      <c r="AO42" s="98">
        <v>1242.372200095005</v>
      </c>
      <c r="AP42" s="158">
        <v>0.6651304626</v>
      </c>
      <c r="AQ42" s="100">
        <v>0.12352941176470589</v>
      </c>
      <c r="AR42" s="100">
        <v>0.3853211009174312</v>
      </c>
      <c r="AS42" s="98">
        <v>405.59798297219277</v>
      </c>
      <c r="AT42" s="98">
        <v>215.58811707530967</v>
      </c>
      <c r="AU42" s="98">
        <v>25.578251178426573</v>
      </c>
      <c r="AV42" s="98">
        <v>179.047758248986</v>
      </c>
      <c r="AW42" s="98">
        <v>577.337669455914</v>
      </c>
      <c r="AX42" s="98">
        <v>387.32780355903094</v>
      </c>
      <c r="AY42" s="98">
        <v>906.2008988928271</v>
      </c>
      <c r="AZ42" s="98">
        <v>580.9917053385465</v>
      </c>
      <c r="BA42" s="100" t="s">
        <v>736</v>
      </c>
      <c r="BB42" s="100" t="s">
        <v>736</v>
      </c>
      <c r="BC42" s="100" t="s">
        <v>736</v>
      </c>
      <c r="BD42" s="158">
        <v>0.5963018417</v>
      </c>
      <c r="BE42" s="158">
        <v>0.7397242737</v>
      </c>
      <c r="BF42" s="162">
        <v>3386</v>
      </c>
      <c r="BG42" s="162">
        <v>60</v>
      </c>
      <c r="BH42" s="162">
        <v>6982</v>
      </c>
      <c r="BI42" s="162">
        <v>2991</v>
      </c>
      <c r="BJ42" s="162">
        <v>1289</v>
      </c>
      <c r="BK42" s="97"/>
      <c r="BL42" s="97"/>
      <c r="BM42" s="97"/>
      <c r="BN42" s="97"/>
    </row>
    <row r="43" spans="1:66" ht="12.75">
      <c r="A43" s="79" t="s">
        <v>680</v>
      </c>
      <c r="B43" s="79" t="s">
        <v>364</v>
      </c>
      <c r="C43" s="79" t="s">
        <v>216</v>
      </c>
      <c r="D43" s="99">
        <v>3207</v>
      </c>
      <c r="E43" s="99">
        <v>323</v>
      </c>
      <c r="F43" s="99" t="s">
        <v>438</v>
      </c>
      <c r="G43" s="99">
        <v>9</v>
      </c>
      <c r="H43" s="99" t="s">
        <v>736</v>
      </c>
      <c r="I43" s="99">
        <v>41</v>
      </c>
      <c r="J43" s="99">
        <v>180</v>
      </c>
      <c r="K43" s="99" t="s">
        <v>736</v>
      </c>
      <c r="L43" s="99">
        <v>586</v>
      </c>
      <c r="M43" s="99">
        <v>129</v>
      </c>
      <c r="N43" s="99">
        <v>57</v>
      </c>
      <c r="O43" s="99">
        <v>53</v>
      </c>
      <c r="P43" s="159">
        <v>53</v>
      </c>
      <c r="Q43" s="99" t="s">
        <v>736</v>
      </c>
      <c r="R43" s="99">
        <v>10</v>
      </c>
      <c r="S43" s="99">
        <v>10</v>
      </c>
      <c r="T43" s="99">
        <v>6</v>
      </c>
      <c r="U43" s="99" t="s">
        <v>736</v>
      </c>
      <c r="V43" s="99">
        <v>13</v>
      </c>
      <c r="W43" s="99">
        <v>11</v>
      </c>
      <c r="X43" s="99">
        <v>6</v>
      </c>
      <c r="Y43" s="99">
        <v>27</v>
      </c>
      <c r="Z43" s="99">
        <v>13</v>
      </c>
      <c r="AA43" s="99" t="s">
        <v>736</v>
      </c>
      <c r="AB43" s="99" t="s">
        <v>736</v>
      </c>
      <c r="AC43" s="99" t="s">
        <v>736</v>
      </c>
      <c r="AD43" s="98" t="s">
        <v>417</v>
      </c>
      <c r="AE43" s="100">
        <v>0.10071718116619895</v>
      </c>
      <c r="AF43" s="100">
        <v>0.09</v>
      </c>
      <c r="AG43" s="98">
        <v>280.63610851262865</v>
      </c>
      <c r="AH43" s="98" t="s">
        <v>736</v>
      </c>
      <c r="AI43" s="100">
        <v>0.013000000000000001</v>
      </c>
      <c r="AJ43" s="100">
        <v>0.584416</v>
      </c>
      <c r="AK43" s="100" t="s">
        <v>736</v>
      </c>
      <c r="AL43" s="100">
        <v>0.659168</v>
      </c>
      <c r="AM43" s="100">
        <v>0.446367</v>
      </c>
      <c r="AN43" s="100">
        <v>0.463415</v>
      </c>
      <c r="AO43" s="98">
        <v>1652.6348612410352</v>
      </c>
      <c r="AP43" s="158">
        <v>1.050906982</v>
      </c>
      <c r="AQ43" s="100" t="s">
        <v>736</v>
      </c>
      <c r="AR43" s="100" t="s">
        <v>736</v>
      </c>
      <c r="AS43" s="98">
        <v>311.81789834736514</v>
      </c>
      <c r="AT43" s="98">
        <v>187.0907390084191</v>
      </c>
      <c r="AU43" s="98" t="s">
        <v>736</v>
      </c>
      <c r="AV43" s="98">
        <v>405.3632678515747</v>
      </c>
      <c r="AW43" s="98">
        <v>342.99968818210164</v>
      </c>
      <c r="AX43" s="98">
        <v>187.0907390084191</v>
      </c>
      <c r="AY43" s="98">
        <v>841.9083255378858</v>
      </c>
      <c r="AZ43" s="98">
        <v>405.3632678515747</v>
      </c>
      <c r="BA43" s="100" t="s">
        <v>736</v>
      </c>
      <c r="BB43" s="100" t="s">
        <v>736</v>
      </c>
      <c r="BC43" s="100" t="s">
        <v>736</v>
      </c>
      <c r="BD43" s="158">
        <v>0.7872013855</v>
      </c>
      <c r="BE43" s="158">
        <v>1.374612122</v>
      </c>
      <c r="BF43" s="162">
        <v>308</v>
      </c>
      <c r="BG43" s="162" t="s">
        <v>736</v>
      </c>
      <c r="BH43" s="162">
        <v>889</v>
      </c>
      <c r="BI43" s="162">
        <v>289</v>
      </c>
      <c r="BJ43" s="162">
        <v>123</v>
      </c>
      <c r="BK43" s="97"/>
      <c r="BL43" s="97"/>
      <c r="BM43" s="97"/>
      <c r="BN43" s="97"/>
    </row>
    <row r="44" spans="1:66" ht="12.75">
      <c r="A44" s="79" t="s">
        <v>697</v>
      </c>
      <c r="B44" s="79" t="s">
        <v>384</v>
      </c>
      <c r="C44" s="79" t="s">
        <v>216</v>
      </c>
      <c r="D44" s="99">
        <v>7591</v>
      </c>
      <c r="E44" s="99">
        <v>886</v>
      </c>
      <c r="F44" s="99" t="s">
        <v>440</v>
      </c>
      <c r="G44" s="99">
        <v>22</v>
      </c>
      <c r="H44" s="99">
        <v>7</v>
      </c>
      <c r="I44" s="99">
        <v>100</v>
      </c>
      <c r="J44" s="99">
        <v>506</v>
      </c>
      <c r="K44" s="99">
        <v>489</v>
      </c>
      <c r="L44" s="99">
        <v>1642</v>
      </c>
      <c r="M44" s="99">
        <v>322</v>
      </c>
      <c r="N44" s="99">
        <v>148</v>
      </c>
      <c r="O44" s="99">
        <v>151</v>
      </c>
      <c r="P44" s="159">
        <v>151</v>
      </c>
      <c r="Q44" s="99">
        <v>11</v>
      </c>
      <c r="R44" s="99">
        <v>27</v>
      </c>
      <c r="S44" s="99">
        <v>35</v>
      </c>
      <c r="T44" s="99">
        <v>21</v>
      </c>
      <c r="U44" s="99">
        <v>6</v>
      </c>
      <c r="V44" s="99">
        <v>34</v>
      </c>
      <c r="W44" s="99">
        <v>26</v>
      </c>
      <c r="X44" s="99">
        <v>13</v>
      </c>
      <c r="Y44" s="99">
        <v>45</v>
      </c>
      <c r="Z44" s="99">
        <v>22</v>
      </c>
      <c r="AA44" s="99" t="s">
        <v>736</v>
      </c>
      <c r="AB44" s="99" t="s">
        <v>736</v>
      </c>
      <c r="AC44" s="99" t="s">
        <v>736</v>
      </c>
      <c r="AD44" s="98" t="s">
        <v>417</v>
      </c>
      <c r="AE44" s="100">
        <v>0.11671716506389145</v>
      </c>
      <c r="AF44" s="100">
        <v>0.04</v>
      </c>
      <c r="AG44" s="98">
        <v>289.81688842049795</v>
      </c>
      <c r="AH44" s="98">
        <v>92.21446449743117</v>
      </c>
      <c r="AI44" s="100">
        <v>0.013000000000000001</v>
      </c>
      <c r="AJ44" s="100">
        <v>0.699862</v>
      </c>
      <c r="AK44" s="100">
        <v>0.697575</v>
      </c>
      <c r="AL44" s="100">
        <v>0.792854</v>
      </c>
      <c r="AM44" s="100">
        <v>0.544839</v>
      </c>
      <c r="AN44" s="100">
        <v>0.624473</v>
      </c>
      <c r="AO44" s="98">
        <v>1989.1977341588724</v>
      </c>
      <c r="AP44" s="158">
        <v>1.233126144</v>
      </c>
      <c r="AQ44" s="100">
        <v>0.0728476821192053</v>
      </c>
      <c r="AR44" s="100">
        <v>0.4074074074074074</v>
      </c>
      <c r="AS44" s="98">
        <v>461.0723224871558</v>
      </c>
      <c r="AT44" s="98">
        <v>276.6433934922935</v>
      </c>
      <c r="AU44" s="98">
        <v>79.04096956922672</v>
      </c>
      <c r="AV44" s="98">
        <v>447.8988275589514</v>
      </c>
      <c r="AW44" s="98">
        <v>342.5108681333158</v>
      </c>
      <c r="AX44" s="98">
        <v>171.2554340666579</v>
      </c>
      <c r="AY44" s="98">
        <v>592.8072717692004</v>
      </c>
      <c r="AZ44" s="98">
        <v>289.81688842049795</v>
      </c>
      <c r="BA44" s="100" t="s">
        <v>736</v>
      </c>
      <c r="BB44" s="100" t="s">
        <v>736</v>
      </c>
      <c r="BC44" s="100" t="s">
        <v>736</v>
      </c>
      <c r="BD44" s="158">
        <v>1.0442883299999999</v>
      </c>
      <c r="BE44" s="158">
        <v>1.446243286</v>
      </c>
      <c r="BF44" s="162">
        <v>723</v>
      </c>
      <c r="BG44" s="162">
        <v>701</v>
      </c>
      <c r="BH44" s="162">
        <v>2071</v>
      </c>
      <c r="BI44" s="162">
        <v>591</v>
      </c>
      <c r="BJ44" s="162">
        <v>237</v>
      </c>
      <c r="BK44" s="97"/>
      <c r="BL44" s="97"/>
      <c r="BM44" s="97"/>
      <c r="BN44" s="97"/>
    </row>
    <row r="45" spans="1:66" ht="12.75">
      <c r="A45" s="79" t="s">
        <v>666</v>
      </c>
      <c r="B45" s="79" t="s">
        <v>350</v>
      </c>
      <c r="C45" s="79" t="s">
        <v>216</v>
      </c>
      <c r="D45" s="99">
        <v>14589</v>
      </c>
      <c r="E45" s="99">
        <v>2610</v>
      </c>
      <c r="F45" s="99" t="s">
        <v>440</v>
      </c>
      <c r="G45" s="99">
        <v>35</v>
      </c>
      <c r="H45" s="99">
        <v>35</v>
      </c>
      <c r="I45" s="99">
        <v>313</v>
      </c>
      <c r="J45" s="99">
        <v>1283</v>
      </c>
      <c r="K45" s="99">
        <v>1245</v>
      </c>
      <c r="L45" s="99">
        <v>2957</v>
      </c>
      <c r="M45" s="99">
        <v>917</v>
      </c>
      <c r="N45" s="99">
        <v>409</v>
      </c>
      <c r="O45" s="99">
        <v>471</v>
      </c>
      <c r="P45" s="159">
        <v>471</v>
      </c>
      <c r="Q45" s="99">
        <v>31</v>
      </c>
      <c r="R45" s="99">
        <v>75</v>
      </c>
      <c r="S45" s="99">
        <v>77</v>
      </c>
      <c r="T45" s="99">
        <v>84</v>
      </c>
      <c r="U45" s="99">
        <v>13</v>
      </c>
      <c r="V45" s="99">
        <v>86</v>
      </c>
      <c r="W45" s="99">
        <v>78</v>
      </c>
      <c r="X45" s="99">
        <v>33</v>
      </c>
      <c r="Y45" s="99">
        <v>128</v>
      </c>
      <c r="Z45" s="99">
        <v>96</v>
      </c>
      <c r="AA45" s="99" t="s">
        <v>736</v>
      </c>
      <c r="AB45" s="99" t="s">
        <v>736</v>
      </c>
      <c r="AC45" s="99" t="s">
        <v>736</v>
      </c>
      <c r="AD45" s="98" t="s">
        <v>417</v>
      </c>
      <c r="AE45" s="100">
        <v>0.17890191239975323</v>
      </c>
      <c r="AF45" s="100">
        <v>0.08</v>
      </c>
      <c r="AG45" s="98">
        <v>239.90677908012887</v>
      </c>
      <c r="AH45" s="98">
        <v>239.90677908012887</v>
      </c>
      <c r="AI45" s="100">
        <v>0.021</v>
      </c>
      <c r="AJ45" s="100">
        <v>0.695393</v>
      </c>
      <c r="AK45" s="100">
        <v>0.68595</v>
      </c>
      <c r="AL45" s="100">
        <v>0.761721</v>
      </c>
      <c r="AM45" s="100">
        <v>0.521023</v>
      </c>
      <c r="AN45" s="100">
        <v>0.534641</v>
      </c>
      <c r="AO45" s="98">
        <v>3228.4597984783054</v>
      </c>
      <c r="AP45" s="158">
        <v>1.653137207</v>
      </c>
      <c r="AQ45" s="100">
        <v>0.06581740976645435</v>
      </c>
      <c r="AR45" s="100">
        <v>0.41333333333333333</v>
      </c>
      <c r="AS45" s="98">
        <v>527.7949139762835</v>
      </c>
      <c r="AT45" s="98">
        <v>575.7762697923092</v>
      </c>
      <c r="AU45" s="98">
        <v>89.10823222976215</v>
      </c>
      <c r="AV45" s="98">
        <v>589.4852285968881</v>
      </c>
      <c r="AW45" s="98">
        <v>534.6493933785729</v>
      </c>
      <c r="AX45" s="98">
        <v>226.19782027555007</v>
      </c>
      <c r="AY45" s="98">
        <v>877.3733634930427</v>
      </c>
      <c r="AZ45" s="98">
        <v>658.030022619782</v>
      </c>
      <c r="BA45" s="100" t="s">
        <v>736</v>
      </c>
      <c r="BB45" s="100" t="s">
        <v>736</v>
      </c>
      <c r="BC45" s="100" t="s">
        <v>736</v>
      </c>
      <c r="BD45" s="158">
        <v>1.5071907039999999</v>
      </c>
      <c r="BE45" s="158">
        <v>1.809399261</v>
      </c>
      <c r="BF45" s="162">
        <v>1845</v>
      </c>
      <c r="BG45" s="162">
        <v>1815</v>
      </c>
      <c r="BH45" s="162">
        <v>3882</v>
      </c>
      <c r="BI45" s="162">
        <v>1760</v>
      </c>
      <c r="BJ45" s="162">
        <v>765</v>
      </c>
      <c r="BK45" s="97"/>
      <c r="BL45" s="97"/>
      <c r="BM45" s="97"/>
      <c r="BN45" s="97"/>
    </row>
    <row r="46" spans="1:66" ht="12.75">
      <c r="A46" s="79" t="s">
        <v>617</v>
      </c>
      <c r="B46" s="79" t="s">
        <v>300</v>
      </c>
      <c r="C46" s="79" t="s">
        <v>216</v>
      </c>
      <c r="D46" s="99">
        <v>12740</v>
      </c>
      <c r="E46" s="99">
        <v>1641</v>
      </c>
      <c r="F46" s="99" t="s">
        <v>440</v>
      </c>
      <c r="G46" s="99">
        <v>47</v>
      </c>
      <c r="H46" s="99">
        <v>35</v>
      </c>
      <c r="I46" s="99">
        <v>180</v>
      </c>
      <c r="J46" s="99">
        <v>1059</v>
      </c>
      <c r="K46" s="99">
        <v>1022</v>
      </c>
      <c r="L46" s="99">
        <v>2588</v>
      </c>
      <c r="M46" s="99">
        <v>648</v>
      </c>
      <c r="N46" s="99">
        <v>301</v>
      </c>
      <c r="O46" s="99">
        <v>280</v>
      </c>
      <c r="P46" s="159">
        <v>280</v>
      </c>
      <c r="Q46" s="99">
        <v>29</v>
      </c>
      <c r="R46" s="99">
        <v>58</v>
      </c>
      <c r="S46" s="99">
        <v>69</v>
      </c>
      <c r="T46" s="99">
        <v>43</v>
      </c>
      <c r="U46" s="99">
        <v>7</v>
      </c>
      <c r="V46" s="99">
        <v>56</v>
      </c>
      <c r="W46" s="99">
        <v>56</v>
      </c>
      <c r="X46" s="99">
        <v>43</v>
      </c>
      <c r="Y46" s="99">
        <v>118</v>
      </c>
      <c r="Z46" s="99">
        <v>67</v>
      </c>
      <c r="AA46" s="99" t="s">
        <v>736</v>
      </c>
      <c r="AB46" s="99" t="s">
        <v>736</v>
      </c>
      <c r="AC46" s="99" t="s">
        <v>736</v>
      </c>
      <c r="AD46" s="98" t="s">
        <v>417</v>
      </c>
      <c r="AE46" s="100">
        <v>0.12880690737833594</v>
      </c>
      <c r="AF46" s="100">
        <v>0.08</v>
      </c>
      <c r="AG46" s="98">
        <v>368.91679748822605</v>
      </c>
      <c r="AH46" s="98">
        <v>274.72527472527474</v>
      </c>
      <c r="AI46" s="100">
        <v>0.013999999999999999</v>
      </c>
      <c r="AJ46" s="100">
        <v>0.765173</v>
      </c>
      <c r="AK46" s="100">
        <v>0.752024</v>
      </c>
      <c r="AL46" s="100">
        <v>0.77485</v>
      </c>
      <c r="AM46" s="100">
        <v>0.562989</v>
      </c>
      <c r="AN46" s="100">
        <v>0.62578</v>
      </c>
      <c r="AO46" s="98">
        <v>2197.802197802198</v>
      </c>
      <c r="AP46" s="158">
        <v>1.28622467</v>
      </c>
      <c r="AQ46" s="100">
        <v>0.10357142857142858</v>
      </c>
      <c r="AR46" s="100">
        <v>0.5</v>
      </c>
      <c r="AS46" s="98">
        <v>541.6012558869702</v>
      </c>
      <c r="AT46" s="98">
        <v>337.51962323390893</v>
      </c>
      <c r="AU46" s="98">
        <v>54.94505494505494</v>
      </c>
      <c r="AV46" s="98">
        <v>439.56043956043953</v>
      </c>
      <c r="AW46" s="98">
        <v>439.56043956043953</v>
      </c>
      <c r="AX46" s="98">
        <v>337.51962323390893</v>
      </c>
      <c r="AY46" s="98">
        <v>926.2166405023548</v>
      </c>
      <c r="AZ46" s="98">
        <v>525.9026687598116</v>
      </c>
      <c r="BA46" s="100" t="s">
        <v>736</v>
      </c>
      <c r="BB46" s="100" t="s">
        <v>736</v>
      </c>
      <c r="BC46" s="100" t="s">
        <v>736</v>
      </c>
      <c r="BD46" s="158">
        <v>1.139965744</v>
      </c>
      <c r="BE46" s="158">
        <v>1.446045532</v>
      </c>
      <c r="BF46" s="162">
        <v>1384</v>
      </c>
      <c r="BG46" s="162">
        <v>1359</v>
      </c>
      <c r="BH46" s="162">
        <v>3340</v>
      </c>
      <c r="BI46" s="162">
        <v>1151</v>
      </c>
      <c r="BJ46" s="162">
        <v>481</v>
      </c>
      <c r="BK46" s="97"/>
      <c r="BL46" s="97"/>
      <c r="BM46" s="97"/>
      <c r="BN46" s="97"/>
    </row>
    <row r="47" spans="1:66" ht="12.75">
      <c r="A47" s="79" t="s">
        <v>665</v>
      </c>
      <c r="B47" s="79" t="s">
        <v>348</v>
      </c>
      <c r="C47" s="79" t="s">
        <v>216</v>
      </c>
      <c r="D47" s="99">
        <v>12069</v>
      </c>
      <c r="E47" s="99">
        <v>2714</v>
      </c>
      <c r="F47" s="99" t="s">
        <v>440</v>
      </c>
      <c r="G47" s="99">
        <v>62</v>
      </c>
      <c r="H47" s="99">
        <v>32</v>
      </c>
      <c r="I47" s="99">
        <v>301</v>
      </c>
      <c r="J47" s="99">
        <v>1467</v>
      </c>
      <c r="K47" s="99">
        <v>1357</v>
      </c>
      <c r="L47" s="99">
        <v>2253</v>
      </c>
      <c r="M47" s="99">
        <v>1009</v>
      </c>
      <c r="N47" s="99">
        <v>483</v>
      </c>
      <c r="O47" s="99">
        <v>143</v>
      </c>
      <c r="P47" s="159">
        <v>143</v>
      </c>
      <c r="Q47" s="99">
        <v>17</v>
      </c>
      <c r="R47" s="99">
        <v>54</v>
      </c>
      <c r="S47" s="99">
        <v>24</v>
      </c>
      <c r="T47" s="99">
        <v>26</v>
      </c>
      <c r="U47" s="99">
        <v>6</v>
      </c>
      <c r="V47" s="99">
        <v>26</v>
      </c>
      <c r="W47" s="99">
        <v>94</v>
      </c>
      <c r="X47" s="99">
        <v>44</v>
      </c>
      <c r="Y47" s="99">
        <v>176</v>
      </c>
      <c r="Z47" s="99">
        <v>57</v>
      </c>
      <c r="AA47" s="99" t="s">
        <v>736</v>
      </c>
      <c r="AB47" s="99" t="s">
        <v>736</v>
      </c>
      <c r="AC47" s="99" t="s">
        <v>736</v>
      </c>
      <c r="AD47" s="98" t="s">
        <v>417</v>
      </c>
      <c r="AE47" s="100">
        <v>0.22487364321816222</v>
      </c>
      <c r="AF47" s="100">
        <v>0.06</v>
      </c>
      <c r="AG47" s="98">
        <v>513.7128179633772</v>
      </c>
      <c r="AH47" s="98">
        <v>265.14209959400114</v>
      </c>
      <c r="AI47" s="100">
        <v>0.025</v>
      </c>
      <c r="AJ47" s="100">
        <v>0.815907</v>
      </c>
      <c r="AK47" s="100">
        <v>0.769711</v>
      </c>
      <c r="AL47" s="100">
        <v>0.762437</v>
      </c>
      <c r="AM47" s="100">
        <v>0.60637</v>
      </c>
      <c r="AN47" s="100">
        <v>0.684136</v>
      </c>
      <c r="AO47" s="98">
        <v>1184.8537575606927</v>
      </c>
      <c r="AP47" s="158">
        <v>0.5330018997</v>
      </c>
      <c r="AQ47" s="100">
        <v>0.11888111888111888</v>
      </c>
      <c r="AR47" s="100">
        <v>0.3148148148148148</v>
      </c>
      <c r="AS47" s="98">
        <v>198.85657469550088</v>
      </c>
      <c r="AT47" s="98">
        <v>215.42795592012595</v>
      </c>
      <c r="AU47" s="98">
        <v>49.71414367387522</v>
      </c>
      <c r="AV47" s="98">
        <v>215.42795592012595</v>
      </c>
      <c r="AW47" s="98">
        <v>778.8549175573784</v>
      </c>
      <c r="AX47" s="98">
        <v>364.5703869417516</v>
      </c>
      <c r="AY47" s="98">
        <v>1458.2815477670065</v>
      </c>
      <c r="AZ47" s="98">
        <v>472.28436490181457</v>
      </c>
      <c r="BA47" s="100" t="s">
        <v>736</v>
      </c>
      <c r="BB47" s="100" t="s">
        <v>736</v>
      </c>
      <c r="BC47" s="100" t="s">
        <v>736</v>
      </c>
      <c r="BD47" s="158">
        <v>0.4492247009</v>
      </c>
      <c r="BE47" s="158">
        <v>0.6278685379</v>
      </c>
      <c r="BF47" s="162">
        <v>1798</v>
      </c>
      <c r="BG47" s="162">
        <v>1763</v>
      </c>
      <c r="BH47" s="162">
        <v>2955</v>
      </c>
      <c r="BI47" s="162">
        <v>1664</v>
      </c>
      <c r="BJ47" s="162">
        <v>706</v>
      </c>
      <c r="BK47" s="97"/>
      <c r="BL47" s="97"/>
      <c r="BM47" s="97"/>
      <c r="BN47" s="97"/>
    </row>
    <row r="48" spans="1:66" ht="12.75">
      <c r="A48" s="79" t="s">
        <v>623</v>
      </c>
      <c r="B48" s="79" t="s">
        <v>306</v>
      </c>
      <c r="C48" s="79" t="s">
        <v>216</v>
      </c>
      <c r="D48" s="99">
        <v>12425</v>
      </c>
      <c r="E48" s="99">
        <v>1755</v>
      </c>
      <c r="F48" s="99" t="s">
        <v>438</v>
      </c>
      <c r="G48" s="99">
        <v>33</v>
      </c>
      <c r="H48" s="99">
        <v>10</v>
      </c>
      <c r="I48" s="99">
        <v>220</v>
      </c>
      <c r="J48" s="99">
        <v>952</v>
      </c>
      <c r="K48" s="99" t="s">
        <v>736</v>
      </c>
      <c r="L48" s="99">
        <v>2439</v>
      </c>
      <c r="M48" s="99">
        <v>697</v>
      </c>
      <c r="N48" s="99">
        <v>342</v>
      </c>
      <c r="O48" s="99">
        <v>136</v>
      </c>
      <c r="P48" s="159">
        <v>136</v>
      </c>
      <c r="Q48" s="99">
        <v>14</v>
      </c>
      <c r="R48" s="99">
        <v>31</v>
      </c>
      <c r="S48" s="99">
        <v>33</v>
      </c>
      <c r="T48" s="99">
        <v>25</v>
      </c>
      <c r="U48" s="99" t="s">
        <v>736</v>
      </c>
      <c r="V48" s="99">
        <v>32</v>
      </c>
      <c r="W48" s="99">
        <v>69</v>
      </c>
      <c r="X48" s="99">
        <v>46</v>
      </c>
      <c r="Y48" s="99">
        <v>89</v>
      </c>
      <c r="Z48" s="99">
        <v>56</v>
      </c>
      <c r="AA48" s="99" t="s">
        <v>736</v>
      </c>
      <c r="AB48" s="99" t="s">
        <v>736</v>
      </c>
      <c r="AC48" s="99" t="s">
        <v>736</v>
      </c>
      <c r="AD48" s="98" t="s">
        <v>417</v>
      </c>
      <c r="AE48" s="100">
        <v>0.14124748490945674</v>
      </c>
      <c r="AF48" s="100">
        <v>0.09</v>
      </c>
      <c r="AG48" s="98">
        <v>265.59356136820924</v>
      </c>
      <c r="AH48" s="98">
        <v>80.48289738430583</v>
      </c>
      <c r="AI48" s="100">
        <v>0.018000000000000002</v>
      </c>
      <c r="AJ48" s="100">
        <v>0.683908</v>
      </c>
      <c r="AK48" s="100" t="s">
        <v>736</v>
      </c>
      <c r="AL48" s="100">
        <v>0.722667</v>
      </c>
      <c r="AM48" s="100">
        <v>0.551424</v>
      </c>
      <c r="AN48" s="100">
        <v>0.626374</v>
      </c>
      <c r="AO48" s="98">
        <v>1094.5674044265593</v>
      </c>
      <c r="AP48" s="158">
        <v>0.6228177643</v>
      </c>
      <c r="AQ48" s="100">
        <v>0.10294117647058823</v>
      </c>
      <c r="AR48" s="100">
        <v>0.45161290322580644</v>
      </c>
      <c r="AS48" s="98">
        <v>265.59356136820924</v>
      </c>
      <c r="AT48" s="98">
        <v>201.2072434607646</v>
      </c>
      <c r="AU48" s="98" t="s">
        <v>736</v>
      </c>
      <c r="AV48" s="98">
        <v>257.54527162977865</v>
      </c>
      <c r="AW48" s="98">
        <v>555.3319919517103</v>
      </c>
      <c r="AX48" s="98">
        <v>370.2213279678068</v>
      </c>
      <c r="AY48" s="98">
        <v>716.2977867203219</v>
      </c>
      <c r="AZ48" s="98">
        <v>450.7042253521127</v>
      </c>
      <c r="BA48" s="100" t="s">
        <v>736</v>
      </c>
      <c r="BB48" s="100" t="s">
        <v>736</v>
      </c>
      <c r="BC48" s="100" t="s">
        <v>736</v>
      </c>
      <c r="BD48" s="158">
        <v>0.5225462341</v>
      </c>
      <c r="BE48" s="158">
        <v>0.7367237091</v>
      </c>
      <c r="BF48" s="162">
        <v>1392</v>
      </c>
      <c r="BG48" s="162" t="s">
        <v>736</v>
      </c>
      <c r="BH48" s="162">
        <v>3375</v>
      </c>
      <c r="BI48" s="162">
        <v>1264</v>
      </c>
      <c r="BJ48" s="162">
        <v>546</v>
      </c>
      <c r="BK48" s="97"/>
      <c r="BL48" s="97"/>
      <c r="BM48" s="97"/>
      <c r="BN48" s="97"/>
    </row>
    <row r="49" spans="1:66" ht="12.75">
      <c r="A49" s="79" t="s">
        <v>655</v>
      </c>
      <c r="B49" s="79" t="s">
        <v>338</v>
      </c>
      <c r="C49" s="79" t="s">
        <v>216</v>
      </c>
      <c r="D49" s="99">
        <v>13206</v>
      </c>
      <c r="E49" s="99">
        <v>1828</v>
      </c>
      <c r="F49" s="99" t="s">
        <v>440</v>
      </c>
      <c r="G49" s="99">
        <v>57</v>
      </c>
      <c r="H49" s="99">
        <v>27</v>
      </c>
      <c r="I49" s="99">
        <v>229</v>
      </c>
      <c r="J49" s="99">
        <v>924</v>
      </c>
      <c r="K49" s="99">
        <v>9</v>
      </c>
      <c r="L49" s="99">
        <v>2568</v>
      </c>
      <c r="M49" s="99">
        <v>507</v>
      </c>
      <c r="N49" s="99">
        <v>205</v>
      </c>
      <c r="O49" s="99">
        <v>126</v>
      </c>
      <c r="P49" s="159">
        <v>126</v>
      </c>
      <c r="Q49" s="99">
        <v>20</v>
      </c>
      <c r="R49" s="99">
        <v>53</v>
      </c>
      <c r="S49" s="99">
        <v>38</v>
      </c>
      <c r="T49" s="99">
        <v>24</v>
      </c>
      <c r="U49" s="99">
        <v>7</v>
      </c>
      <c r="V49" s="99">
        <v>26</v>
      </c>
      <c r="W49" s="99">
        <v>58</v>
      </c>
      <c r="X49" s="99">
        <v>33</v>
      </c>
      <c r="Y49" s="99">
        <v>103</v>
      </c>
      <c r="Z49" s="99">
        <v>76</v>
      </c>
      <c r="AA49" s="99" t="s">
        <v>736</v>
      </c>
      <c r="AB49" s="99" t="s">
        <v>736</v>
      </c>
      <c r="AC49" s="99" t="s">
        <v>736</v>
      </c>
      <c r="AD49" s="98" t="s">
        <v>417</v>
      </c>
      <c r="AE49" s="100">
        <v>0.13842192942601847</v>
      </c>
      <c r="AF49" s="100">
        <v>0.07</v>
      </c>
      <c r="AG49" s="98">
        <v>431.62199000454336</v>
      </c>
      <c r="AH49" s="98">
        <v>204.4525215810995</v>
      </c>
      <c r="AI49" s="100">
        <v>0.017</v>
      </c>
      <c r="AJ49" s="100">
        <v>0.721311</v>
      </c>
      <c r="AK49" s="100">
        <v>0.409091</v>
      </c>
      <c r="AL49" s="100">
        <v>0.737295</v>
      </c>
      <c r="AM49" s="100">
        <v>0.493671</v>
      </c>
      <c r="AN49" s="100">
        <v>0.515075</v>
      </c>
      <c r="AO49" s="98">
        <v>954.1117673784644</v>
      </c>
      <c r="AP49" s="158">
        <v>0.5509837341</v>
      </c>
      <c r="AQ49" s="100">
        <v>0.15873015873015872</v>
      </c>
      <c r="AR49" s="100">
        <v>0.37735849056603776</v>
      </c>
      <c r="AS49" s="98">
        <v>287.74799333636224</v>
      </c>
      <c r="AT49" s="98">
        <v>181.7355747387551</v>
      </c>
      <c r="AU49" s="98">
        <v>53.006209298803576</v>
      </c>
      <c r="AV49" s="98">
        <v>196.8802059669847</v>
      </c>
      <c r="AW49" s="98">
        <v>439.1943056186582</v>
      </c>
      <c r="AX49" s="98">
        <v>249.8864152657883</v>
      </c>
      <c r="AY49" s="98">
        <v>779.948508253824</v>
      </c>
      <c r="AZ49" s="98">
        <v>575.4959866727245</v>
      </c>
      <c r="BA49" s="100" t="s">
        <v>736</v>
      </c>
      <c r="BB49" s="100" t="s">
        <v>736</v>
      </c>
      <c r="BC49" s="100" t="s">
        <v>736</v>
      </c>
      <c r="BD49" s="158">
        <v>0.4589841843</v>
      </c>
      <c r="BE49" s="158">
        <v>0.6560163116</v>
      </c>
      <c r="BF49" s="162">
        <v>1281</v>
      </c>
      <c r="BG49" s="162">
        <v>22</v>
      </c>
      <c r="BH49" s="162">
        <v>3483</v>
      </c>
      <c r="BI49" s="162">
        <v>1027</v>
      </c>
      <c r="BJ49" s="162">
        <v>398</v>
      </c>
      <c r="BK49" s="97"/>
      <c r="BL49" s="97"/>
      <c r="BM49" s="97"/>
      <c r="BN49" s="97"/>
    </row>
    <row r="50" spans="1:66" ht="12.75">
      <c r="A50" s="79" t="s">
        <v>703</v>
      </c>
      <c r="B50" s="79" t="s">
        <v>390</v>
      </c>
      <c r="C50" s="79" t="s">
        <v>216</v>
      </c>
      <c r="D50" s="99">
        <v>2089</v>
      </c>
      <c r="E50" s="99">
        <v>447</v>
      </c>
      <c r="F50" s="99" t="s">
        <v>440</v>
      </c>
      <c r="G50" s="99">
        <v>8</v>
      </c>
      <c r="H50" s="99" t="s">
        <v>736</v>
      </c>
      <c r="I50" s="99">
        <v>51</v>
      </c>
      <c r="J50" s="99">
        <v>156</v>
      </c>
      <c r="K50" s="99" t="s">
        <v>736</v>
      </c>
      <c r="L50" s="99">
        <v>379</v>
      </c>
      <c r="M50" s="99">
        <v>135</v>
      </c>
      <c r="N50" s="99">
        <v>64</v>
      </c>
      <c r="O50" s="99">
        <v>35</v>
      </c>
      <c r="P50" s="159">
        <v>35</v>
      </c>
      <c r="Q50" s="99" t="s">
        <v>736</v>
      </c>
      <c r="R50" s="99">
        <v>9</v>
      </c>
      <c r="S50" s="99" t="s">
        <v>736</v>
      </c>
      <c r="T50" s="99" t="s">
        <v>736</v>
      </c>
      <c r="U50" s="99" t="s">
        <v>736</v>
      </c>
      <c r="V50" s="99">
        <v>11</v>
      </c>
      <c r="W50" s="99">
        <v>10</v>
      </c>
      <c r="X50" s="99">
        <v>7</v>
      </c>
      <c r="Y50" s="99">
        <v>23</v>
      </c>
      <c r="Z50" s="99">
        <v>8</v>
      </c>
      <c r="AA50" s="99" t="s">
        <v>736</v>
      </c>
      <c r="AB50" s="99" t="s">
        <v>736</v>
      </c>
      <c r="AC50" s="99" t="s">
        <v>736</v>
      </c>
      <c r="AD50" s="98" t="s">
        <v>417</v>
      </c>
      <c r="AE50" s="100">
        <v>0.21397797989468645</v>
      </c>
      <c r="AF50" s="100">
        <v>0.07</v>
      </c>
      <c r="AG50" s="98">
        <v>382.9583532790809</v>
      </c>
      <c r="AH50" s="98" t="s">
        <v>736</v>
      </c>
      <c r="AI50" s="100">
        <v>0.024</v>
      </c>
      <c r="AJ50" s="100">
        <v>0.696429</v>
      </c>
      <c r="AK50" s="100" t="s">
        <v>736</v>
      </c>
      <c r="AL50" s="100">
        <v>0.799578</v>
      </c>
      <c r="AM50" s="100">
        <v>0.54878</v>
      </c>
      <c r="AN50" s="100">
        <v>0.598131</v>
      </c>
      <c r="AO50" s="98">
        <v>1675.4427955959789</v>
      </c>
      <c r="AP50" s="158">
        <v>0.8086933899000001</v>
      </c>
      <c r="AQ50" s="100" t="s">
        <v>736</v>
      </c>
      <c r="AR50" s="100" t="s">
        <v>736</v>
      </c>
      <c r="AS50" s="98" t="s">
        <v>736</v>
      </c>
      <c r="AT50" s="98" t="s">
        <v>736</v>
      </c>
      <c r="AU50" s="98" t="s">
        <v>736</v>
      </c>
      <c r="AV50" s="98">
        <v>526.5677357587363</v>
      </c>
      <c r="AW50" s="98">
        <v>478.6979415988511</v>
      </c>
      <c r="AX50" s="98">
        <v>335.0885591191958</v>
      </c>
      <c r="AY50" s="98">
        <v>1101.0052656773576</v>
      </c>
      <c r="AZ50" s="98">
        <v>382.9583532790809</v>
      </c>
      <c r="BA50" s="100" t="s">
        <v>736</v>
      </c>
      <c r="BB50" s="100" t="s">
        <v>736</v>
      </c>
      <c r="BC50" s="100" t="s">
        <v>736</v>
      </c>
      <c r="BD50" s="158">
        <v>0.5632845688</v>
      </c>
      <c r="BE50" s="158">
        <v>1.124696732</v>
      </c>
      <c r="BF50" s="162">
        <v>224</v>
      </c>
      <c r="BG50" s="162" t="s">
        <v>736</v>
      </c>
      <c r="BH50" s="162">
        <v>474</v>
      </c>
      <c r="BI50" s="162">
        <v>246</v>
      </c>
      <c r="BJ50" s="162">
        <v>107</v>
      </c>
      <c r="BK50" s="97"/>
      <c r="BL50" s="97"/>
      <c r="BM50" s="97"/>
      <c r="BN50" s="97"/>
    </row>
    <row r="51" spans="1:66" ht="12.75">
      <c r="A51" s="79" t="s">
        <v>607</v>
      </c>
      <c r="B51" s="79" t="s">
        <v>289</v>
      </c>
      <c r="C51" s="79" t="s">
        <v>216</v>
      </c>
      <c r="D51" s="99">
        <v>21794</v>
      </c>
      <c r="E51" s="99">
        <v>2122</v>
      </c>
      <c r="F51" s="99" t="s">
        <v>440</v>
      </c>
      <c r="G51" s="99">
        <v>49</v>
      </c>
      <c r="H51" s="99">
        <v>40</v>
      </c>
      <c r="I51" s="99">
        <v>228</v>
      </c>
      <c r="J51" s="99">
        <v>1177</v>
      </c>
      <c r="K51" s="99">
        <v>1096</v>
      </c>
      <c r="L51" s="99">
        <v>2805</v>
      </c>
      <c r="M51" s="99">
        <v>663</v>
      </c>
      <c r="N51" s="99">
        <v>298</v>
      </c>
      <c r="O51" s="99">
        <v>260</v>
      </c>
      <c r="P51" s="159">
        <v>260</v>
      </c>
      <c r="Q51" s="99">
        <v>26</v>
      </c>
      <c r="R51" s="99">
        <v>52</v>
      </c>
      <c r="S51" s="99">
        <v>57</v>
      </c>
      <c r="T51" s="99">
        <v>41</v>
      </c>
      <c r="U51" s="99" t="s">
        <v>736</v>
      </c>
      <c r="V51" s="99">
        <v>49</v>
      </c>
      <c r="W51" s="99">
        <v>117</v>
      </c>
      <c r="X51" s="99">
        <v>42</v>
      </c>
      <c r="Y51" s="99">
        <v>198</v>
      </c>
      <c r="Z51" s="99">
        <v>103</v>
      </c>
      <c r="AA51" s="99" t="s">
        <v>736</v>
      </c>
      <c r="AB51" s="99" t="s">
        <v>736</v>
      </c>
      <c r="AC51" s="99" t="s">
        <v>736</v>
      </c>
      <c r="AD51" s="98" t="s">
        <v>417</v>
      </c>
      <c r="AE51" s="100">
        <v>0.09736624759108012</v>
      </c>
      <c r="AF51" s="100">
        <v>0.07</v>
      </c>
      <c r="AG51" s="98">
        <v>224.8325227126732</v>
      </c>
      <c r="AH51" s="98">
        <v>183.5367532348353</v>
      </c>
      <c r="AI51" s="100">
        <v>0.01</v>
      </c>
      <c r="AJ51" s="100">
        <v>0.743995</v>
      </c>
      <c r="AK51" s="100">
        <v>0.707097</v>
      </c>
      <c r="AL51" s="100">
        <v>0.642317</v>
      </c>
      <c r="AM51" s="100">
        <v>0.518779</v>
      </c>
      <c r="AN51" s="100">
        <v>0.573077</v>
      </c>
      <c r="AO51" s="98">
        <v>1192.9888960264293</v>
      </c>
      <c r="AP51" s="158">
        <v>0.8825563049</v>
      </c>
      <c r="AQ51" s="100">
        <v>0.1</v>
      </c>
      <c r="AR51" s="100">
        <v>0.5</v>
      </c>
      <c r="AS51" s="98">
        <v>261.5398733596403</v>
      </c>
      <c r="AT51" s="98">
        <v>188.12517206570615</v>
      </c>
      <c r="AU51" s="98" t="s">
        <v>736</v>
      </c>
      <c r="AV51" s="98">
        <v>224.8325227126732</v>
      </c>
      <c r="AW51" s="98">
        <v>536.8450032118932</v>
      </c>
      <c r="AX51" s="98">
        <v>192.71359089657705</v>
      </c>
      <c r="AY51" s="98">
        <v>908.5069285124346</v>
      </c>
      <c r="AZ51" s="98">
        <v>472.60713957970086</v>
      </c>
      <c r="BA51" s="100" t="s">
        <v>736</v>
      </c>
      <c r="BB51" s="100" t="s">
        <v>736</v>
      </c>
      <c r="BC51" s="100" t="s">
        <v>736</v>
      </c>
      <c r="BD51" s="158">
        <v>0.7785303497</v>
      </c>
      <c r="BE51" s="158">
        <v>0.9966112518</v>
      </c>
      <c r="BF51" s="162">
        <v>1582</v>
      </c>
      <c r="BG51" s="162">
        <v>1550</v>
      </c>
      <c r="BH51" s="162">
        <v>4367</v>
      </c>
      <c r="BI51" s="162">
        <v>1278</v>
      </c>
      <c r="BJ51" s="162">
        <v>520</v>
      </c>
      <c r="BK51" s="97"/>
      <c r="BL51" s="97"/>
      <c r="BM51" s="97"/>
      <c r="BN51" s="97"/>
    </row>
    <row r="52" spans="1:66" ht="12.75">
      <c r="A52" s="79" t="s">
        <v>652</v>
      </c>
      <c r="B52" s="79" t="s">
        <v>335</v>
      </c>
      <c r="C52" s="79" t="s">
        <v>216</v>
      </c>
      <c r="D52" s="99">
        <v>17894</v>
      </c>
      <c r="E52" s="99">
        <v>3420</v>
      </c>
      <c r="F52" s="99" t="s">
        <v>440</v>
      </c>
      <c r="G52" s="99">
        <v>75</v>
      </c>
      <c r="H52" s="99">
        <v>36</v>
      </c>
      <c r="I52" s="99">
        <v>356</v>
      </c>
      <c r="J52" s="99">
        <v>1738</v>
      </c>
      <c r="K52" s="99">
        <v>1696</v>
      </c>
      <c r="L52" s="99">
        <v>3498</v>
      </c>
      <c r="M52" s="99">
        <v>1196</v>
      </c>
      <c r="N52" s="99">
        <v>559</v>
      </c>
      <c r="O52" s="99">
        <v>361</v>
      </c>
      <c r="P52" s="159">
        <v>361</v>
      </c>
      <c r="Q52" s="99">
        <v>35</v>
      </c>
      <c r="R52" s="99">
        <v>64</v>
      </c>
      <c r="S52" s="99">
        <v>99</v>
      </c>
      <c r="T52" s="99">
        <v>50</v>
      </c>
      <c r="U52" s="99">
        <v>16</v>
      </c>
      <c r="V52" s="99">
        <v>63</v>
      </c>
      <c r="W52" s="99">
        <v>124</v>
      </c>
      <c r="X52" s="99">
        <v>64</v>
      </c>
      <c r="Y52" s="99">
        <v>197</v>
      </c>
      <c r="Z52" s="99">
        <v>96</v>
      </c>
      <c r="AA52" s="99" t="s">
        <v>736</v>
      </c>
      <c r="AB52" s="99" t="s">
        <v>736</v>
      </c>
      <c r="AC52" s="99" t="s">
        <v>736</v>
      </c>
      <c r="AD52" s="98" t="s">
        <v>417</v>
      </c>
      <c r="AE52" s="100">
        <v>0.1911255169330502</v>
      </c>
      <c r="AF52" s="100">
        <v>0.06</v>
      </c>
      <c r="AG52" s="98">
        <v>419.1349055549346</v>
      </c>
      <c r="AH52" s="98">
        <v>201.1847546663686</v>
      </c>
      <c r="AI52" s="100">
        <v>0.02</v>
      </c>
      <c r="AJ52" s="100">
        <v>0.749138</v>
      </c>
      <c r="AK52" s="100">
        <v>0.760879</v>
      </c>
      <c r="AL52" s="100">
        <v>0.782375</v>
      </c>
      <c r="AM52" s="100">
        <v>0.567362</v>
      </c>
      <c r="AN52" s="100">
        <v>0.610929</v>
      </c>
      <c r="AO52" s="98">
        <v>2017.4360120710853</v>
      </c>
      <c r="AP52" s="158">
        <v>0.9979615784000001</v>
      </c>
      <c r="AQ52" s="100">
        <v>0.09695290858725762</v>
      </c>
      <c r="AR52" s="100">
        <v>0.546875</v>
      </c>
      <c r="AS52" s="98">
        <v>553.2580753325137</v>
      </c>
      <c r="AT52" s="98">
        <v>279.4232703699564</v>
      </c>
      <c r="AU52" s="98">
        <v>89.41544651838605</v>
      </c>
      <c r="AV52" s="98">
        <v>352.0733206661451</v>
      </c>
      <c r="AW52" s="98">
        <v>692.9697105174919</v>
      </c>
      <c r="AX52" s="98">
        <v>357.6617860735442</v>
      </c>
      <c r="AY52" s="98">
        <v>1100.9276852576284</v>
      </c>
      <c r="AZ52" s="98">
        <v>536.4926791103163</v>
      </c>
      <c r="BA52" s="101" t="s">
        <v>736</v>
      </c>
      <c r="BB52" s="101" t="s">
        <v>736</v>
      </c>
      <c r="BC52" s="101" t="s">
        <v>736</v>
      </c>
      <c r="BD52" s="158">
        <v>0.8976586914000001</v>
      </c>
      <c r="BE52" s="158">
        <v>1.1064070890000002</v>
      </c>
      <c r="BF52" s="162">
        <v>2320</v>
      </c>
      <c r="BG52" s="162">
        <v>2229</v>
      </c>
      <c r="BH52" s="162">
        <v>4471</v>
      </c>
      <c r="BI52" s="162">
        <v>2108</v>
      </c>
      <c r="BJ52" s="162">
        <v>915</v>
      </c>
      <c r="BK52" s="97"/>
      <c r="BL52" s="97"/>
      <c r="BM52" s="97"/>
      <c r="BN52" s="97"/>
    </row>
    <row r="53" spans="1:66" ht="12.75">
      <c r="A53" s="79" t="s">
        <v>646</v>
      </c>
      <c r="B53" s="79" t="s">
        <v>329</v>
      </c>
      <c r="C53" s="79" t="s">
        <v>216</v>
      </c>
      <c r="D53" s="99">
        <v>8625</v>
      </c>
      <c r="E53" s="99">
        <v>1708</v>
      </c>
      <c r="F53" s="99" t="s">
        <v>438</v>
      </c>
      <c r="G53" s="99">
        <v>46</v>
      </c>
      <c r="H53" s="99">
        <v>16</v>
      </c>
      <c r="I53" s="99">
        <v>186</v>
      </c>
      <c r="J53" s="99">
        <v>849</v>
      </c>
      <c r="K53" s="99" t="s">
        <v>736</v>
      </c>
      <c r="L53" s="99">
        <v>1605</v>
      </c>
      <c r="M53" s="99">
        <v>483</v>
      </c>
      <c r="N53" s="99">
        <v>206</v>
      </c>
      <c r="O53" s="99">
        <v>127</v>
      </c>
      <c r="P53" s="159">
        <v>127</v>
      </c>
      <c r="Q53" s="99">
        <v>19</v>
      </c>
      <c r="R53" s="99">
        <v>41</v>
      </c>
      <c r="S53" s="99">
        <v>22</v>
      </c>
      <c r="T53" s="99">
        <v>17</v>
      </c>
      <c r="U53" s="99" t="s">
        <v>736</v>
      </c>
      <c r="V53" s="99">
        <v>28</v>
      </c>
      <c r="W53" s="99">
        <v>67</v>
      </c>
      <c r="X53" s="99">
        <v>46</v>
      </c>
      <c r="Y53" s="99">
        <v>102</v>
      </c>
      <c r="Z53" s="99">
        <v>53</v>
      </c>
      <c r="AA53" s="99" t="s">
        <v>736</v>
      </c>
      <c r="AB53" s="99" t="s">
        <v>736</v>
      </c>
      <c r="AC53" s="99" t="s">
        <v>736</v>
      </c>
      <c r="AD53" s="98" t="s">
        <v>417</v>
      </c>
      <c r="AE53" s="100">
        <v>0.19802898550724637</v>
      </c>
      <c r="AF53" s="100">
        <v>0.09</v>
      </c>
      <c r="AG53" s="98">
        <v>533.3333333333334</v>
      </c>
      <c r="AH53" s="98">
        <v>185.5072463768116</v>
      </c>
      <c r="AI53" s="100">
        <v>0.022000000000000002</v>
      </c>
      <c r="AJ53" s="100">
        <v>0.808571</v>
      </c>
      <c r="AK53" s="100" t="s">
        <v>736</v>
      </c>
      <c r="AL53" s="100">
        <v>0.776864</v>
      </c>
      <c r="AM53" s="100">
        <v>0.543307</v>
      </c>
      <c r="AN53" s="100">
        <v>0.583569</v>
      </c>
      <c r="AO53" s="98">
        <v>1472.463768115942</v>
      </c>
      <c r="AP53" s="158">
        <v>0.7202884674000001</v>
      </c>
      <c r="AQ53" s="100">
        <v>0.14960629921259844</v>
      </c>
      <c r="AR53" s="100">
        <v>0.4634146341463415</v>
      </c>
      <c r="AS53" s="98">
        <v>255.07246376811594</v>
      </c>
      <c r="AT53" s="98">
        <v>197.1014492753623</v>
      </c>
      <c r="AU53" s="98" t="s">
        <v>736</v>
      </c>
      <c r="AV53" s="98">
        <v>324.6376811594203</v>
      </c>
      <c r="AW53" s="98">
        <v>776.8115942028985</v>
      </c>
      <c r="AX53" s="98">
        <v>533.3333333333334</v>
      </c>
      <c r="AY53" s="98">
        <v>1182.608695652174</v>
      </c>
      <c r="AZ53" s="98">
        <v>614.4927536231884</v>
      </c>
      <c r="BA53" s="100" t="s">
        <v>736</v>
      </c>
      <c r="BB53" s="100" t="s">
        <v>736</v>
      </c>
      <c r="BC53" s="100" t="s">
        <v>736</v>
      </c>
      <c r="BD53" s="158">
        <v>0.6004720306</v>
      </c>
      <c r="BE53" s="158">
        <v>0.8570066071</v>
      </c>
      <c r="BF53" s="162">
        <v>1050</v>
      </c>
      <c r="BG53" s="162" t="s">
        <v>736</v>
      </c>
      <c r="BH53" s="162">
        <v>2066</v>
      </c>
      <c r="BI53" s="162">
        <v>889</v>
      </c>
      <c r="BJ53" s="162">
        <v>353</v>
      </c>
      <c r="BK53" s="97"/>
      <c r="BL53" s="97"/>
      <c r="BM53" s="97"/>
      <c r="BN53" s="97"/>
    </row>
    <row r="54" spans="1:66" ht="12.75">
      <c r="A54" s="79" t="s">
        <v>625</v>
      </c>
      <c r="B54" s="79" t="s">
        <v>308</v>
      </c>
      <c r="C54" s="79" t="s">
        <v>216</v>
      </c>
      <c r="D54" s="99">
        <v>17295</v>
      </c>
      <c r="E54" s="99">
        <v>2206</v>
      </c>
      <c r="F54" s="99" t="s">
        <v>440</v>
      </c>
      <c r="G54" s="99">
        <v>69</v>
      </c>
      <c r="H54" s="99">
        <v>39</v>
      </c>
      <c r="I54" s="99">
        <v>230</v>
      </c>
      <c r="J54" s="99">
        <v>1214</v>
      </c>
      <c r="K54" s="99">
        <v>1176</v>
      </c>
      <c r="L54" s="99">
        <v>3351</v>
      </c>
      <c r="M54" s="99">
        <v>740</v>
      </c>
      <c r="N54" s="99">
        <v>347</v>
      </c>
      <c r="O54" s="99">
        <v>244</v>
      </c>
      <c r="P54" s="159">
        <v>244</v>
      </c>
      <c r="Q54" s="99">
        <v>23</v>
      </c>
      <c r="R54" s="99">
        <v>63</v>
      </c>
      <c r="S54" s="99">
        <v>43</v>
      </c>
      <c r="T54" s="99">
        <v>37</v>
      </c>
      <c r="U54" s="99">
        <v>11</v>
      </c>
      <c r="V54" s="99">
        <v>63</v>
      </c>
      <c r="W54" s="99">
        <v>68</v>
      </c>
      <c r="X54" s="99">
        <v>43</v>
      </c>
      <c r="Y54" s="99">
        <v>135</v>
      </c>
      <c r="Z54" s="99">
        <v>96</v>
      </c>
      <c r="AA54" s="99" t="s">
        <v>736</v>
      </c>
      <c r="AB54" s="99" t="s">
        <v>736</v>
      </c>
      <c r="AC54" s="99" t="s">
        <v>736</v>
      </c>
      <c r="AD54" s="98" t="s">
        <v>417</v>
      </c>
      <c r="AE54" s="100">
        <v>0.12755131540907777</v>
      </c>
      <c r="AF54" s="100">
        <v>0.07</v>
      </c>
      <c r="AG54" s="98">
        <v>398.959236773634</v>
      </c>
      <c r="AH54" s="98">
        <v>225.49869904596704</v>
      </c>
      <c r="AI54" s="100">
        <v>0.013000000000000001</v>
      </c>
      <c r="AJ54" s="100">
        <v>0.724344</v>
      </c>
      <c r="AK54" s="100">
        <v>0.716636</v>
      </c>
      <c r="AL54" s="100">
        <v>0.732299</v>
      </c>
      <c r="AM54" s="100">
        <v>0.497312</v>
      </c>
      <c r="AN54" s="100">
        <v>0.552548</v>
      </c>
      <c r="AO54" s="98">
        <v>1410.8123735183578</v>
      </c>
      <c r="AP54" s="158">
        <v>0.8549685669</v>
      </c>
      <c r="AQ54" s="100">
        <v>0.0942622950819672</v>
      </c>
      <c r="AR54" s="100">
        <v>0.36507936507936506</v>
      </c>
      <c r="AS54" s="98">
        <v>248.6267707429893</v>
      </c>
      <c r="AT54" s="98">
        <v>213.9346631974559</v>
      </c>
      <c r="AU54" s="98">
        <v>63.602197166811216</v>
      </c>
      <c r="AV54" s="98">
        <v>364.2671292281006</v>
      </c>
      <c r="AW54" s="98">
        <v>393.17721884937845</v>
      </c>
      <c r="AX54" s="98">
        <v>248.6267707429893</v>
      </c>
      <c r="AY54" s="98">
        <v>780.5724197745013</v>
      </c>
      <c r="AZ54" s="98">
        <v>555.0737207285342</v>
      </c>
      <c r="BA54" s="100" t="s">
        <v>736</v>
      </c>
      <c r="BB54" s="100" t="s">
        <v>736</v>
      </c>
      <c r="BC54" s="100" t="s">
        <v>736</v>
      </c>
      <c r="BD54" s="158">
        <v>0.7510487365999999</v>
      </c>
      <c r="BE54" s="158">
        <v>0.9692476654</v>
      </c>
      <c r="BF54" s="162">
        <v>1676</v>
      </c>
      <c r="BG54" s="162">
        <v>1641</v>
      </c>
      <c r="BH54" s="162">
        <v>4576</v>
      </c>
      <c r="BI54" s="162">
        <v>1488</v>
      </c>
      <c r="BJ54" s="162">
        <v>628</v>
      </c>
      <c r="BK54" s="97"/>
      <c r="BL54" s="97"/>
      <c r="BM54" s="97"/>
      <c r="BN54" s="97"/>
    </row>
    <row r="55" spans="1:66" ht="12.75">
      <c r="A55" s="79" t="s">
        <v>659</v>
      </c>
      <c r="B55" s="79" t="s">
        <v>342</v>
      </c>
      <c r="C55" s="79" t="s">
        <v>216</v>
      </c>
      <c r="D55" s="99">
        <v>11845</v>
      </c>
      <c r="E55" s="99">
        <v>2278</v>
      </c>
      <c r="F55" s="99" t="s">
        <v>440</v>
      </c>
      <c r="G55" s="99">
        <v>56</v>
      </c>
      <c r="H55" s="99">
        <v>28</v>
      </c>
      <c r="I55" s="99">
        <v>197</v>
      </c>
      <c r="J55" s="99">
        <v>1104</v>
      </c>
      <c r="K55" s="99">
        <v>23</v>
      </c>
      <c r="L55" s="99">
        <v>2382</v>
      </c>
      <c r="M55" s="99">
        <v>885</v>
      </c>
      <c r="N55" s="99">
        <v>401</v>
      </c>
      <c r="O55" s="99">
        <v>228</v>
      </c>
      <c r="P55" s="159">
        <v>228</v>
      </c>
      <c r="Q55" s="99">
        <v>28</v>
      </c>
      <c r="R55" s="99">
        <v>55</v>
      </c>
      <c r="S55" s="99">
        <v>64</v>
      </c>
      <c r="T55" s="99">
        <v>36</v>
      </c>
      <c r="U55" s="99">
        <v>20</v>
      </c>
      <c r="V55" s="99">
        <v>25</v>
      </c>
      <c r="W55" s="99">
        <v>73</v>
      </c>
      <c r="X55" s="99">
        <v>25</v>
      </c>
      <c r="Y55" s="99">
        <v>78</v>
      </c>
      <c r="Z55" s="99">
        <v>71</v>
      </c>
      <c r="AA55" s="99" t="s">
        <v>736</v>
      </c>
      <c r="AB55" s="99" t="s">
        <v>736</v>
      </c>
      <c r="AC55" s="99" t="s">
        <v>736</v>
      </c>
      <c r="AD55" s="98" t="s">
        <v>417</v>
      </c>
      <c r="AE55" s="100">
        <v>0.19231743351625158</v>
      </c>
      <c r="AF55" s="100">
        <v>0.05</v>
      </c>
      <c r="AG55" s="98">
        <v>472.77332207682565</v>
      </c>
      <c r="AH55" s="98">
        <v>236.38666103841283</v>
      </c>
      <c r="AI55" s="100">
        <v>0.017</v>
      </c>
      <c r="AJ55" s="100">
        <v>0.669497</v>
      </c>
      <c r="AK55" s="100">
        <v>0.511111</v>
      </c>
      <c r="AL55" s="100">
        <v>0.79005</v>
      </c>
      <c r="AM55" s="100">
        <v>0.579568</v>
      </c>
      <c r="AN55" s="100">
        <v>0.584548</v>
      </c>
      <c r="AO55" s="98">
        <v>1924.8628113127902</v>
      </c>
      <c r="AP55" s="158">
        <v>0.9311596679999999</v>
      </c>
      <c r="AQ55" s="100">
        <v>0.12280701754385964</v>
      </c>
      <c r="AR55" s="100">
        <v>0.509090909090909</v>
      </c>
      <c r="AS55" s="98">
        <v>540.3123680878008</v>
      </c>
      <c r="AT55" s="98">
        <v>303.92570704938794</v>
      </c>
      <c r="AU55" s="98">
        <v>168.84761502743774</v>
      </c>
      <c r="AV55" s="98">
        <v>211.05951878429718</v>
      </c>
      <c r="AW55" s="98">
        <v>616.2937948501477</v>
      </c>
      <c r="AX55" s="98">
        <v>211.05951878429718</v>
      </c>
      <c r="AY55" s="98">
        <v>658.5056986070072</v>
      </c>
      <c r="AZ55" s="98">
        <v>599.4090333474039</v>
      </c>
      <c r="BA55" s="100" t="s">
        <v>736</v>
      </c>
      <c r="BB55" s="100" t="s">
        <v>736</v>
      </c>
      <c r="BC55" s="100" t="s">
        <v>736</v>
      </c>
      <c r="BD55" s="158">
        <v>0.8142069244</v>
      </c>
      <c r="BE55" s="158">
        <v>1.060195236</v>
      </c>
      <c r="BF55" s="162">
        <v>1649</v>
      </c>
      <c r="BG55" s="162">
        <v>45</v>
      </c>
      <c r="BH55" s="162">
        <v>3015</v>
      </c>
      <c r="BI55" s="162">
        <v>1527</v>
      </c>
      <c r="BJ55" s="162">
        <v>686</v>
      </c>
      <c r="BK55" s="97"/>
      <c r="BL55" s="97"/>
      <c r="BM55" s="97"/>
      <c r="BN55" s="97"/>
    </row>
    <row r="56" spans="1:66" ht="12.75">
      <c r="A56" s="79" t="s">
        <v>710</v>
      </c>
      <c r="B56" s="79" t="s">
        <v>397</v>
      </c>
      <c r="C56" s="79" t="s">
        <v>216</v>
      </c>
      <c r="D56" s="99">
        <v>4465</v>
      </c>
      <c r="E56" s="99">
        <v>589</v>
      </c>
      <c r="F56" s="99" t="s">
        <v>440</v>
      </c>
      <c r="G56" s="99">
        <v>14</v>
      </c>
      <c r="H56" s="99">
        <v>13</v>
      </c>
      <c r="I56" s="99">
        <v>58</v>
      </c>
      <c r="J56" s="99">
        <v>364</v>
      </c>
      <c r="K56" s="99">
        <v>14</v>
      </c>
      <c r="L56" s="99">
        <v>947</v>
      </c>
      <c r="M56" s="99">
        <v>268</v>
      </c>
      <c r="N56" s="99">
        <v>121</v>
      </c>
      <c r="O56" s="99">
        <v>58</v>
      </c>
      <c r="P56" s="159">
        <v>58</v>
      </c>
      <c r="Q56" s="99">
        <v>6</v>
      </c>
      <c r="R56" s="99">
        <v>21</v>
      </c>
      <c r="S56" s="99">
        <v>7</v>
      </c>
      <c r="T56" s="99">
        <v>9</v>
      </c>
      <c r="U56" s="99" t="s">
        <v>736</v>
      </c>
      <c r="V56" s="99">
        <v>16</v>
      </c>
      <c r="W56" s="99">
        <v>30</v>
      </c>
      <c r="X56" s="99">
        <v>20</v>
      </c>
      <c r="Y56" s="99">
        <v>55</v>
      </c>
      <c r="Z56" s="99">
        <v>20</v>
      </c>
      <c r="AA56" s="99" t="s">
        <v>736</v>
      </c>
      <c r="AB56" s="99" t="s">
        <v>736</v>
      </c>
      <c r="AC56" s="99" t="s">
        <v>736</v>
      </c>
      <c r="AD56" s="98" t="s">
        <v>417</v>
      </c>
      <c r="AE56" s="100">
        <v>0.13191489361702127</v>
      </c>
      <c r="AF56" s="100">
        <v>0.03</v>
      </c>
      <c r="AG56" s="98">
        <v>313.5498320268757</v>
      </c>
      <c r="AH56" s="98">
        <v>291.15341545352743</v>
      </c>
      <c r="AI56" s="100">
        <v>0.013000000000000001</v>
      </c>
      <c r="AJ56" s="100">
        <v>0.684211</v>
      </c>
      <c r="AK56" s="100">
        <v>0.777778</v>
      </c>
      <c r="AL56" s="100">
        <v>0.79513</v>
      </c>
      <c r="AM56" s="100">
        <v>0.580087</v>
      </c>
      <c r="AN56" s="100">
        <v>0.630208</v>
      </c>
      <c r="AO56" s="98">
        <v>1298.9921612541993</v>
      </c>
      <c r="AP56" s="158">
        <v>0.7657092285</v>
      </c>
      <c r="AQ56" s="100">
        <v>0.10344827586206896</v>
      </c>
      <c r="AR56" s="100">
        <v>0.2857142857142857</v>
      </c>
      <c r="AS56" s="98">
        <v>156.77491601343786</v>
      </c>
      <c r="AT56" s="98">
        <v>201.56774916013438</v>
      </c>
      <c r="AU56" s="98" t="s">
        <v>736</v>
      </c>
      <c r="AV56" s="98">
        <v>358.34266517357224</v>
      </c>
      <c r="AW56" s="98">
        <v>671.8924972004479</v>
      </c>
      <c r="AX56" s="98">
        <v>447.9283314669653</v>
      </c>
      <c r="AY56" s="98">
        <v>1231.8029115341546</v>
      </c>
      <c r="AZ56" s="98">
        <v>447.9283314669653</v>
      </c>
      <c r="BA56" s="100" t="s">
        <v>736</v>
      </c>
      <c r="BB56" s="100" t="s">
        <v>736</v>
      </c>
      <c r="BC56" s="100" t="s">
        <v>736</v>
      </c>
      <c r="BD56" s="158">
        <v>0.5814351273</v>
      </c>
      <c r="BE56" s="158">
        <v>0.9898567199999999</v>
      </c>
      <c r="BF56" s="162">
        <v>532</v>
      </c>
      <c r="BG56" s="162">
        <v>18</v>
      </c>
      <c r="BH56" s="162">
        <v>1191</v>
      </c>
      <c r="BI56" s="162">
        <v>462</v>
      </c>
      <c r="BJ56" s="162">
        <v>192</v>
      </c>
      <c r="BK56" s="97"/>
      <c r="BL56" s="97"/>
      <c r="BM56" s="97"/>
      <c r="BN56" s="97"/>
    </row>
    <row r="57" spans="1:66" ht="12.75">
      <c r="A57" s="79" t="s">
        <v>654</v>
      </c>
      <c r="B57" s="79" t="s">
        <v>337</v>
      </c>
      <c r="C57" s="79" t="s">
        <v>216</v>
      </c>
      <c r="D57" s="99">
        <v>7918</v>
      </c>
      <c r="E57" s="99">
        <v>1876</v>
      </c>
      <c r="F57" s="99" t="s">
        <v>438</v>
      </c>
      <c r="G57" s="99">
        <v>43</v>
      </c>
      <c r="H57" s="99">
        <v>38</v>
      </c>
      <c r="I57" s="99">
        <v>175</v>
      </c>
      <c r="J57" s="99">
        <v>606</v>
      </c>
      <c r="K57" s="99">
        <v>8</v>
      </c>
      <c r="L57" s="99">
        <v>1477</v>
      </c>
      <c r="M57" s="99">
        <v>452</v>
      </c>
      <c r="N57" s="99">
        <v>201</v>
      </c>
      <c r="O57" s="99">
        <v>219</v>
      </c>
      <c r="P57" s="159">
        <v>219</v>
      </c>
      <c r="Q57" s="99">
        <v>21</v>
      </c>
      <c r="R57" s="99">
        <v>49</v>
      </c>
      <c r="S57" s="99">
        <v>28</v>
      </c>
      <c r="T57" s="99">
        <v>54</v>
      </c>
      <c r="U57" s="99">
        <v>8</v>
      </c>
      <c r="V57" s="99">
        <v>40</v>
      </c>
      <c r="W57" s="99">
        <v>41</v>
      </c>
      <c r="X57" s="99">
        <v>40</v>
      </c>
      <c r="Y57" s="99">
        <v>109</v>
      </c>
      <c r="Z57" s="99">
        <v>66</v>
      </c>
      <c r="AA57" s="99" t="s">
        <v>736</v>
      </c>
      <c r="AB57" s="99" t="s">
        <v>736</v>
      </c>
      <c r="AC57" s="99" t="s">
        <v>736</v>
      </c>
      <c r="AD57" s="98" t="s">
        <v>417</v>
      </c>
      <c r="AE57" s="100">
        <v>0.23692851730234907</v>
      </c>
      <c r="AF57" s="100">
        <v>0.09</v>
      </c>
      <c r="AG57" s="98">
        <v>543.0664309168982</v>
      </c>
      <c r="AH57" s="98">
        <v>479.91917150795655</v>
      </c>
      <c r="AI57" s="100">
        <v>0.022000000000000002</v>
      </c>
      <c r="AJ57" s="100">
        <v>0.649518</v>
      </c>
      <c r="AK57" s="100">
        <v>0.421053</v>
      </c>
      <c r="AL57" s="100">
        <v>0.799675</v>
      </c>
      <c r="AM57" s="100">
        <v>0.531765</v>
      </c>
      <c r="AN57" s="100">
        <v>0.582609</v>
      </c>
      <c r="AO57" s="98">
        <v>2765.8499621116443</v>
      </c>
      <c r="AP57" s="158">
        <v>1.274506607</v>
      </c>
      <c r="AQ57" s="100">
        <v>0.0958904109589041</v>
      </c>
      <c r="AR57" s="100">
        <v>0.42857142857142855</v>
      </c>
      <c r="AS57" s="98">
        <v>353.6246526900733</v>
      </c>
      <c r="AT57" s="98">
        <v>681.9904016165699</v>
      </c>
      <c r="AU57" s="98">
        <v>101.03561505430665</v>
      </c>
      <c r="AV57" s="98">
        <v>505.1780752715332</v>
      </c>
      <c r="AW57" s="98">
        <v>517.8075271533215</v>
      </c>
      <c r="AX57" s="98">
        <v>505.1780752715332</v>
      </c>
      <c r="AY57" s="98">
        <v>1376.6102551149281</v>
      </c>
      <c r="AZ57" s="98">
        <v>833.5438241980298</v>
      </c>
      <c r="BA57" s="100" t="s">
        <v>736</v>
      </c>
      <c r="BB57" s="100" t="s">
        <v>736</v>
      </c>
      <c r="BC57" s="100" t="s">
        <v>736</v>
      </c>
      <c r="BD57" s="158">
        <v>1.111286163</v>
      </c>
      <c r="BE57" s="158">
        <v>1.4549523930000001</v>
      </c>
      <c r="BF57" s="162">
        <v>933</v>
      </c>
      <c r="BG57" s="162">
        <v>19</v>
      </c>
      <c r="BH57" s="162">
        <v>1847</v>
      </c>
      <c r="BI57" s="162">
        <v>850</v>
      </c>
      <c r="BJ57" s="162">
        <v>345</v>
      </c>
      <c r="BK57" s="97"/>
      <c r="BL57" s="97"/>
      <c r="BM57" s="97"/>
      <c r="BN57" s="97"/>
    </row>
    <row r="58" spans="1:66" ht="12.75">
      <c r="A58" s="79" t="s">
        <v>651</v>
      </c>
      <c r="B58" s="79" t="s">
        <v>334</v>
      </c>
      <c r="C58" s="79" t="s">
        <v>216</v>
      </c>
      <c r="D58" s="99">
        <v>11312</v>
      </c>
      <c r="E58" s="99">
        <v>1463</v>
      </c>
      <c r="F58" s="99" t="s">
        <v>440</v>
      </c>
      <c r="G58" s="99">
        <v>54</v>
      </c>
      <c r="H58" s="99">
        <v>26</v>
      </c>
      <c r="I58" s="99">
        <v>142</v>
      </c>
      <c r="J58" s="99">
        <v>869</v>
      </c>
      <c r="K58" s="99">
        <v>775</v>
      </c>
      <c r="L58" s="99">
        <v>2250</v>
      </c>
      <c r="M58" s="99">
        <v>455</v>
      </c>
      <c r="N58" s="99">
        <v>186</v>
      </c>
      <c r="O58" s="99">
        <v>219</v>
      </c>
      <c r="P58" s="159">
        <v>219</v>
      </c>
      <c r="Q58" s="99">
        <v>26</v>
      </c>
      <c r="R58" s="99">
        <v>52</v>
      </c>
      <c r="S58" s="99">
        <v>47</v>
      </c>
      <c r="T58" s="99">
        <v>31</v>
      </c>
      <c r="U58" s="99" t="s">
        <v>736</v>
      </c>
      <c r="V58" s="99">
        <v>37</v>
      </c>
      <c r="W58" s="99">
        <v>48</v>
      </c>
      <c r="X58" s="99">
        <v>36</v>
      </c>
      <c r="Y58" s="99">
        <v>96</v>
      </c>
      <c r="Z58" s="99">
        <v>69</v>
      </c>
      <c r="AA58" s="99" t="s">
        <v>736</v>
      </c>
      <c r="AB58" s="99" t="s">
        <v>736</v>
      </c>
      <c r="AC58" s="99" t="s">
        <v>736</v>
      </c>
      <c r="AD58" s="98" t="s">
        <v>417</v>
      </c>
      <c r="AE58" s="100">
        <v>0.12933168316831684</v>
      </c>
      <c r="AF58" s="100">
        <v>0.08</v>
      </c>
      <c r="AG58" s="98">
        <v>477.36916548797734</v>
      </c>
      <c r="AH58" s="98">
        <v>229.84441301272983</v>
      </c>
      <c r="AI58" s="100">
        <v>0.013000000000000001</v>
      </c>
      <c r="AJ58" s="100">
        <v>0.77451</v>
      </c>
      <c r="AK58" s="100">
        <v>0.715605</v>
      </c>
      <c r="AL58" s="100">
        <v>0.738189</v>
      </c>
      <c r="AM58" s="100">
        <v>0.514706</v>
      </c>
      <c r="AN58" s="100">
        <v>0.522472</v>
      </c>
      <c r="AO58" s="98">
        <v>1935.997171145686</v>
      </c>
      <c r="AP58" s="158">
        <v>1.1475532529999999</v>
      </c>
      <c r="AQ58" s="100">
        <v>0.1187214611872146</v>
      </c>
      <c r="AR58" s="100">
        <v>0.5</v>
      </c>
      <c r="AS58" s="98">
        <v>415.4879773691655</v>
      </c>
      <c r="AT58" s="98">
        <v>274.04526166902406</v>
      </c>
      <c r="AU58" s="98" t="s">
        <v>736</v>
      </c>
      <c r="AV58" s="98">
        <v>327.0862800565771</v>
      </c>
      <c r="AW58" s="98">
        <v>424.3281471004243</v>
      </c>
      <c r="AX58" s="98">
        <v>318.2461103253182</v>
      </c>
      <c r="AY58" s="98">
        <v>848.6562942008486</v>
      </c>
      <c r="AZ58" s="98">
        <v>609.97171145686</v>
      </c>
      <c r="BA58" s="100" t="s">
        <v>736</v>
      </c>
      <c r="BB58" s="100" t="s">
        <v>736</v>
      </c>
      <c r="BC58" s="100" t="s">
        <v>736</v>
      </c>
      <c r="BD58" s="158">
        <v>1.000591125</v>
      </c>
      <c r="BE58" s="158">
        <v>1.3100248719999998</v>
      </c>
      <c r="BF58" s="162">
        <v>1122</v>
      </c>
      <c r="BG58" s="162">
        <v>1083</v>
      </c>
      <c r="BH58" s="162">
        <v>3048</v>
      </c>
      <c r="BI58" s="162">
        <v>884</v>
      </c>
      <c r="BJ58" s="162">
        <v>356</v>
      </c>
      <c r="BK58" s="97"/>
      <c r="BL58" s="97"/>
      <c r="BM58" s="97"/>
      <c r="BN58" s="97"/>
    </row>
    <row r="59" spans="1:66" ht="12.75">
      <c r="A59" s="79" t="s">
        <v>689</v>
      </c>
      <c r="B59" s="79" t="s">
        <v>376</v>
      </c>
      <c r="C59" s="79" t="s">
        <v>216</v>
      </c>
      <c r="D59" s="99">
        <v>5649</v>
      </c>
      <c r="E59" s="99">
        <v>1062</v>
      </c>
      <c r="F59" s="99" t="s">
        <v>440</v>
      </c>
      <c r="G59" s="99">
        <v>25</v>
      </c>
      <c r="H59" s="99">
        <v>14</v>
      </c>
      <c r="I59" s="99">
        <v>136</v>
      </c>
      <c r="J59" s="99">
        <v>522</v>
      </c>
      <c r="K59" s="99" t="s">
        <v>736</v>
      </c>
      <c r="L59" s="99">
        <v>1055</v>
      </c>
      <c r="M59" s="99">
        <v>360</v>
      </c>
      <c r="N59" s="99">
        <v>175</v>
      </c>
      <c r="O59" s="99">
        <v>93</v>
      </c>
      <c r="P59" s="159">
        <v>93</v>
      </c>
      <c r="Q59" s="99">
        <v>9</v>
      </c>
      <c r="R59" s="99">
        <v>23</v>
      </c>
      <c r="S59" s="99">
        <v>8</v>
      </c>
      <c r="T59" s="99">
        <v>19</v>
      </c>
      <c r="U59" s="99" t="s">
        <v>736</v>
      </c>
      <c r="V59" s="99">
        <v>24</v>
      </c>
      <c r="W59" s="99">
        <v>33</v>
      </c>
      <c r="X59" s="99">
        <v>21</v>
      </c>
      <c r="Y59" s="99">
        <v>55</v>
      </c>
      <c r="Z59" s="99">
        <v>28</v>
      </c>
      <c r="AA59" s="99" t="s">
        <v>736</v>
      </c>
      <c r="AB59" s="99" t="s">
        <v>736</v>
      </c>
      <c r="AC59" s="99" t="s">
        <v>736</v>
      </c>
      <c r="AD59" s="98" t="s">
        <v>417</v>
      </c>
      <c r="AE59" s="100">
        <v>0.18799787573021773</v>
      </c>
      <c r="AF59" s="100">
        <v>0.04</v>
      </c>
      <c r="AG59" s="98">
        <v>442.556204637989</v>
      </c>
      <c r="AH59" s="98">
        <v>247.83147459727385</v>
      </c>
      <c r="AI59" s="100">
        <v>0.024</v>
      </c>
      <c r="AJ59" s="100">
        <v>0.769912</v>
      </c>
      <c r="AK59" s="100" t="s">
        <v>736</v>
      </c>
      <c r="AL59" s="100">
        <v>0.837302</v>
      </c>
      <c r="AM59" s="100">
        <v>0.619621</v>
      </c>
      <c r="AN59" s="100">
        <v>0.683594</v>
      </c>
      <c r="AO59" s="98">
        <v>1646.3090812533192</v>
      </c>
      <c r="AP59" s="158">
        <v>0.8416835022</v>
      </c>
      <c r="AQ59" s="100">
        <v>0.0967741935483871</v>
      </c>
      <c r="AR59" s="100">
        <v>0.391304347826087</v>
      </c>
      <c r="AS59" s="98">
        <v>141.6179854841565</v>
      </c>
      <c r="AT59" s="98">
        <v>336.34271552487166</v>
      </c>
      <c r="AU59" s="98" t="s">
        <v>736</v>
      </c>
      <c r="AV59" s="98">
        <v>424.85395645246945</v>
      </c>
      <c r="AW59" s="98">
        <v>584.1741901221455</v>
      </c>
      <c r="AX59" s="98">
        <v>371.74721189591077</v>
      </c>
      <c r="AY59" s="98">
        <v>973.6236502035758</v>
      </c>
      <c r="AZ59" s="98">
        <v>495.6629491945477</v>
      </c>
      <c r="BA59" s="100" t="s">
        <v>736</v>
      </c>
      <c r="BB59" s="100" t="s">
        <v>736</v>
      </c>
      <c r="BC59" s="100" t="s">
        <v>736</v>
      </c>
      <c r="BD59" s="158">
        <v>0.679347229</v>
      </c>
      <c r="BE59" s="158">
        <v>1.031119156</v>
      </c>
      <c r="BF59" s="162">
        <v>678</v>
      </c>
      <c r="BG59" s="162" t="s">
        <v>736</v>
      </c>
      <c r="BH59" s="162">
        <v>1260</v>
      </c>
      <c r="BI59" s="162">
        <v>581</v>
      </c>
      <c r="BJ59" s="162">
        <v>256</v>
      </c>
      <c r="BK59" s="97"/>
      <c r="BL59" s="97"/>
      <c r="BM59" s="97"/>
      <c r="BN59" s="97"/>
    </row>
    <row r="60" spans="1:66" ht="12.75">
      <c r="A60" s="79" t="s">
        <v>640</v>
      </c>
      <c r="B60" s="79" t="s">
        <v>323</v>
      </c>
      <c r="C60" s="79" t="s">
        <v>216</v>
      </c>
      <c r="D60" s="99">
        <v>8390</v>
      </c>
      <c r="E60" s="99">
        <v>881</v>
      </c>
      <c r="F60" s="99" t="s">
        <v>440</v>
      </c>
      <c r="G60" s="99">
        <v>13</v>
      </c>
      <c r="H60" s="99">
        <v>16</v>
      </c>
      <c r="I60" s="99">
        <v>114</v>
      </c>
      <c r="J60" s="99">
        <v>539</v>
      </c>
      <c r="K60" s="99">
        <v>8</v>
      </c>
      <c r="L60" s="99">
        <v>1731</v>
      </c>
      <c r="M60" s="99">
        <v>346</v>
      </c>
      <c r="N60" s="99">
        <v>150</v>
      </c>
      <c r="O60" s="99">
        <v>131</v>
      </c>
      <c r="P60" s="159">
        <v>131</v>
      </c>
      <c r="Q60" s="99">
        <v>9</v>
      </c>
      <c r="R60" s="99">
        <v>24</v>
      </c>
      <c r="S60" s="99">
        <v>28</v>
      </c>
      <c r="T60" s="99">
        <v>15</v>
      </c>
      <c r="U60" s="99" t="s">
        <v>736</v>
      </c>
      <c r="V60" s="99">
        <v>44</v>
      </c>
      <c r="W60" s="99">
        <v>40</v>
      </c>
      <c r="X60" s="99">
        <v>25</v>
      </c>
      <c r="Y60" s="99">
        <v>65</v>
      </c>
      <c r="Z60" s="99">
        <v>48</v>
      </c>
      <c r="AA60" s="99" t="s">
        <v>736</v>
      </c>
      <c r="AB60" s="99" t="s">
        <v>736</v>
      </c>
      <c r="AC60" s="99" t="s">
        <v>736</v>
      </c>
      <c r="AD60" s="98" t="s">
        <v>417</v>
      </c>
      <c r="AE60" s="100">
        <v>0.10500595947556615</v>
      </c>
      <c r="AF60" s="100">
        <v>0.07</v>
      </c>
      <c r="AG60" s="98">
        <v>154.94636471990464</v>
      </c>
      <c r="AH60" s="98">
        <v>190.70321811680571</v>
      </c>
      <c r="AI60" s="100">
        <v>0.013999999999999999</v>
      </c>
      <c r="AJ60" s="100">
        <v>0.735334</v>
      </c>
      <c r="AK60" s="100">
        <v>0.32</v>
      </c>
      <c r="AL60" s="100">
        <v>0.772423</v>
      </c>
      <c r="AM60" s="100">
        <v>0.544882</v>
      </c>
      <c r="AN60" s="100">
        <v>0.537634</v>
      </c>
      <c r="AO60" s="98">
        <v>1561.3825983313468</v>
      </c>
      <c r="AP60" s="158">
        <v>1.045016708</v>
      </c>
      <c r="AQ60" s="100">
        <v>0.06870229007633588</v>
      </c>
      <c r="AR60" s="100">
        <v>0.375</v>
      </c>
      <c r="AS60" s="98">
        <v>333.73063170441003</v>
      </c>
      <c r="AT60" s="98">
        <v>178.78426698450536</v>
      </c>
      <c r="AU60" s="98" t="s">
        <v>736</v>
      </c>
      <c r="AV60" s="98">
        <v>524.4338498212157</v>
      </c>
      <c r="AW60" s="98">
        <v>476.7580452920143</v>
      </c>
      <c r="AX60" s="98">
        <v>297.97377830750895</v>
      </c>
      <c r="AY60" s="98">
        <v>774.7318235995233</v>
      </c>
      <c r="AZ60" s="98">
        <v>572.1096543504171</v>
      </c>
      <c r="BA60" s="100" t="s">
        <v>736</v>
      </c>
      <c r="BB60" s="100" t="s">
        <v>736</v>
      </c>
      <c r="BC60" s="100" t="s">
        <v>736</v>
      </c>
      <c r="BD60" s="158">
        <v>0.8737361908</v>
      </c>
      <c r="BE60" s="158">
        <v>1.240059586</v>
      </c>
      <c r="BF60" s="162">
        <v>733</v>
      </c>
      <c r="BG60" s="162">
        <v>25</v>
      </c>
      <c r="BH60" s="162">
        <v>2241</v>
      </c>
      <c r="BI60" s="162">
        <v>635</v>
      </c>
      <c r="BJ60" s="162">
        <v>279</v>
      </c>
      <c r="BK60" s="97"/>
      <c r="BL60" s="97"/>
      <c r="BM60" s="97"/>
      <c r="BN60" s="97"/>
    </row>
    <row r="61" spans="1:66" ht="12.75">
      <c r="A61" s="79" t="s">
        <v>695</v>
      </c>
      <c r="B61" s="79" t="s">
        <v>382</v>
      </c>
      <c r="C61" s="79" t="s">
        <v>216</v>
      </c>
      <c r="D61" s="99">
        <v>4385</v>
      </c>
      <c r="E61" s="99">
        <v>633</v>
      </c>
      <c r="F61" s="99" t="s">
        <v>440</v>
      </c>
      <c r="G61" s="99">
        <v>17</v>
      </c>
      <c r="H61" s="99">
        <v>10</v>
      </c>
      <c r="I61" s="99">
        <v>45</v>
      </c>
      <c r="J61" s="99">
        <v>343</v>
      </c>
      <c r="K61" s="99">
        <v>19</v>
      </c>
      <c r="L61" s="99">
        <v>872</v>
      </c>
      <c r="M61" s="99">
        <v>226</v>
      </c>
      <c r="N61" s="99">
        <v>118</v>
      </c>
      <c r="O61" s="99">
        <v>26</v>
      </c>
      <c r="P61" s="159">
        <v>26</v>
      </c>
      <c r="Q61" s="99">
        <v>11</v>
      </c>
      <c r="R61" s="99">
        <v>23</v>
      </c>
      <c r="S61" s="99">
        <v>6</v>
      </c>
      <c r="T61" s="99" t="s">
        <v>736</v>
      </c>
      <c r="U61" s="99" t="s">
        <v>736</v>
      </c>
      <c r="V61" s="99" t="s">
        <v>736</v>
      </c>
      <c r="W61" s="99">
        <v>12</v>
      </c>
      <c r="X61" s="99">
        <v>8</v>
      </c>
      <c r="Y61" s="99">
        <v>27</v>
      </c>
      <c r="Z61" s="99">
        <v>16</v>
      </c>
      <c r="AA61" s="99" t="s">
        <v>736</v>
      </c>
      <c r="AB61" s="99" t="s">
        <v>736</v>
      </c>
      <c r="AC61" s="99" t="s">
        <v>736</v>
      </c>
      <c r="AD61" s="98" t="s">
        <v>417</v>
      </c>
      <c r="AE61" s="100">
        <v>0.1443557582668187</v>
      </c>
      <c r="AF61" s="100">
        <v>0.08</v>
      </c>
      <c r="AG61" s="98">
        <v>387.68529076396806</v>
      </c>
      <c r="AH61" s="98">
        <v>228.05017103762827</v>
      </c>
      <c r="AI61" s="100">
        <v>0.01</v>
      </c>
      <c r="AJ61" s="100">
        <v>0.69574</v>
      </c>
      <c r="AK61" s="100">
        <v>0.791667</v>
      </c>
      <c r="AL61" s="100">
        <v>0.797804</v>
      </c>
      <c r="AM61" s="100">
        <v>0.523148</v>
      </c>
      <c r="AN61" s="100">
        <v>0.578431</v>
      </c>
      <c r="AO61" s="98">
        <v>592.9304446978335</v>
      </c>
      <c r="AP61" s="158">
        <v>0.329660759</v>
      </c>
      <c r="AQ61" s="100">
        <v>0.4230769230769231</v>
      </c>
      <c r="AR61" s="100">
        <v>0.4782608695652174</v>
      </c>
      <c r="AS61" s="98">
        <v>136.83010262257696</v>
      </c>
      <c r="AT61" s="98" t="s">
        <v>736</v>
      </c>
      <c r="AU61" s="98" t="s">
        <v>736</v>
      </c>
      <c r="AV61" s="98" t="s">
        <v>736</v>
      </c>
      <c r="AW61" s="98">
        <v>273.6602052451539</v>
      </c>
      <c r="AX61" s="98">
        <v>182.44013683010263</v>
      </c>
      <c r="AY61" s="98">
        <v>615.7354618015963</v>
      </c>
      <c r="AZ61" s="98">
        <v>364.88027366020526</v>
      </c>
      <c r="BA61" s="100" t="s">
        <v>736</v>
      </c>
      <c r="BB61" s="100" t="s">
        <v>736</v>
      </c>
      <c r="BC61" s="100" t="s">
        <v>736</v>
      </c>
      <c r="BD61" s="158">
        <v>0.21534534449999998</v>
      </c>
      <c r="BE61" s="158">
        <v>0.4830294037</v>
      </c>
      <c r="BF61" s="162">
        <v>493</v>
      </c>
      <c r="BG61" s="162">
        <v>24</v>
      </c>
      <c r="BH61" s="162">
        <v>1093</v>
      </c>
      <c r="BI61" s="162">
        <v>432</v>
      </c>
      <c r="BJ61" s="162">
        <v>204</v>
      </c>
      <c r="BK61" s="97"/>
      <c r="BL61" s="97"/>
      <c r="BM61" s="97"/>
      <c r="BN61" s="97"/>
    </row>
    <row r="62" spans="1:66" ht="12.75">
      <c r="A62" s="79" t="s">
        <v>713</v>
      </c>
      <c r="B62" s="79" t="s">
        <v>400</v>
      </c>
      <c r="C62" s="79" t="s">
        <v>216</v>
      </c>
      <c r="D62" s="99">
        <v>2431</v>
      </c>
      <c r="E62" s="99">
        <v>483</v>
      </c>
      <c r="F62" s="99" t="s">
        <v>440</v>
      </c>
      <c r="G62" s="99">
        <v>6</v>
      </c>
      <c r="H62" s="99" t="s">
        <v>736</v>
      </c>
      <c r="I62" s="99">
        <v>39</v>
      </c>
      <c r="J62" s="99">
        <v>249</v>
      </c>
      <c r="K62" s="99">
        <v>243</v>
      </c>
      <c r="L62" s="99">
        <v>430</v>
      </c>
      <c r="M62" s="99">
        <v>148</v>
      </c>
      <c r="N62" s="99">
        <v>72</v>
      </c>
      <c r="O62" s="99">
        <v>18</v>
      </c>
      <c r="P62" s="159">
        <v>18</v>
      </c>
      <c r="Q62" s="99" t="s">
        <v>736</v>
      </c>
      <c r="R62" s="99">
        <v>14</v>
      </c>
      <c r="S62" s="99" t="s">
        <v>736</v>
      </c>
      <c r="T62" s="99" t="s">
        <v>736</v>
      </c>
      <c r="U62" s="99" t="s">
        <v>736</v>
      </c>
      <c r="V62" s="99" t="s">
        <v>736</v>
      </c>
      <c r="W62" s="99">
        <v>20</v>
      </c>
      <c r="X62" s="99">
        <v>8</v>
      </c>
      <c r="Y62" s="99">
        <v>31</v>
      </c>
      <c r="Z62" s="99">
        <v>12</v>
      </c>
      <c r="AA62" s="99" t="s">
        <v>736</v>
      </c>
      <c r="AB62" s="99" t="s">
        <v>736</v>
      </c>
      <c r="AC62" s="99" t="s">
        <v>736</v>
      </c>
      <c r="AD62" s="98" t="s">
        <v>417</v>
      </c>
      <c r="AE62" s="100">
        <v>0.19868366927190456</v>
      </c>
      <c r="AF62" s="100">
        <v>0.08</v>
      </c>
      <c r="AG62" s="98">
        <v>246.81201151789386</v>
      </c>
      <c r="AH62" s="98" t="s">
        <v>736</v>
      </c>
      <c r="AI62" s="100">
        <v>0.016</v>
      </c>
      <c r="AJ62" s="100">
        <v>0.736686</v>
      </c>
      <c r="AK62" s="100">
        <v>0.743119</v>
      </c>
      <c r="AL62" s="100">
        <v>0.766488</v>
      </c>
      <c r="AM62" s="100">
        <v>0.453988</v>
      </c>
      <c r="AN62" s="100">
        <v>0.510638</v>
      </c>
      <c r="AO62" s="98">
        <v>740.4360345536816</v>
      </c>
      <c r="AP62" s="158">
        <v>0.353975029</v>
      </c>
      <c r="AQ62" s="100" t="s">
        <v>736</v>
      </c>
      <c r="AR62" s="100" t="s">
        <v>736</v>
      </c>
      <c r="AS62" s="98" t="s">
        <v>736</v>
      </c>
      <c r="AT62" s="98" t="s">
        <v>736</v>
      </c>
      <c r="AU62" s="98" t="s">
        <v>736</v>
      </c>
      <c r="AV62" s="98" t="s">
        <v>736</v>
      </c>
      <c r="AW62" s="98">
        <v>822.7067050596462</v>
      </c>
      <c r="AX62" s="98">
        <v>329.08268202385847</v>
      </c>
      <c r="AY62" s="98">
        <v>1275.1953928424516</v>
      </c>
      <c r="AZ62" s="98">
        <v>493.62402303578773</v>
      </c>
      <c r="BA62" s="100" t="s">
        <v>736</v>
      </c>
      <c r="BB62" s="100" t="s">
        <v>736</v>
      </c>
      <c r="BC62" s="100" t="s">
        <v>736</v>
      </c>
      <c r="BD62" s="158">
        <v>0.2097880363</v>
      </c>
      <c r="BE62" s="158">
        <v>0.559433136</v>
      </c>
      <c r="BF62" s="162">
        <v>338</v>
      </c>
      <c r="BG62" s="162">
        <v>327</v>
      </c>
      <c r="BH62" s="162">
        <v>561</v>
      </c>
      <c r="BI62" s="162">
        <v>326</v>
      </c>
      <c r="BJ62" s="162">
        <v>141</v>
      </c>
      <c r="BK62" s="97"/>
      <c r="BL62" s="97"/>
      <c r="BM62" s="97"/>
      <c r="BN62" s="97"/>
    </row>
    <row r="63" spans="1:66" ht="12.75">
      <c r="A63" s="79" t="s">
        <v>601</v>
      </c>
      <c r="B63" s="79" t="s">
        <v>282</v>
      </c>
      <c r="C63" s="79" t="s">
        <v>216</v>
      </c>
      <c r="D63" s="99">
        <v>7020</v>
      </c>
      <c r="E63" s="99">
        <v>1065</v>
      </c>
      <c r="F63" s="99" t="s">
        <v>440</v>
      </c>
      <c r="G63" s="99">
        <v>37</v>
      </c>
      <c r="H63" s="99">
        <v>16</v>
      </c>
      <c r="I63" s="99">
        <v>98</v>
      </c>
      <c r="J63" s="99">
        <v>537</v>
      </c>
      <c r="K63" s="99">
        <v>33</v>
      </c>
      <c r="L63" s="99">
        <v>1352</v>
      </c>
      <c r="M63" s="99">
        <v>339</v>
      </c>
      <c r="N63" s="99">
        <v>166</v>
      </c>
      <c r="O63" s="99">
        <v>80</v>
      </c>
      <c r="P63" s="159">
        <v>80</v>
      </c>
      <c r="Q63" s="99">
        <v>10</v>
      </c>
      <c r="R63" s="99">
        <v>19</v>
      </c>
      <c r="S63" s="99">
        <v>20</v>
      </c>
      <c r="T63" s="99">
        <v>10</v>
      </c>
      <c r="U63" s="99" t="s">
        <v>736</v>
      </c>
      <c r="V63" s="99">
        <v>14</v>
      </c>
      <c r="W63" s="99">
        <v>42</v>
      </c>
      <c r="X63" s="99">
        <v>16</v>
      </c>
      <c r="Y63" s="99">
        <v>80</v>
      </c>
      <c r="Z63" s="99">
        <v>33</v>
      </c>
      <c r="AA63" s="99" t="s">
        <v>736</v>
      </c>
      <c r="AB63" s="99" t="s">
        <v>736</v>
      </c>
      <c r="AC63" s="99" t="s">
        <v>736</v>
      </c>
      <c r="AD63" s="98" t="s">
        <v>417</v>
      </c>
      <c r="AE63" s="100">
        <v>0.1517094017094017</v>
      </c>
      <c r="AF63" s="100">
        <v>0.08</v>
      </c>
      <c r="AG63" s="98">
        <v>527.065527065527</v>
      </c>
      <c r="AH63" s="98">
        <v>227.92022792022792</v>
      </c>
      <c r="AI63" s="100">
        <v>0.013999999999999999</v>
      </c>
      <c r="AJ63" s="100">
        <v>0.745833</v>
      </c>
      <c r="AK63" s="100">
        <v>0.785714</v>
      </c>
      <c r="AL63" s="100">
        <v>0.730022</v>
      </c>
      <c r="AM63" s="100">
        <v>0.509774</v>
      </c>
      <c r="AN63" s="100">
        <v>0.558923</v>
      </c>
      <c r="AO63" s="98">
        <v>1139.6011396011395</v>
      </c>
      <c r="AP63" s="158">
        <v>0.6419116974000001</v>
      </c>
      <c r="AQ63" s="100">
        <v>0.125</v>
      </c>
      <c r="AR63" s="100">
        <v>0.5263157894736842</v>
      </c>
      <c r="AS63" s="98">
        <v>284.9002849002849</v>
      </c>
      <c r="AT63" s="98">
        <v>142.45014245014244</v>
      </c>
      <c r="AU63" s="98" t="s">
        <v>736</v>
      </c>
      <c r="AV63" s="98">
        <v>199.43019943019942</v>
      </c>
      <c r="AW63" s="98">
        <v>598.2905982905983</v>
      </c>
      <c r="AX63" s="98">
        <v>227.92022792022792</v>
      </c>
      <c r="AY63" s="98">
        <v>1139.6011396011395</v>
      </c>
      <c r="AZ63" s="98">
        <v>470.0854700854701</v>
      </c>
      <c r="BA63" s="100" t="s">
        <v>736</v>
      </c>
      <c r="BB63" s="100" t="s">
        <v>736</v>
      </c>
      <c r="BC63" s="100" t="s">
        <v>736</v>
      </c>
      <c r="BD63" s="158">
        <v>0.508996048</v>
      </c>
      <c r="BE63" s="158">
        <v>0.7989147186</v>
      </c>
      <c r="BF63" s="162">
        <v>720</v>
      </c>
      <c r="BG63" s="162">
        <v>42</v>
      </c>
      <c r="BH63" s="162">
        <v>1852</v>
      </c>
      <c r="BI63" s="162">
        <v>665</v>
      </c>
      <c r="BJ63" s="162">
        <v>297</v>
      </c>
      <c r="BK63" s="97"/>
      <c r="BL63" s="97"/>
      <c r="BM63" s="97"/>
      <c r="BN63" s="97"/>
    </row>
    <row r="64" spans="1:66" ht="12.75">
      <c r="A64" s="79" t="s">
        <v>727</v>
      </c>
      <c r="B64" s="79" t="s">
        <v>414</v>
      </c>
      <c r="C64" s="79" t="s">
        <v>216</v>
      </c>
      <c r="D64" s="99">
        <v>3622</v>
      </c>
      <c r="E64" s="99">
        <v>699</v>
      </c>
      <c r="F64" s="99" t="s">
        <v>440</v>
      </c>
      <c r="G64" s="99">
        <v>22</v>
      </c>
      <c r="H64" s="99">
        <v>17</v>
      </c>
      <c r="I64" s="99">
        <v>67</v>
      </c>
      <c r="J64" s="99">
        <v>324</v>
      </c>
      <c r="K64" s="99">
        <v>275</v>
      </c>
      <c r="L64" s="99">
        <v>674</v>
      </c>
      <c r="M64" s="99">
        <v>186</v>
      </c>
      <c r="N64" s="99">
        <v>70</v>
      </c>
      <c r="O64" s="99">
        <v>70</v>
      </c>
      <c r="P64" s="159">
        <v>70</v>
      </c>
      <c r="Q64" s="99">
        <v>6</v>
      </c>
      <c r="R64" s="99">
        <v>15</v>
      </c>
      <c r="S64" s="99">
        <v>11</v>
      </c>
      <c r="T64" s="99">
        <v>12</v>
      </c>
      <c r="U64" s="99" t="s">
        <v>736</v>
      </c>
      <c r="V64" s="99">
        <v>18</v>
      </c>
      <c r="W64" s="99">
        <v>25</v>
      </c>
      <c r="X64" s="99">
        <v>6</v>
      </c>
      <c r="Y64" s="99">
        <v>21</v>
      </c>
      <c r="Z64" s="99">
        <v>20</v>
      </c>
      <c r="AA64" s="99" t="s">
        <v>736</v>
      </c>
      <c r="AB64" s="99" t="s">
        <v>736</v>
      </c>
      <c r="AC64" s="99" t="s">
        <v>736</v>
      </c>
      <c r="AD64" s="98" t="s">
        <v>417</v>
      </c>
      <c r="AE64" s="100">
        <v>0.19298729983434568</v>
      </c>
      <c r="AF64" s="100">
        <v>0.04</v>
      </c>
      <c r="AG64" s="98">
        <v>607.3992269464384</v>
      </c>
      <c r="AH64" s="98">
        <v>469.3539480949751</v>
      </c>
      <c r="AI64" s="100">
        <v>0.018000000000000002</v>
      </c>
      <c r="AJ64" s="100">
        <v>0.699784</v>
      </c>
      <c r="AK64" s="100">
        <v>0.667476</v>
      </c>
      <c r="AL64" s="100">
        <v>0.715499</v>
      </c>
      <c r="AM64" s="100">
        <v>0.481865</v>
      </c>
      <c r="AN64" s="100">
        <v>0.463576</v>
      </c>
      <c r="AO64" s="98">
        <v>1932.6339039204859</v>
      </c>
      <c r="AP64" s="158">
        <v>0.9532687378</v>
      </c>
      <c r="AQ64" s="100">
        <v>0.08571428571428572</v>
      </c>
      <c r="AR64" s="100">
        <v>0.4</v>
      </c>
      <c r="AS64" s="98">
        <v>303.6996134732192</v>
      </c>
      <c r="AT64" s="98">
        <v>331.3086692435119</v>
      </c>
      <c r="AU64" s="98" t="s">
        <v>736</v>
      </c>
      <c r="AV64" s="98">
        <v>496.9630038652678</v>
      </c>
      <c r="AW64" s="98">
        <v>690.2263942573164</v>
      </c>
      <c r="AX64" s="98">
        <v>165.65433462175594</v>
      </c>
      <c r="AY64" s="98">
        <v>579.7901711761458</v>
      </c>
      <c r="AZ64" s="98">
        <v>552.1811154058531</v>
      </c>
      <c r="BA64" s="100" t="s">
        <v>736</v>
      </c>
      <c r="BB64" s="100" t="s">
        <v>736</v>
      </c>
      <c r="BC64" s="100" t="s">
        <v>736</v>
      </c>
      <c r="BD64" s="158">
        <v>0.7431197357000001</v>
      </c>
      <c r="BE64" s="158">
        <v>1.204397736</v>
      </c>
      <c r="BF64" s="162">
        <v>463</v>
      </c>
      <c r="BG64" s="162">
        <v>412</v>
      </c>
      <c r="BH64" s="162">
        <v>942</v>
      </c>
      <c r="BI64" s="162">
        <v>386</v>
      </c>
      <c r="BJ64" s="162">
        <v>151</v>
      </c>
      <c r="BK64" s="97"/>
      <c r="BL64" s="97"/>
      <c r="BM64" s="97"/>
      <c r="BN64" s="97"/>
    </row>
    <row r="65" spans="1:66" ht="12.75">
      <c r="A65" s="79" t="s">
        <v>691</v>
      </c>
      <c r="B65" s="79" t="s">
        <v>378</v>
      </c>
      <c r="C65" s="79" t="s">
        <v>216</v>
      </c>
      <c r="D65" s="99">
        <v>7884</v>
      </c>
      <c r="E65" s="99">
        <v>1580</v>
      </c>
      <c r="F65" s="99" t="s">
        <v>440</v>
      </c>
      <c r="G65" s="99">
        <v>33</v>
      </c>
      <c r="H65" s="99">
        <v>29</v>
      </c>
      <c r="I65" s="99">
        <v>156</v>
      </c>
      <c r="J65" s="99">
        <v>838</v>
      </c>
      <c r="K65" s="99">
        <v>13</v>
      </c>
      <c r="L65" s="99">
        <v>1478</v>
      </c>
      <c r="M65" s="99">
        <v>624</v>
      </c>
      <c r="N65" s="99">
        <v>259</v>
      </c>
      <c r="O65" s="99">
        <v>134</v>
      </c>
      <c r="P65" s="159">
        <v>134</v>
      </c>
      <c r="Q65" s="99">
        <v>16</v>
      </c>
      <c r="R65" s="99">
        <v>36</v>
      </c>
      <c r="S65" s="99">
        <v>47</v>
      </c>
      <c r="T65" s="99">
        <v>17</v>
      </c>
      <c r="U65" s="99">
        <v>6</v>
      </c>
      <c r="V65" s="99">
        <v>21</v>
      </c>
      <c r="W65" s="99">
        <v>49</v>
      </c>
      <c r="X65" s="99">
        <v>28</v>
      </c>
      <c r="Y65" s="99">
        <v>80</v>
      </c>
      <c r="Z65" s="99">
        <v>37</v>
      </c>
      <c r="AA65" s="99" t="s">
        <v>736</v>
      </c>
      <c r="AB65" s="99" t="s">
        <v>736</v>
      </c>
      <c r="AC65" s="99" t="s">
        <v>736</v>
      </c>
      <c r="AD65" s="98" t="s">
        <v>417</v>
      </c>
      <c r="AE65" s="100">
        <v>0.20040588533739218</v>
      </c>
      <c r="AF65" s="100">
        <v>0.06</v>
      </c>
      <c r="AG65" s="98">
        <v>418.56925418569256</v>
      </c>
      <c r="AH65" s="98">
        <v>367.8335870116692</v>
      </c>
      <c r="AI65" s="100">
        <v>0.02</v>
      </c>
      <c r="AJ65" s="100">
        <v>0.696592</v>
      </c>
      <c r="AK65" s="100">
        <v>0.464286</v>
      </c>
      <c r="AL65" s="100">
        <v>0.770193</v>
      </c>
      <c r="AM65" s="100">
        <v>0.529262</v>
      </c>
      <c r="AN65" s="100">
        <v>0.555794</v>
      </c>
      <c r="AO65" s="98">
        <v>1699.6448503297818</v>
      </c>
      <c r="AP65" s="158">
        <v>0.8095123291</v>
      </c>
      <c r="AQ65" s="100">
        <v>0.11940298507462686</v>
      </c>
      <c r="AR65" s="100">
        <v>0.4444444444444444</v>
      </c>
      <c r="AS65" s="98">
        <v>596.1440892947742</v>
      </c>
      <c r="AT65" s="98">
        <v>215.6265854895992</v>
      </c>
      <c r="AU65" s="98">
        <v>76.10350076103501</v>
      </c>
      <c r="AV65" s="98">
        <v>266.36225266362254</v>
      </c>
      <c r="AW65" s="98">
        <v>621.511922881786</v>
      </c>
      <c r="AX65" s="98">
        <v>355.14967021816335</v>
      </c>
      <c r="AY65" s="98">
        <v>1014.7133434804667</v>
      </c>
      <c r="AZ65" s="98">
        <v>469.3049213597159</v>
      </c>
      <c r="BA65" s="100" t="s">
        <v>736</v>
      </c>
      <c r="BB65" s="100" t="s">
        <v>736</v>
      </c>
      <c r="BC65" s="100" t="s">
        <v>736</v>
      </c>
      <c r="BD65" s="158">
        <v>0.6782580566</v>
      </c>
      <c r="BE65" s="158">
        <v>0.9587561798</v>
      </c>
      <c r="BF65" s="162">
        <v>1203</v>
      </c>
      <c r="BG65" s="162">
        <v>28</v>
      </c>
      <c r="BH65" s="162">
        <v>1919</v>
      </c>
      <c r="BI65" s="162">
        <v>1179</v>
      </c>
      <c r="BJ65" s="162">
        <v>466</v>
      </c>
      <c r="BK65" s="97"/>
      <c r="BL65" s="97"/>
      <c r="BM65" s="97"/>
      <c r="BN65" s="97"/>
    </row>
    <row r="66" spans="1:66" ht="12.75">
      <c r="A66" s="79" t="s">
        <v>701</v>
      </c>
      <c r="B66" s="79" t="s">
        <v>388</v>
      </c>
      <c r="C66" s="79" t="s">
        <v>216</v>
      </c>
      <c r="D66" s="99">
        <v>10240</v>
      </c>
      <c r="E66" s="99">
        <v>1725</v>
      </c>
      <c r="F66" s="99" t="s">
        <v>440</v>
      </c>
      <c r="G66" s="99">
        <v>43</v>
      </c>
      <c r="H66" s="99">
        <v>22</v>
      </c>
      <c r="I66" s="99">
        <v>224</v>
      </c>
      <c r="J66" s="99" t="s">
        <v>736</v>
      </c>
      <c r="K66" s="99" t="s">
        <v>736</v>
      </c>
      <c r="L66" s="99">
        <v>2081</v>
      </c>
      <c r="M66" s="99">
        <v>688</v>
      </c>
      <c r="N66" s="99">
        <v>301</v>
      </c>
      <c r="O66" s="99">
        <v>351</v>
      </c>
      <c r="P66" s="159">
        <v>351</v>
      </c>
      <c r="Q66" s="99">
        <v>27</v>
      </c>
      <c r="R66" s="99">
        <v>56</v>
      </c>
      <c r="S66" s="99">
        <v>53</v>
      </c>
      <c r="T66" s="99">
        <v>61</v>
      </c>
      <c r="U66" s="99">
        <v>10</v>
      </c>
      <c r="V66" s="99">
        <v>113</v>
      </c>
      <c r="W66" s="99">
        <v>85</v>
      </c>
      <c r="X66" s="99">
        <v>60</v>
      </c>
      <c r="Y66" s="99">
        <v>140</v>
      </c>
      <c r="Z66" s="99">
        <v>76</v>
      </c>
      <c r="AA66" s="99" t="s">
        <v>736</v>
      </c>
      <c r="AB66" s="99" t="s">
        <v>736</v>
      </c>
      <c r="AC66" s="99" t="s">
        <v>736</v>
      </c>
      <c r="AD66" s="98" t="s">
        <v>417</v>
      </c>
      <c r="AE66" s="100">
        <v>0.16845703125</v>
      </c>
      <c r="AF66" s="100">
        <v>0.03</v>
      </c>
      <c r="AG66" s="98">
        <v>419.921875</v>
      </c>
      <c r="AH66" s="98">
        <v>214.84375</v>
      </c>
      <c r="AI66" s="100">
        <v>0.022000000000000002</v>
      </c>
      <c r="AJ66" s="100" t="s">
        <v>736</v>
      </c>
      <c r="AK66" s="100" t="s">
        <v>736</v>
      </c>
      <c r="AL66" s="100">
        <v>0.771884</v>
      </c>
      <c r="AM66" s="100">
        <v>0.576697</v>
      </c>
      <c r="AN66" s="100">
        <v>0.599602</v>
      </c>
      <c r="AO66" s="98">
        <v>3427.734375</v>
      </c>
      <c r="AP66" s="158">
        <v>1.740120697</v>
      </c>
      <c r="AQ66" s="100">
        <v>0.07692307692307693</v>
      </c>
      <c r="AR66" s="100">
        <v>0.48214285714285715</v>
      </c>
      <c r="AS66" s="98">
        <v>517.578125</v>
      </c>
      <c r="AT66" s="98">
        <v>595.703125</v>
      </c>
      <c r="AU66" s="98">
        <v>97.65625</v>
      </c>
      <c r="AV66" s="98">
        <v>1103.515625</v>
      </c>
      <c r="AW66" s="98">
        <v>830.078125</v>
      </c>
      <c r="AX66" s="98">
        <v>585.9375</v>
      </c>
      <c r="AY66" s="98">
        <v>1367.1875</v>
      </c>
      <c r="AZ66" s="98">
        <v>742.1875</v>
      </c>
      <c r="BA66" s="100" t="s">
        <v>736</v>
      </c>
      <c r="BB66" s="100" t="s">
        <v>736</v>
      </c>
      <c r="BC66" s="100" t="s">
        <v>736</v>
      </c>
      <c r="BD66" s="158">
        <v>1.5628178410000002</v>
      </c>
      <c r="BE66" s="158">
        <v>1.932029724</v>
      </c>
      <c r="BF66" s="162" t="s">
        <v>736</v>
      </c>
      <c r="BG66" s="162" t="s">
        <v>736</v>
      </c>
      <c r="BH66" s="162">
        <v>2696</v>
      </c>
      <c r="BI66" s="162">
        <v>1193</v>
      </c>
      <c r="BJ66" s="162">
        <v>502</v>
      </c>
      <c r="BK66" s="97"/>
      <c r="BL66" s="97"/>
      <c r="BM66" s="97"/>
      <c r="BN66" s="97"/>
    </row>
    <row r="67" spans="1:66" ht="12.75">
      <c r="A67" s="79" t="s">
        <v>616</v>
      </c>
      <c r="B67" s="79" t="s">
        <v>299</v>
      </c>
      <c r="C67" s="79" t="s">
        <v>216</v>
      </c>
      <c r="D67" s="99">
        <v>10024</v>
      </c>
      <c r="E67" s="99">
        <v>1860</v>
      </c>
      <c r="F67" s="99" t="s">
        <v>440</v>
      </c>
      <c r="G67" s="99">
        <v>53</v>
      </c>
      <c r="H67" s="99">
        <v>33</v>
      </c>
      <c r="I67" s="99">
        <v>239</v>
      </c>
      <c r="J67" s="99">
        <v>1044</v>
      </c>
      <c r="K67" s="99">
        <v>696</v>
      </c>
      <c r="L67" s="99">
        <v>1916</v>
      </c>
      <c r="M67" s="99">
        <v>717</v>
      </c>
      <c r="N67" s="99">
        <v>333</v>
      </c>
      <c r="O67" s="99">
        <v>135</v>
      </c>
      <c r="P67" s="159">
        <v>135</v>
      </c>
      <c r="Q67" s="99">
        <v>22</v>
      </c>
      <c r="R67" s="99">
        <v>71</v>
      </c>
      <c r="S67" s="99">
        <v>33</v>
      </c>
      <c r="T67" s="99">
        <v>24</v>
      </c>
      <c r="U67" s="99">
        <v>9</v>
      </c>
      <c r="V67" s="99">
        <v>18</v>
      </c>
      <c r="W67" s="99">
        <v>83</v>
      </c>
      <c r="X67" s="99">
        <v>44</v>
      </c>
      <c r="Y67" s="99">
        <v>140</v>
      </c>
      <c r="Z67" s="99">
        <v>50</v>
      </c>
      <c r="AA67" s="99" t="s">
        <v>736</v>
      </c>
      <c r="AB67" s="99" t="s">
        <v>736</v>
      </c>
      <c r="AC67" s="99" t="s">
        <v>736</v>
      </c>
      <c r="AD67" s="98" t="s">
        <v>417</v>
      </c>
      <c r="AE67" s="100">
        <v>0.18555466879489227</v>
      </c>
      <c r="AF67" s="100">
        <v>0.05</v>
      </c>
      <c r="AG67" s="98">
        <v>528.731045490822</v>
      </c>
      <c r="AH67" s="98">
        <v>329.2098962490024</v>
      </c>
      <c r="AI67" s="100">
        <v>0.024</v>
      </c>
      <c r="AJ67" s="100">
        <v>0.747851</v>
      </c>
      <c r="AK67" s="100">
        <v>0.731861</v>
      </c>
      <c r="AL67" s="100">
        <v>0.771958</v>
      </c>
      <c r="AM67" s="100">
        <v>0.546078</v>
      </c>
      <c r="AN67" s="100">
        <v>0.601083</v>
      </c>
      <c r="AO67" s="98">
        <v>1346.7677573822825</v>
      </c>
      <c r="AP67" s="158">
        <v>0.6718879699999999</v>
      </c>
      <c r="AQ67" s="100">
        <v>0.16296296296296298</v>
      </c>
      <c r="AR67" s="100">
        <v>0.30985915492957744</v>
      </c>
      <c r="AS67" s="98">
        <v>329.2098962490024</v>
      </c>
      <c r="AT67" s="98">
        <v>239.42537909018355</v>
      </c>
      <c r="AU67" s="98">
        <v>89.78451715881883</v>
      </c>
      <c r="AV67" s="98">
        <v>179.56903431763766</v>
      </c>
      <c r="AW67" s="98">
        <v>828.0127693535514</v>
      </c>
      <c r="AX67" s="98">
        <v>438.9465283320032</v>
      </c>
      <c r="AY67" s="98">
        <v>1396.6480446927374</v>
      </c>
      <c r="AZ67" s="98">
        <v>498.80287310454906</v>
      </c>
      <c r="BA67" s="100" t="s">
        <v>736</v>
      </c>
      <c r="BB67" s="100" t="s">
        <v>736</v>
      </c>
      <c r="BC67" s="100" t="s">
        <v>736</v>
      </c>
      <c r="BD67" s="158">
        <v>0.5633342361</v>
      </c>
      <c r="BE67" s="158">
        <v>0.7952606964000001</v>
      </c>
      <c r="BF67" s="162">
        <v>1396</v>
      </c>
      <c r="BG67" s="162">
        <v>951</v>
      </c>
      <c r="BH67" s="162">
        <v>2482</v>
      </c>
      <c r="BI67" s="162">
        <v>1313</v>
      </c>
      <c r="BJ67" s="162">
        <v>554</v>
      </c>
      <c r="BK67" s="97"/>
      <c r="BL67" s="97"/>
      <c r="BM67" s="97"/>
      <c r="BN67" s="97"/>
    </row>
    <row r="68" spans="1:66" ht="12.75">
      <c r="A68" s="79" t="s">
        <v>631</v>
      </c>
      <c r="B68" s="79" t="s">
        <v>314</v>
      </c>
      <c r="C68" s="79" t="s">
        <v>216</v>
      </c>
      <c r="D68" s="99">
        <v>3576</v>
      </c>
      <c r="E68" s="99">
        <v>597</v>
      </c>
      <c r="F68" s="99" t="s">
        <v>440</v>
      </c>
      <c r="G68" s="99">
        <v>19</v>
      </c>
      <c r="H68" s="99">
        <v>9</v>
      </c>
      <c r="I68" s="99">
        <v>40</v>
      </c>
      <c r="J68" s="99">
        <v>291</v>
      </c>
      <c r="K68" s="99">
        <v>265</v>
      </c>
      <c r="L68" s="99">
        <v>552</v>
      </c>
      <c r="M68" s="99">
        <v>232</v>
      </c>
      <c r="N68" s="99">
        <v>116</v>
      </c>
      <c r="O68" s="99">
        <v>38</v>
      </c>
      <c r="P68" s="159">
        <v>38</v>
      </c>
      <c r="Q68" s="99">
        <v>7</v>
      </c>
      <c r="R68" s="99">
        <v>16</v>
      </c>
      <c r="S68" s="99">
        <v>7</v>
      </c>
      <c r="T68" s="99">
        <v>7</v>
      </c>
      <c r="U68" s="99" t="s">
        <v>736</v>
      </c>
      <c r="V68" s="99" t="s">
        <v>736</v>
      </c>
      <c r="W68" s="99">
        <v>12</v>
      </c>
      <c r="X68" s="99" t="s">
        <v>736</v>
      </c>
      <c r="Y68" s="99">
        <v>13</v>
      </c>
      <c r="Z68" s="99">
        <v>10</v>
      </c>
      <c r="AA68" s="99" t="s">
        <v>736</v>
      </c>
      <c r="AB68" s="99" t="s">
        <v>736</v>
      </c>
      <c r="AC68" s="99" t="s">
        <v>736</v>
      </c>
      <c r="AD68" s="98" t="s">
        <v>417</v>
      </c>
      <c r="AE68" s="100">
        <v>0.1669463087248322</v>
      </c>
      <c r="AF68" s="100">
        <v>0.04</v>
      </c>
      <c r="AG68" s="98">
        <v>531.3199105145413</v>
      </c>
      <c r="AH68" s="98">
        <v>251.6778523489933</v>
      </c>
      <c r="AI68" s="100">
        <v>0.011000000000000001</v>
      </c>
      <c r="AJ68" s="100">
        <v>0.694511</v>
      </c>
      <c r="AK68" s="100">
        <v>0.66416</v>
      </c>
      <c r="AL68" s="100">
        <v>0.642608</v>
      </c>
      <c r="AM68" s="100">
        <v>0.537037</v>
      </c>
      <c r="AN68" s="100">
        <v>0.588832</v>
      </c>
      <c r="AO68" s="98">
        <v>1062.6398210290827</v>
      </c>
      <c r="AP68" s="158">
        <v>0.5610852050999999</v>
      </c>
      <c r="AQ68" s="100">
        <v>0.18421052631578946</v>
      </c>
      <c r="AR68" s="100">
        <v>0.4375</v>
      </c>
      <c r="AS68" s="98">
        <v>195.74944071588368</v>
      </c>
      <c r="AT68" s="98">
        <v>195.74944071588368</v>
      </c>
      <c r="AU68" s="98" t="s">
        <v>736</v>
      </c>
      <c r="AV68" s="98" t="s">
        <v>736</v>
      </c>
      <c r="AW68" s="98">
        <v>335.5704697986577</v>
      </c>
      <c r="AX68" s="98" t="s">
        <v>736</v>
      </c>
      <c r="AY68" s="98">
        <v>363.5346756152125</v>
      </c>
      <c r="AZ68" s="98">
        <v>279.6420581655481</v>
      </c>
      <c r="BA68" s="100" t="s">
        <v>736</v>
      </c>
      <c r="BB68" s="100" t="s">
        <v>736</v>
      </c>
      <c r="BC68" s="100" t="s">
        <v>736</v>
      </c>
      <c r="BD68" s="158">
        <v>0.39705730440000003</v>
      </c>
      <c r="BE68" s="158">
        <v>0.7701332854999999</v>
      </c>
      <c r="BF68" s="162">
        <v>419</v>
      </c>
      <c r="BG68" s="162">
        <v>399</v>
      </c>
      <c r="BH68" s="162">
        <v>859</v>
      </c>
      <c r="BI68" s="162">
        <v>432</v>
      </c>
      <c r="BJ68" s="162">
        <v>197</v>
      </c>
      <c r="BK68" s="97"/>
      <c r="BL68" s="97"/>
      <c r="BM68" s="97"/>
      <c r="BN68" s="97"/>
    </row>
    <row r="69" spans="1:66" ht="12.75">
      <c r="A69" s="79" t="s">
        <v>668</v>
      </c>
      <c r="B69" s="79" t="s">
        <v>352</v>
      </c>
      <c r="C69" s="79" t="s">
        <v>216</v>
      </c>
      <c r="D69" s="99">
        <v>11773</v>
      </c>
      <c r="E69" s="99">
        <v>2542</v>
      </c>
      <c r="F69" s="99" t="s">
        <v>440</v>
      </c>
      <c r="G69" s="99">
        <v>42</v>
      </c>
      <c r="H69" s="99">
        <v>31</v>
      </c>
      <c r="I69" s="99">
        <v>242</v>
      </c>
      <c r="J69" s="99">
        <v>1274</v>
      </c>
      <c r="K69" s="99">
        <v>1235</v>
      </c>
      <c r="L69" s="99">
        <v>2147</v>
      </c>
      <c r="M69" s="99">
        <v>901</v>
      </c>
      <c r="N69" s="99">
        <v>399</v>
      </c>
      <c r="O69" s="99">
        <v>289</v>
      </c>
      <c r="P69" s="159">
        <v>289</v>
      </c>
      <c r="Q69" s="99">
        <v>26</v>
      </c>
      <c r="R69" s="99">
        <v>63</v>
      </c>
      <c r="S69" s="99">
        <v>46</v>
      </c>
      <c r="T69" s="99">
        <v>49</v>
      </c>
      <c r="U69" s="99">
        <v>18</v>
      </c>
      <c r="V69" s="99">
        <v>69</v>
      </c>
      <c r="W69" s="99">
        <v>93</v>
      </c>
      <c r="X69" s="99">
        <v>30</v>
      </c>
      <c r="Y69" s="99">
        <v>98</v>
      </c>
      <c r="Z69" s="99">
        <v>88</v>
      </c>
      <c r="AA69" s="99" t="s">
        <v>736</v>
      </c>
      <c r="AB69" s="99" t="s">
        <v>736</v>
      </c>
      <c r="AC69" s="99" t="s">
        <v>736</v>
      </c>
      <c r="AD69" s="98" t="s">
        <v>417</v>
      </c>
      <c r="AE69" s="100">
        <v>0.21591777796653358</v>
      </c>
      <c r="AF69" s="100">
        <v>0.05</v>
      </c>
      <c r="AG69" s="98">
        <v>356.7484923129194</v>
      </c>
      <c r="AH69" s="98">
        <v>263.31436337382144</v>
      </c>
      <c r="AI69" s="100">
        <v>0.021</v>
      </c>
      <c r="AJ69" s="100">
        <v>0.777778</v>
      </c>
      <c r="AK69" s="100">
        <v>0.77918</v>
      </c>
      <c r="AL69" s="100">
        <v>0.7406</v>
      </c>
      <c r="AM69" s="100">
        <v>0.590046</v>
      </c>
      <c r="AN69" s="100">
        <v>0.627358</v>
      </c>
      <c r="AO69" s="98">
        <v>2454.769387581755</v>
      </c>
      <c r="AP69" s="158">
        <v>1.145940781</v>
      </c>
      <c r="AQ69" s="100">
        <v>0.08996539792387544</v>
      </c>
      <c r="AR69" s="100">
        <v>0.4126984126984127</v>
      </c>
      <c r="AS69" s="98">
        <v>390.72453919986407</v>
      </c>
      <c r="AT69" s="98">
        <v>416.20657436507264</v>
      </c>
      <c r="AU69" s="98">
        <v>152.89221099125118</v>
      </c>
      <c r="AV69" s="98">
        <v>586.0868087997961</v>
      </c>
      <c r="AW69" s="98">
        <v>789.9430901214644</v>
      </c>
      <c r="AX69" s="98">
        <v>254.8203516520853</v>
      </c>
      <c r="AY69" s="98">
        <v>832.4131487301453</v>
      </c>
      <c r="AZ69" s="98">
        <v>747.4730315127835</v>
      </c>
      <c r="BA69" s="100" t="s">
        <v>736</v>
      </c>
      <c r="BB69" s="100" t="s">
        <v>736</v>
      </c>
      <c r="BC69" s="100" t="s">
        <v>736</v>
      </c>
      <c r="BD69" s="158">
        <v>1.017617798</v>
      </c>
      <c r="BE69" s="158">
        <v>1.2859667970000002</v>
      </c>
      <c r="BF69" s="162">
        <v>1638</v>
      </c>
      <c r="BG69" s="162">
        <v>1585</v>
      </c>
      <c r="BH69" s="162">
        <v>2899</v>
      </c>
      <c r="BI69" s="162">
        <v>1527</v>
      </c>
      <c r="BJ69" s="162">
        <v>636</v>
      </c>
      <c r="BK69" s="97"/>
      <c r="BL69" s="97"/>
      <c r="BM69" s="97"/>
      <c r="BN69" s="97"/>
    </row>
    <row r="70" spans="1:66" ht="12.75">
      <c r="A70" s="79" t="s">
        <v>627</v>
      </c>
      <c r="B70" s="79" t="s">
        <v>310</v>
      </c>
      <c r="C70" s="79" t="s">
        <v>216</v>
      </c>
      <c r="D70" s="99">
        <v>7903</v>
      </c>
      <c r="E70" s="99">
        <v>1354</v>
      </c>
      <c r="F70" s="99" t="s">
        <v>440</v>
      </c>
      <c r="G70" s="99">
        <v>40</v>
      </c>
      <c r="H70" s="99">
        <v>16</v>
      </c>
      <c r="I70" s="99">
        <v>156</v>
      </c>
      <c r="J70" s="99">
        <v>793</v>
      </c>
      <c r="K70" s="99">
        <v>16</v>
      </c>
      <c r="L70" s="99">
        <v>1618</v>
      </c>
      <c r="M70" s="99">
        <v>538</v>
      </c>
      <c r="N70" s="99">
        <v>243</v>
      </c>
      <c r="O70" s="99">
        <v>191</v>
      </c>
      <c r="P70" s="159">
        <v>191</v>
      </c>
      <c r="Q70" s="99">
        <v>14</v>
      </c>
      <c r="R70" s="99">
        <v>32</v>
      </c>
      <c r="S70" s="99">
        <v>41</v>
      </c>
      <c r="T70" s="99">
        <v>29</v>
      </c>
      <c r="U70" s="99">
        <v>7</v>
      </c>
      <c r="V70" s="99">
        <v>44</v>
      </c>
      <c r="W70" s="99">
        <v>50</v>
      </c>
      <c r="X70" s="99">
        <v>41</v>
      </c>
      <c r="Y70" s="99">
        <v>102</v>
      </c>
      <c r="Z70" s="99">
        <v>40</v>
      </c>
      <c r="AA70" s="99" t="s">
        <v>736</v>
      </c>
      <c r="AB70" s="99" t="s">
        <v>736</v>
      </c>
      <c r="AC70" s="99" t="s">
        <v>736</v>
      </c>
      <c r="AD70" s="98" t="s">
        <v>417</v>
      </c>
      <c r="AE70" s="100">
        <v>0.1713273440465646</v>
      </c>
      <c r="AF70" s="100">
        <v>0.06</v>
      </c>
      <c r="AG70" s="98">
        <v>506.13691003416426</v>
      </c>
      <c r="AH70" s="98">
        <v>202.4547640136657</v>
      </c>
      <c r="AI70" s="100">
        <v>0.02</v>
      </c>
      <c r="AJ70" s="100">
        <v>0.785927</v>
      </c>
      <c r="AK70" s="100">
        <v>0.8</v>
      </c>
      <c r="AL70" s="100">
        <v>0.819656</v>
      </c>
      <c r="AM70" s="100">
        <v>0.576017</v>
      </c>
      <c r="AN70" s="100">
        <v>0.594132</v>
      </c>
      <c r="AO70" s="98">
        <v>2416.803745413134</v>
      </c>
      <c r="AP70" s="158">
        <v>1.2393501279999999</v>
      </c>
      <c r="AQ70" s="100">
        <v>0.07329842931937172</v>
      </c>
      <c r="AR70" s="100">
        <v>0.4375</v>
      </c>
      <c r="AS70" s="98">
        <v>518.7903327850183</v>
      </c>
      <c r="AT70" s="98">
        <v>366.9492597747691</v>
      </c>
      <c r="AU70" s="98">
        <v>88.57395925597874</v>
      </c>
      <c r="AV70" s="98">
        <v>556.7506010375806</v>
      </c>
      <c r="AW70" s="98">
        <v>632.6711375427053</v>
      </c>
      <c r="AX70" s="98">
        <v>518.7903327850183</v>
      </c>
      <c r="AY70" s="98">
        <v>1290.649120587119</v>
      </c>
      <c r="AZ70" s="98">
        <v>506.13691003416426</v>
      </c>
      <c r="BA70" s="100" t="s">
        <v>736</v>
      </c>
      <c r="BB70" s="100" t="s">
        <v>736</v>
      </c>
      <c r="BC70" s="100" t="s">
        <v>736</v>
      </c>
      <c r="BD70" s="158">
        <v>1.069812164</v>
      </c>
      <c r="BE70" s="158">
        <v>1.428123627</v>
      </c>
      <c r="BF70" s="162">
        <v>1009</v>
      </c>
      <c r="BG70" s="162">
        <v>20</v>
      </c>
      <c r="BH70" s="162">
        <v>1974</v>
      </c>
      <c r="BI70" s="162">
        <v>934</v>
      </c>
      <c r="BJ70" s="162">
        <v>409</v>
      </c>
      <c r="BK70" s="97"/>
      <c r="BL70" s="97"/>
      <c r="BM70" s="97"/>
      <c r="BN70" s="97"/>
    </row>
    <row r="71" spans="1:66" ht="12.75">
      <c r="A71" s="79" t="s">
        <v>717</v>
      </c>
      <c r="B71" s="79" t="s">
        <v>404</v>
      </c>
      <c r="C71" s="79" t="s">
        <v>216</v>
      </c>
      <c r="D71" s="99">
        <v>2028</v>
      </c>
      <c r="E71" s="99">
        <v>93</v>
      </c>
      <c r="F71" s="99" t="s">
        <v>439</v>
      </c>
      <c r="G71" s="99" t="s">
        <v>736</v>
      </c>
      <c r="H71" s="99" t="s">
        <v>736</v>
      </c>
      <c r="I71" s="99">
        <v>10</v>
      </c>
      <c r="J71" s="99" t="s">
        <v>736</v>
      </c>
      <c r="K71" s="99">
        <v>40</v>
      </c>
      <c r="L71" s="99" t="s">
        <v>736</v>
      </c>
      <c r="M71" s="99">
        <v>12</v>
      </c>
      <c r="N71" s="99">
        <v>7</v>
      </c>
      <c r="O71" s="99" t="s">
        <v>736</v>
      </c>
      <c r="P71" s="159" t="s">
        <v>736</v>
      </c>
      <c r="Q71" s="99" t="s">
        <v>736</v>
      </c>
      <c r="R71" s="99" t="s">
        <v>736</v>
      </c>
      <c r="S71" s="99" t="s">
        <v>736</v>
      </c>
      <c r="T71" s="99" t="s">
        <v>736</v>
      </c>
      <c r="U71" s="99" t="s">
        <v>736</v>
      </c>
      <c r="V71" s="99" t="s">
        <v>736</v>
      </c>
      <c r="W71" s="99" t="s">
        <v>736</v>
      </c>
      <c r="X71" s="99" t="s">
        <v>736</v>
      </c>
      <c r="Y71" s="99">
        <v>10</v>
      </c>
      <c r="Z71" s="99" t="s">
        <v>736</v>
      </c>
      <c r="AA71" s="99" t="s">
        <v>736</v>
      </c>
      <c r="AB71" s="99" t="s">
        <v>736</v>
      </c>
      <c r="AC71" s="99" t="s">
        <v>736</v>
      </c>
      <c r="AD71" s="98" t="s">
        <v>417</v>
      </c>
      <c r="AE71" s="100">
        <v>0.04585798816568047</v>
      </c>
      <c r="AF71" s="100">
        <v>0.15</v>
      </c>
      <c r="AG71" s="98" t="s">
        <v>736</v>
      </c>
      <c r="AH71" s="98" t="s">
        <v>736</v>
      </c>
      <c r="AI71" s="100">
        <v>0.005</v>
      </c>
      <c r="AJ71" s="100" t="s">
        <v>736</v>
      </c>
      <c r="AK71" s="100">
        <v>0.430108</v>
      </c>
      <c r="AL71" s="100" t="s">
        <v>736</v>
      </c>
      <c r="AM71" s="100">
        <v>0.176471</v>
      </c>
      <c r="AN71" s="100">
        <v>0.21875</v>
      </c>
      <c r="AO71" s="98" t="s">
        <v>736</v>
      </c>
      <c r="AP71" s="158" t="s">
        <v>736</v>
      </c>
      <c r="AQ71" s="100" t="s">
        <v>736</v>
      </c>
      <c r="AR71" s="100" t="s">
        <v>736</v>
      </c>
      <c r="AS71" s="98" t="s">
        <v>736</v>
      </c>
      <c r="AT71" s="98" t="s">
        <v>736</v>
      </c>
      <c r="AU71" s="98" t="s">
        <v>736</v>
      </c>
      <c r="AV71" s="98" t="s">
        <v>736</v>
      </c>
      <c r="AW71" s="98" t="s">
        <v>736</v>
      </c>
      <c r="AX71" s="98" t="s">
        <v>736</v>
      </c>
      <c r="AY71" s="98">
        <v>493.0966469428008</v>
      </c>
      <c r="AZ71" s="98" t="s">
        <v>736</v>
      </c>
      <c r="BA71" s="100" t="s">
        <v>736</v>
      </c>
      <c r="BB71" s="100" t="s">
        <v>736</v>
      </c>
      <c r="BC71" s="100" t="s">
        <v>736</v>
      </c>
      <c r="BD71" s="158" t="s">
        <v>736</v>
      </c>
      <c r="BE71" s="158" t="s">
        <v>736</v>
      </c>
      <c r="BF71" s="162" t="s">
        <v>736</v>
      </c>
      <c r="BG71" s="162">
        <v>93</v>
      </c>
      <c r="BH71" s="162" t="s">
        <v>736</v>
      </c>
      <c r="BI71" s="162">
        <v>68</v>
      </c>
      <c r="BJ71" s="162">
        <v>32</v>
      </c>
      <c r="BK71" s="97"/>
      <c r="BL71" s="97"/>
      <c r="BM71" s="97"/>
      <c r="BN71" s="97"/>
    </row>
    <row r="72" spans="1:66" ht="12.75">
      <c r="A72" s="79" t="s">
        <v>661</v>
      </c>
      <c r="B72" s="79" t="s">
        <v>344</v>
      </c>
      <c r="C72" s="79" t="s">
        <v>216</v>
      </c>
      <c r="D72" s="99">
        <v>9162</v>
      </c>
      <c r="E72" s="99">
        <v>1409</v>
      </c>
      <c r="F72" s="99" t="s">
        <v>440</v>
      </c>
      <c r="G72" s="99">
        <v>35</v>
      </c>
      <c r="H72" s="99">
        <v>14</v>
      </c>
      <c r="I72" s="99">
        <v>139</v>
      </c>
      <c r="J72" s="99">
        <v>703</v>
      </c>
      <c r="K72" s="99">
        <v>10</v>
      </c>
      <c r="L72" s="99">
        <v>1872</v>
      </c>
      <c r="M72" s="99">
        <v>493</v>
      </c>
      <c r="N72" s="99">
        <v>236</v>
      </c>
      <c r="O72" s="99">
        <v>129</v>
      </c>
      <c r="P72" s="159">
        <v>129</v>
      </c>
      <c r="Q72" s="99">
        <v>24</v>
      </c>
      <c r="R72" s="99">
        <v>37</v>
      </c>
      <c r="S72" s="99">
        <v>24</v>
      </c>
      <c r="T72" s="99">
        <v>22</v>
      </c>
      <c r="U72" s="99">
        <v>8</v>
      </c>
      <c r="V72" s="99">
        <v>21</v>
      </c>
      <c r="W72" s="99">
        <v>52</v>
      </c>
      <c r="X72" s="99">
        <v>35</v>
      </c>
      <c r="Y72" s="99">
        <v>58</v>
      </c>
      <c r="Z72" s="99">
        <v>49</v>
      </c>
      <c r="AA72" s="99" t="s">
        <v>736</v>
      </c>
      <c r="AB72" s="99" t="s">
        <v>736</v>
      </c>
      <c r="AC72" s="99" t="s">
        <v>736</v>
      </c>
      <c r="AD72" s="98" t="s">
        <v>417</v>
      </c>
      <c r="AE72" s="100">
        <v>0.15378738266753983</v>
      </c>
      <c r="AF72" s="100">
        <v>0.06</v>
      </c>
      <c r="AG72" s="98">
        <v>382.01266099105</v>
      </c>
      <c r="AH72" s="98">
        <v>152.80506439642</v>
      </c>
      <c r="AI72" s="100">
        <v>0.015</v>
      </c>
      <c r="AJ72" s="100">
        <v>0.695351</v>
      </c>
      <c r="AK72" s="100">
        <v>0.47619</v>
      </c>
      <c r="AL72" s="100">
        <v>0.763147</v>
      </c>
      <c r="AM72" s="100">
        <v>0.561503</v>
      </c>
      <c r="AN72" s="100">
        <v>0.602041</v>
      </c>
      <c r="AO72" s="98">
        <v>1407.9895219384414</v>
      </c>
      <c r="AP72" s="158">
        <v>0.7770300293</v>
      </c>
      <c r="AQ72" s="100">
        <v>0.18604651162790697</v>
      </c>
      <c r="AR72" s="100">
        <v>0.6486486486486487</v>
      </c>
      <c r="AS72" s="98">
        <v>261.95153896529143</v>
      </c>
      <c r="AT72" s="98">
        <v>240.12224405151713</v>
      </c>
      <c r="AU72" s="98">
        <v>87.31717965509714</v>
      </c>
      <c r="AV72" s="98">
        <v>229.20759659463</v>
      </c>
      <c r="AW72" s="98">
        <v>567.5616677581314</v>
      </c>
      <c r="AX72" s="98">
        <v>382.01266099105</v>
      </c>
      <c r="AY72" s="98">
        <v>633.0495524994543</v>
      </c>
      <c r="AZ72" s="98">
        <v>534.81772538747</v>
      </c>
      <c r="BA72" s="100" t="s">
        <v>736</v>
      </c>
      <c r="BB72" s="100" t="s">
        <v>736</v>
      </c>
      <c r="BC72" s="100" t="s">
        <v>736</v>
      </c>
      <c r="BD72" s="158">
        <v>0.6487346649</v>
      </c>
      <c r="BE72" s="158">
        <v>0.9232718658</v>
      </c>
      <c r="BF72" s="162">
        <v>1011</v>
      </c>
      <c r="BG72" s="162">
        <v>21</v>
      </c>
      <c r="BH72" s="162">
        <v>2453</v>
      </c>
      <c r="BI72" s="162">
        <v>878</v>
      </c>
      <c r="BJ72" s="162">
        <v>392</v>
      </c>
      <c r="BK72" s="97"/>
      <c r="BL72" s="97"/>
      <c r="BM72" s="97"/>
      <c r="BN72" s="97"/>
    </row>
    <row r="73" spans="1:66" ht="12.75">
      <c r="A73" s="79" t="s">
        <v>743</v>
      </c>
      <c r="B73" s="79" t="s">
        <v>366</v>
      </c>
      <c r="C73" s="79" t="s">
        <v>216</v>
      </c>
      <c r="D73" s="99">
        <v>4376</v>
      </c>
      <c r="E73" s="99">
        <v>790</v>
      </c>
      <c r="F73" s="99" t="s">
        <v>438</v>
      </c>
      <c r="G73" s="99">
        <v>31</v>
      </c>
      <c r="H73" s="99">
        <v>9</v>
      </c>
      <c r="I73" s="99">
        <v>74</v>
      </c>
      <c r="J73" s="99">
        <v>351</v>
      </c>
      <c r="K73" s="99" t="s">
        <v>736</v>
      </c>
      <c r="L73" s="99">
        <v>776</v>
      </c>
      <c r="M73" s="99">
        <v>261</v>
      </c>
      <c r="N73" s="99">
        <v>113</v>
      </c>
      <c r="O73" s="99">
        <v>61</v>
      </c>
      <c r="P73" s="159">
        <v>61</v>
      </c>
      <c r="Q73" s="99">
        <v>12</v>
      </c>
      <c r="R73" s="99">
        <v>24</v>
      </c>
      <c r="S73" s="99">
        <v>8</v>
      </c>
      <c r="T73" s="99">
        <v>22</v>
      </c>
      <c r="U73" s="99">
        <v>7</v>
      </c>
      <c r="V73" s="99">
        <v>8</v>
      </c>
      <c r="W73" s="99">
        <v>32</v>
      </c>
      <c r="X73" s="99">
        <v>28</v>
      </c>
      <c r="Y73" s="99">
        <v>83</v>
      </c>
      <c r="Z73" s="99">
        <v>27</v>
      </c>
      <c r="AA73" s="99" t="s">
        <v>736</v>
      </c>
      <c r="AB73" s="99" t="s">
        <v>736</v>
      </c>
      <c r="AC73" s="99" t="s">
        <v>736</v>
      </c>
      <c r="AD73" s="98" t="s">
        <v>417</v>
      </c>
      <c r="AE73" s="100">
        <v>0.18053016453382084</v>
      </c>
      <c r="AF73" s="100">
        <v>0.09</v>
      </c>
      <c r="AG73" s="98">
        <v>708.4095063985375</v>
      </c>
      <c r="AH73" s="98">
        <v>205.6672760511883</v>
      </c>
      <c r="AI73" s="100">
        <v>0.017</v>
      </c>
      <c r="AJ73" s="100">
        <v>0.675</v>
      </c>
      <c r="AK73" s="100" t="s">
        <v>736</v>
      </c>
      <c r="AL73" s="100">
        <v>0.749035</v>
      </c>
      <c r="AM73" s="100">
        <v>0.548319</v>
      </c>
      <c r="AN73" s="100">
        <v>0.585492</v>
      </c>
      <c r="AO73" s="98">
        <v>1393.9670932358317</v>
      </c>
      <c r="AP73" s="158">
        <v>0.7328264618</v>
      </c>
      <c r="AQ73" s="100">
        <v>0.19672131147540983</v>
      </c>
      <c r="AR73" s="100">
        <v>0.5</v>
      </c>
      <c r="AS73" s="98">
        <v>182.81535648994515</v>
      </c>
      <c r="AT73" s="98">
        <v>502.74223034734916</v>
      </c>
      <c r="AU73" s="98">
        <v>159.963436928702</v>
      </c>
      <c r="AV73" s="98">
        <v>182.81535648994515</v>
      </c>
      <c r="AW73" s="98">
        <v>731.2614259597806</v>
      </c>
      <c r="AX73" s="98">
        <v>639.853747714808</v>
      </c>
      <c r="AY73" s="98">
        <v>1896.709323583181</v>
      </c>
      <c r="AZ73" s="98">
        <v>617.0018281535649</v>
      </c>
      <c r="BA73" s="100" t="s">
        <v>736</v>
      </c>
      <c r="BB73" s="100" t="s">
        <v>736</v>
      </c>
      <c r="BC73" s="100" t="s">
        <v>736</v>
      </c>
      <c r="BD73" s="158">
        <v>0.5605541611</v>
      </c>
      <c r="BE73" s="158">
        <v>0.941346283</v>
      </c>
      <c r="BF73" s="162">
        <v>520</v>
      </c>
      <c r="BG73" s="162" t="s">
        <v>736</v>
      </c>
      <c r="BH73" s="162">
        <v>1036</v>
      </c>
      <c r="BI73" s="162">
        <v>476</v>
      </c>
      <c r="BJ73" s="162">
        <v>193</v>
      </c>
      <c r="BK73" s="97"/>
      <c r="BL73" s="97"/>
      <c r="BM73" s="97"/>
      <c r="BN73" s="97"/>
    </row>
    <row r="74" spans="1:66" ht="12.75">
      <c r="A74" s="79" t="s">
        <v>628</v>
      </c>
      <c r="B74" s="79" t="s">
        <v>311</v>
      </c>
      <c r="C74" s="79" t="s">
        <v>216</v>
      </c>
      <c r="D74" s="99">
        <v>10201</v>
      </c>
      <c r="E74" s="99">
        <v>1390</v>
      </c>
      <c r="F74" s="99" t="s">
        <v>440</v>
      </c>
      <c r="G74" s="99">
        <v>45</v>
      </c>
      <c r="H74" s="99">
        <v>11</v>
      </c>
      <c r="I74" s="99">
        <v>207</v>
      </c>
      <c r="J74" s="99">
        <v>989</v>
      </c>
      <c r="K74" s="99">
        <v>9</v>
      </c>
      <c r="L74" s="99">
        <v>2045</v>
      </c>
      <c r="M74" s="99">
        <v>629</v>
      </c>
      <c r="N74" s="99">
        <v>292</v>
      </c>
      <c r="O74" s="99">
        <v>102</v>
      </c>
      <c r="P74" s="159">
        <v>102</v>
      </c>
      <c r="Q74" s="99">
        <v>9</v>
      </c>
      <c r="R74" s="99">
        <v>33</v>
      </c>
      <c r="S74" s="99">
        <v>14</v>
      </c>
      <c r="T74" s="99">
        <v>22</v>
      </c>
      <c r="U74" s="99" t="s">
        <v>736</v>
      </c>
      <c r="V74" s="99">
        <v>23</v>
      </c>
      <c r="W74" s="99">
        <v>58</v>
      </c>
      <c r="X74" s="99">
        <v>32</v>
      </c>
      <c r="Y74" s="99">
        <v>79</v>
      </c>
      <c r="Z74" s="99">
        <v>47</v>
      </c>
      <c r="AA74" s="99" t="s">
        <v>736</v>
      </c>
      <c r="AB74" s="99" t="s">
        <v>736</v>
      </c>
      <c r="AC74" s="99" t="s">
        <v>736</v>
      </c>
      <c r="AD74" s="98" t="s">
        <v>417</v>
      </c>
      <c r="AE74" s="100">
        <v>0.136261150867562</v>
      </c>
      <c r="AF74" s="100">
        <v>0.06</v>
      </c>
      <c r="AG74" s="98">
        <v>441.1332222331144</v>
      </c>
      <c r="AH74" s="98">
        <v>107.83256543476129</v>
      </c>
      <c r="AI74" s="100">
        <v>0.02</v>
      </c>
      <c r="AJ74" s="100">
        <v>0.779968</v>
      </c>
      <c r="AK74" s="100">
        <v>0.529412</v>
      </c>
      <c r="AL74" s="100">
        <v>0.771116</v>
      </c>
      <c r="AM74" s="100">
        <v>0.617878</v>
      </c>
      <c r="AN74" s="100">
        <v>0.688679</v>
      </c>
      <c r="AO74" s="98">
        <v>999.9019703950593</v>
      </c>
      <c r="AP74" s="158">
        <v>0.5569787598</v>
      </c>
      <c r="AQ74" s="100">
        <v>0.08823529411764706</v>
      </c>
      <c r="AR74" s="100">
        <v>0.2727272727272727</v>
      </c>
      <c r="AS74" s="98">
        <v>137.24144691696893</v>
      </c>
      <c r="AT74" s="98">
        <v>215.66513086952259</v>
      </c>
      <c r="AU74" s="98" t="s">
        <v>736</v>
      </c>
      <c r="AV74" s="98">
        <v>225.4680913635918</v>
      </c>
      <c r="AW74" s="98">
        <v>568.5717086560142</v>
      </c>
      <c r="AX74" s="98">
        <v>313.6947358102147</v>
      </c>
      <c r="AY74" s="98">
        <v>774.4338790314675</v>
      </c>
      <c r="AZ74" s="98">
        <v>460.73914322125285</v>
      </c>
      <c r="BA74" s="100" t="s">
        <v>736</v>
      </c>
      <c r="BB74" s="100" t="s">
        <v>736</v>
      </c>
      <c r="BC74" s="100" t="s">
        <v>736</v>
      </c>
      <c r="BD74" s="158">
        <v>0.4541496277</v>
      </c>
      <c r="BE74" s="158">
        <v>0.6761342621</v>
      </c>
      <c r="BF74" s="162">
        <v>1268</v>
      </c>
      <c r="BG74" s="162">
        <v>17</v>
      </c>
      <c r="BH74" s="162">
        <v>2652</v>
      </c>
      <c r="BI74" s="162">
        <v>1018</v>
      </c>
      <c r="BJ74" s="162">
        <v>424</v>
      </c>
      <c r="BK74" s="97"/>
      <c r="BL74" s="97"/>
      <c r="BM74" s="97"/>
      <c r="BN74" s="97"/>
    </row>
    <row r="75" spans="1:66" ht="12.75">
      <c r="A75" s="79" t="s">
        <v>671</v>
      </c>
      <c r="B75" s="79" t="s">
        <v>355</v>
      </c>
      <c r="C75" s="79" t="s">
        <v>216</v>
      </c>
      <c r="D75" s="99">
        <v>10383</v>
      </c>
      <c r="E75" s="99">
        <v>1495</v>
      </c>
      <c r="F75" s="99" t="s">
        <v>438</v>
      </c>
      <c r="G75" s="99">
        <v>49</v>
      </c>
      <c r="H75" s="99">
        <v>27</v>
      </c>
      <c r="I75" s="99">
        <v>153</v>
      </c>
      <c r="J75" s="99">
        <v>842</v>
      </c>
      <c r="K75" s="99">
        <v>8</v>
      </c>
      <c r="L75" s="99">
        <v>1927</v>
      </c>
      <c r="M75" s="99">
        <v>507</v>
      </c>
      <c r="N75" s="99">
        <v>214</v>
      </c>
      <c r="O75" s="99">
        <v>167</v>
      </c>
      <c r="P75" s="159">
        <v>167</v>
      </c>
      <c r="Q75" s="99">
        <v>14</v>
      </c>
      <c r="R75" s="99">
        <v>33</v>
      </c>
      <c r="S75" s="99">
        <v>46</v>
      </c>
      <c r="T75" s="99">
        <v>21</v>
      </c>
      <c r="U75" s="99">
        <v>9</v>
      </c>
      <c r="V75" s="99">
        <v>21</v>
      </c>
      <c r="W75" s="99">
        <v>61</v>
      </c>
      <c r="X75" s="99">
        <v>41</v>
      </c>
      <c r="Y75" s="99">
        <v>82</v>
      </c>
      <c r="Z75" s="99">
        <v>60</v>
      </c>
      <c r="AA75" s="99" t="s">
        <v>736</v>
      </c>
      <c r="AB75" s="99" t="s">
        <v>736</v>
      </c>
      <c r="AC75" s="99" t="s">
        <v>736</v>
      </c>
      <c r="AD75" s="98" t="s">
        <v>417</v>
      </c>
      <c r="AE75" s="100">
        <v>0.1439853606857363</v>
      </c>
      <c r="AF75" s="100">
        <v>0.12</v>
      </c>
      <c r="AG75" s="98">
        <v>471.9252624482327</v>
      </c>
      <c r="AH75" s="98">
        <v>260.0404507367813</v>
      </c>
      <c r="AI75" s="100">
        <v>0.015</v>
      </c>
      <c r="AJ75" s="100">
        <v>0.749777</v>
      </c>
      <c r="AK75" s="100">
        <v>0.4</v>
      </c>
      <c r="AL75" s="100">
        <v>0.738031</v>
      </c>
      <c r="AM75" s="100">
        <v>0.493191</v>
      </c>
      <c r="AN75" s="100">
        <v>0.511962</v>
      </c>
      <c r="AO75" s="98">
        <v>1608.3983434460176</v>
      </c>
      <c r="AP75" s="158">
        <v>0.9190765381</v>
      </c>
      <c r="AQ75" s="100">
        <v>0.08383233532934131</v>
      </c>
      <c r="AR75" s="100">
        <v>0.42424242424242425</v>
      </c>
      <c r="AS75" s="98">
        <v>443.0318790330348</v>
      </c>
      <c r="AT75" s="98">
        <v>202.25368390638545</v>
      </c>
      <c r="AU75" s="98">
        <v>86.68015024559377</v>
      </c>
      <c r="AV75" s="98">
        <v>202.25368390638545</v>
      </c>
      <c r="AW75" s="98">
        <v>587.4987961090244</v>
      </c>
      <c r="AX75" s="98">
        <v>394.8762400077049</v>
      </c>
      <c r="AY75" s="98">
        <v>789.7524800154098</v>
      </c>
      <c r="AZ75" s="98">
        <v>577.8676683039583</v>
      </c>
      <c r="BA75" s="100" t="s">
        <v>736</v>
      </c>
      <c r="BB75" s="100" t="s">
        <v>736</v>
      </c>
      <c r="BC75" s="100" t="s">
        <v>736</v>
      </c>
      <c r="BD75" s="158">
        <v>0.7849668884000001</v>
      </c>
      <c r="BE75" s="158">
        <v>1.0695273589999998</v>
      </c>
      <c r="BF75" s="162">
        <v>1123</v>
      </c>
      <c r="BG75" s="162">
        <v>20</v>
      </c>
      <c r="BH75" s="162">
        <v>2611</v>
      </c>
      <c r="BI75" s="162">
        <v>1028</v>
      </c>
      <c r="BJ75" s="162">
        <v>418</v>
      </c>
      <c r="BK75" s="97"/>
      <c r="BL75" s="97"/>
      <c r="BM75" s="97"/>
      <c r="BN75" s="97"/>
    </row>
    <row r="76" spans="1:66" ht="12.75">
      <c r="A76" s="79" t="s">
        <v>709</v>
      </c>
      <c r="B76" s="79" t="s">
        <v>396</v>
      </c>
      <c r="C76" s="79" t="s">
        <v>216</v>
      </c>
      <c r="D76" s="99">
        <v>7112</v>
      </c>
      <c r="E76" s="99">
        <v>1203</v>
      </c>
      <c r="F76" s="99" t="s">
        <v>440</v>
      </c>
      <c r="G76" s="99">
        <v>34</v>
      </c>
      <c r="H76" s="99">
        <v>20</v>
      </c>
      <c r="I76" s="99">
        <v>87</v>
      </c>
      <c r="J76" s="99">
        <v>638</v>
      </c>
      <c r="K76" s="99" t="s">
        <v>736</v>
      </c>
      <c r="L76" s="99">
        <v>1314</v>
      </c>
      <c r="M76" s="99">
        <v>420</v>
      </c>
      <c r="N76" s="99">
        <v>180</v>
      </c>
      <c r="O76" s="99">
        <v>163</v>
      </c>
      <c r="P76" s="159">
        <v>163</v>
      </c>
      <c r="Q76" s="99">
        <v>16</v>
      </c>
      <c r="R76" s="99">
        <v>35</v>
      </c>
      <c r="S76" s="99">
        <v>28</v>
      </c>
      <c r="T76" s="99">
        <v>22</v>
      </c>
      <c r="U76" s="99">
        <v>11</v>
      </c>
      <c r="V76" s="99">
        <v>29</v>
      </c>
      <c r="W76" s="99">
        <v>51</v>
      </c>
      <c r="X76" s="99">
        <v>8</v>
      </c>
      <c r="Y76" s="99">
        <v>67</v>
      </c>
      <c r="Z76" s="99">
        <v>61</v>
      </c>
      <c r="AA76" s="99" t="s">
        <v>736</v>
      </c>
      <c r="AB76" s="99" t="s">
        <v>736</v>
      </c>
      <c r="AC76" s="99" t="s">
        <v>736</v>
      </c>
      <c r="AD76" s="98" t="s">
        <v>417</v>
      </c>
      <c r="AE76" s="100">
        <v>0.16915073115860518</v>
      </c>
      <c r="AF76" s="100">
        <v>0.07</v>
      </c>
      <c r="AG76" s="98">
        <v>478.0652418447694</v>
      </c>
      <c r="AH76" s="98">
        <v>281.214848143982</v>
      </c>
      <c r="AI76" s="100">
        <v>0.012</v>
      </c>
      <c r="AJ76" s="100">
        <v>0.748826</v>
      </c>
      <c r="AK76" s="100" t="s">
        <v>736</v>
      </c>
      <c r="AL76" s="100">
        <v>0.73</v>
      </c>
      <c r="AM76" s="100">
        <v>0.530303</v>
      </c>
      <c r="AN76" s="100">
        <v>0.567823</v>
      </c>
      <c r="AO76" s="98">
        <v>2291.9010123734533</v>
      </c>
      <c r="AP76" s="158">
        <v>1.228610764</v>
      </c>
      <c r="AQ76" s="100">
        <v>0.09815950920245399</v>
      </c>
      <c r="AR76" s="100">
        <v>0.45714285714285713</v>
      </c>
      <c r="AS76" s="98">
        <v>393.7007874015748</v>
      </c>
      <c r="AT76" s="98">
        <v>309.3363329583802</v>
      </c>
      <c r="AU76" s="98">
        <v>154.6681664791901</v>
      </c>
      <c r="AV76" s="98">
        <v>407.7615298087739</v>
      </c>
      <c r="AW76" s="98">
        <v>717.0978627671541</v>
      </c>
      <c r="AX76" s="98">
        <v>112.4859392575928</v>
      </c>
      <c r="AY76" s="98">
        <v>942.0697412823397</v>
      </c>
      <c r="AZ76" s="98">
        <v>857.7052868391451</v>
      </c>
      <c r="BA76" s="100" t="s">
        <v>736</v>
      </c>
      <c r="BB76" s="100" t="s">
        <v>736</v>
      </c>
      <c r="BC76" s="100" t="s">
        <v>736</v>
      </c>
      <c r="BD76" s="158">
        <v>1.047236481</v>
      </c>
      <c r="BE76" s="158">
        <v>1.432372589</v>
      </c>
      <c r="BF76" s="162">
        <v>852</v>
      </c>
      <c r="BG76" s="162" t="s">
        <v>736</v>
      </c>
      <c r="BH76" s="162">
        <v>1800</v>
      </c>
      <c r="BI76" s="162">
        <v>792</v>
      </c>
      <c r="BJ76" s="162">
        <v>317</v>
      </c>
      <c r="BK76" s="97"/>
      <c r="BL76" s="97"/>
      <c r="BM76" s="97"/>
      <c r="BN76" s="97"/>
    </row>
    <row r="77" spans="1:66" ht="12.75">
      <c r="A77" s="79" t="s">
        <v>621</v>
      </c>
      <c r="B77" s="79" t="s">
        <v>304</v>
      </c>
      <c r="C77" s="79" t="s">
        <v>216</v>
      </c>
      <c r="D77" s="99">
        <v>9786</v>
      </c>
      <c r="E77" s="99">
        <v>2111</v>
      </c>
      <c r="F77" s="99" t="s">
        <v>440</v>
      </c>
      <c r="G77" s="99">
        <v>57</v>
      </c>
      <c r="H77" s="99">
        <v>26</v>
      </c>
      <c r="I77" s="99">
        <v>220</v>
      </c>
      <c r="J77" s="99">
        <v>958</v>
      </c>
      <c r="K77" s="99">
        <v>7</v>
      </c>
      <c r="L77" s="99">
        <v>1789</v>
      </c>
      <c r="M77" s="99">
        <v>710</v>
      </c>
      <c r="N77" s="99">
        <v>324</v>
      </c>
      <c r="O77" s="99">
        <v>141</v>
      </c>
      <c r="P77" s="159">
        <v>141</v>
      </c>
      <c r="Q77" s="99">
        <v>19</v>
      </c>
      <c r="R77" s="99">
        <v>44</v>
      </c>
      <c r="S77" s="99">
        <v>41</v>
      </c>
      <c r="T77" s="99">
        <v>18</v>
      </c>
      <c r="U77" s="99" t="s">
        <v>736</v>
      </c>
      <c r="V77" s="99">
        <v>22</v>
      </c>
      <c r="W77" s="99">
        <v>76</v>
      </c>
      <c r="X77" s="99">
        <v>44</v>
      </c>
      <c r="Y77" s="99">
        <v>60</v>
      </c>
      <c r="Z77" s="99">
        <v>66</v>
      </c>
      <c r="AA77" s="99" t="s">
        <v>736</v>
      </c>
      <c r="AB77" s="99" t="s">
        <v>736</v>
      </c>
      <c r="AC77" s="99" t="s">
        <v>736</v>
      </c>
      <c r="AD77" s="98" t="s">
        <v>417</v>
      </c>
      <c r="AE77" s="100">
        <v>0.21571632945023503</v>
      </c>
      <c r="AF77" s="100">
        <v>0.07</v>
      </c>
      <c r="AG77" s="98">
        <v>582.4647455548743</v>
      </c>
      <c r="AH77" s="98">
        <v>265.6856734109953</v>
      </c>
      <c r="AI77" s="100">
        <v>0.022000000000000002</v>
      </c>
      <c r="AJ77" s="100">
        <v>0.707011</v>
      </c>
      <c r="AK77" s="100">
        <v>0.388889</v>
      </c>
      <c r="AL77" s="100">
        <v>0.768141</v>
      </c>
      <c r="AM77" s="100">
        <v>0.558615</v>
      </c>
      <c r="AN77" s="100">
        <v>0.601113</v>
      </c>
      <c r="AO77" s="98">
        <v>1440.8338442673207</v>
      </c>
      <c r="AP77" s="158">
        <v>0.6700637817</v>
      </c>
      <c r="AQ77" s="100">
        <v>0.1347517730496454</v>
      </c>
      <c r="AR77" s="100">
        <v>0.4318181818181818</v>
      </c>
      <c r="AS77" s="98">
        <v>418.96586960964646</v>
      </c>
      <c r="AT77" s="98">
        <v>183.93623543838137</v>
      </c>
      <c r="AU77" s="98" t="s">
        <v>736</v>
      </c>
      <c r="AV77" s="98">
        <v>224.81095442468833</v>
      </c>
      <c r="AW77" s="98">
        <v>776.6196607398324</v>
      </c>
      <c r="AX77" s="98">
        <v>449.62190884937667</v>
      </c>
      <c r="AY77" s="98">
        <v>613.1207847946046</v>
      </c>
      <c r="AZ77" s="98">
        <v>674.432863274065</v>
      </c>
      <c r="BA77" s="101" t="s">
        <v>736</v>
      </c>
      <c r="BB77" s="101" t="s">
        <v>736</v>
      </c>
      <c r="BC77" s="101" t="s">
        <v>736</v>
      </c>
      <c r="BD77" s="158">
        <v>0.5640314102</v>
      </c>
      <c r="BE77" s="158">
        <v>0.7902377319</v>
      </c>
      <c r="BF77" s="162">
        <v>1355</v>
      </c>
      <c r="BG77" s="162">
        <v>18</v>
      </c>
      <c r="BH77" s="162">
        <v>2329</v>
      </c>
      <c r="BI77" s="162">
        <v>1271</v>
      </c>
      <c r="BJ77" s="162">
        <v>539</v>
      </c>
      <c r="BK77" s="97"/>
      <c r="BL77" s="97"/>
      <c r="BM77" s="97"/>
      <c r="BN77" s="97"/>
    </row>
    <row r="78" spans="1:66" ht="12.75">
      <c r="A78" s="79" t="s">
        <v>719</v>
      </c>
      <c r="B78" s="79" t="s">
        <v>406</v>
      </c>
      <c r="C78" s="79" t="s">
        <v>216</v>
      </c>
      <c r="D78" s="99">
        <v>2485</v>
      </c>
      <c r="E78" s="99">
        <v>314</v>
      </c>
      <c r="F78" s="99" t="s">
        <v>440</v>
      </c>
      <c r="G78" s="99">
        <v>10</v>
      </c>
      <c r="H78" s="99">
        <v>6</v>
      </c>
      <c r="I78" s="99">
        <v>28</v>
      </c>
      <c r="J78" s="99">
        <v>123</v>
      </c>
      <c r="K78" s="99" t="s">
        <v>736</v>
      </c>
      <c r="L78" s="99">
        <v>482</v>
      </c>
      <c r="M78" s="99">
        <v>95</v>
      </c>
      <c r="N78" s="99">
        <v>50</v>
      </c>
      <c r="O78" s="99">
        <v>42</v>
      </c>
      <c r="P78" s="159">
        <v>42</v>
      </c>
      <c r="Q78" s="99" t="s">
        <v>736</v>
      </c>
      <c r="R78" s="99">
        <v>7</v>
      </c>
      <c r="S78" s="99">
        <v>12</v>
      </c>
      <c r="T78" s="99">
        <v>8</v>
      </c>
      <c r="U78" s="99" t="s">
        <v>736</v>
      </c>
      <c r="V78" s="99" t="s">
        <v>736</v>
      </c>
      <c r="W78" s="99">
        <v>10</v>
      </c>
      <c r="X78" s="99">
        <v>7</v>
      </c>
      <c r="Y78" s="99">
        <v>21</v>
      </c>
      <c r="Z78" s="99">
        <v>7</v>
      </c>
      <c r="AA78" s="99" t="s">
        <v>736</v>
      </c>
      <c r="AB78" s="99" t="s">
        <v>736</v>
      </c>
      <c r="AC78" s="99" t="s">
        <v>736</v>
      </c>
      <c r="AD78" s="98" t="s">
        <v>417</v>
      </c>
      <c r="AE78" s="100">
        <v>0.12635814889336017</v>
      </c>
      <c r="AF78" s="100">
        <v>0.04</v>
      </c>
      <c r="AG78" s="98">
        <v>402.4144869215292</v>
      </c>
      <c r="AH78" s="98">
        <v>241.44869215291752</v>
      </c>
      <c r="AI78" s="100">
        <v>0.011000000000000001</v>
      </c>
      <c r="AJ78" s="100">
        <v>0.706897</v>
      </c>
      <c r="AK78" s="100" t="s">
        <v>736</v>
      </c>
      <c r="AL78" s="100">
        <v>0.773676</v>
      </c>
      <c r="AM78" s="100">
        <v>0.620915</v>
      </c>
      <c r="AN78" s="100">
        <v>0.617284</v>
      </c>
      <c r="AO78" s="98">
        <v>1690.1408450704225</v>
      </c>
      <c r="AP78" s="158">
        <v>1.06584053</v>
      </c>
      <c r="AQ78" s="100" t="s">
        <v>736</v>
      </c>
      <c r="AR78" s="100" t="s">
        <v>736</v>
      </c>
      <c r="AS78" s="98">
        <v>482.89738430583503</v>
      </c>
      <c r="AT78" s="98">
        <v>321.9315895372233</v>
      </c>
      <c r="AU78" s="98" t="s">
        <v>736</v>
      </c>
      <c r="AV78" s="98" t="s">
        <v>736</v>
      </c>
      <c r="AW78" s="98">
        <v>402.4144869215292</v>
      </c>
      <c r="AX78" s="98">
        <v>281.6901408450704</v>
      </c>
      <c r="AY78" s="98">
        <v>845.0704225352113</v>
      </c>
      <c r="AZ78" s="98">
        <v>281.6901408450704</v>
      </c>
      <c r="BA78" s="100" t="s">
        <v>736</v>
      </c>
      <c r="BB78" s="100" t="s">
        <v>736</v>
      </c>
      <c r="BC78" s="100" t="s">
        <v>736</v>
      </c>
      <c r="BD78" s="158">
        <v>0.7681640625</v>
      </c>
      <c r="BE78" s="158">
        <v>1.440706787</v>
      </c>
      <c r="BF78" s="162">
        <v>174</v>
      </c>
      <c r="BG78" s="162" t="s">
        <v>736</v>
      </c>
      <c r="BH78" s="162">
        <v>623</v>
      </c>
      <c r="BI78" s="162">
        <v>153</v>
      </c>
      <c r="BJ78" s="162">
        <v>81</v>
      </c>
      <c r="BK78" s="97"/>
      <c r="BL78" s="97"/>
      <c r="BM78" s="97"/>
      <c r="BN78" s="97"/>
    </row>
    <row r="79" spans="1:66" ht="12.75">
      <c r="A79" s="79" t="s">
        <v>722</v>
      </c>
      <c r="B79" s="79" t="s">
        <v>409</v>
      </c>
      <c r="C79" s="79" t="s">
        <v>216</v>
      </c>
      <c r="D79" s="99">
        <v>5086</v>
      </c>
      <c r="E79" s="99">
        <v>927</v>
      </c>
      <c r="F79" s="99" t="s">
        <v>440</v>
      </c>
      <c r="G79" s="99">
        <v>23</v>
      </c>
      <c r="H79" s="99">
        <v>11</v>
      </c>
      <c r="I79" s="99">
        <v>102</v>
      </c>
      <c r="J79" s="99">
        <v>516</v>
      </c>
      <c r="K79" s="99">
        <v>445</v>
      </c>
      <c r="L79" s="99">
        <v>1008</v>
      </c>
      <c r="M79" s="99">
        <v>369</v>
      </c>
      <c r="N79" s="99">
        <v>176</v>
      </c>
      <c r="O79" s="99">
        <v>93</v>
      </c>
      <c r="P79" s="159">
        <v>93</v>
      </c>
      <c r="Q79" s="99">
        <v>6</v>
      </c>
      <c r="R79" s="99">
        <v>32</v>
      </c>
      <c r="S79" s="99">
        <v>12</v>
      </c>
      <c r="T79" s="99">
        <v>23</v>
      </c>
      <c r="U79" s="99">
        <v>10</v>
      </c>
      <c r="V79" s="99">
        <v>24</v>
      </c>
      <c r="W79" s="99">
        <v>36</v>
      </c>
      <c r="X79" s="99">
        <v>28</v>
      </c>
      <c r="Y79" s="99">
        <v>72</v>
      </c>
      <c r="Z79" s="99">
        <v>31</v>
      </c>
      <c r="AA79" s="99" t="s">
        <v>736</v>
      </c>
      <c r="AB79" s="99" t="s">
        <v>736</v>
      </c>
      <c r="AC79" s="99" t="s">
        <v>736</v>
      </c>
      <c r="AD79" s="98" t="s">
        <v>417</v>
      </c>
      <c r="AE79" s="100">
        <v>0.1822650412898152</v>
      </c>
      <c r="AF79" s="100">
        <v>0.06</v>
      </c>
      <c r="AG79" s="98">
        <v>452.22178529296104</v>
      </c>
      <c r="AH79" s="98">
        <v>216.2799842705466</v>
      </c>
      <c r="AI79" s="100">
        <v>0.02</v>
      </c>
      <c r="AJ79" s="100">
        <v>0.752187</v>
      </c>
      <c r="AK79" s="100">
        <v>0.746644</v>
      </c>
      <c r="AL79" s="100">
        <v>0.768293</v>
      </c>
      <c r="AM79" s="100">
        <v>0.576563</v>
      </c>
      <c r="AN79" s="100">
        <v>0.608997</v>
      </c>
      <c r="AO79" s="98">
        <v>1828.5489579237121</v>
      </c>
      <c r="AP79" s="158">
        <v>0.9148314666999999</v>
      </c>
      <c r="AQ79" s="100">
        <v>0.06451612903225806</v>
      </c>
      <c r="AR79" s="100">
        <v>0.1875</v>
      </c>
      <c r="AS79" s="98">
        <v>235.94180102241447</v>
      </c>
      <c r="AT79" s="98">
        <v>452.22178529296104</v>
      </c>
      <c r="AU79" s="98">
        <v>196.61816751867872</v>
      </c>
      <c r="AV79" s="98">
        <v>471.88360204482893</v>
      </c>
      <c r="AW79" s="98">
        <v>707.8254030672434</v>
      </c>
      <c r="AX79" s="98">
        <v>550.5308690523004</v>
      </c>
      <c r="AY79" s="98">
        <v>1415.6508061344869</v>
      </c>
      <c r="AZ79" s="98">
        <v>609.516319307904</v>
      </c>
      <c r="BA79" s="100" t="s">
        <v>736</v>
      </c>
      <c r="BB79" s="100" t="s">
        <v>736</v>
      </c>
      <c r="BC79" s="100" t="s">
        <v>736</v>
      </c>
      <c r="BD79" s="158">
        <v>0.7383870697</v>
      </c>
      <c r="BE79" s="158">
        <v>1.120730362</v>
      </c>
      <c r="BF79" s="162">
        <v>686</v>
      </c>
      <c r="BG79" s="162">
        <v>596</v>
      </c>
      <c r="BH79" s="162">
        <v>1312</v>
      </c>
      <c r="BI79" s="162">
        <v>640</v>
      </c>
      <c r="BJ79" s="162">
        <v>289</v>
      </c>
      <c r="BK79" s="97"/>
      <c r="BL79" s="97"/>
      <c r="BM79" s="97"/>
      <c r="BN79" s="97"/>
    </row>
    <row r="80" spans="1:66" ht="12.75">
      <c r="A80" s="79" t="s">
        <v>608</v>
      </c>
      <c r="B80" s="79" t="s">
        <v>290</v>
      </c>
      <c r="C80" s="79" t="s">
        <v>216</v>
      </c>
      <c r="D80" s="99">
        <v>6646</v>
      </c>
      <c r="E80" s="99">
        <v>1214</v>
      </c>
      <c r="F80" s="99" t="s">
        <v>440</v>
      </c>
      <c r="G80" s="99">
        <v>32</v>
      </c>
      <c r="H80" s="99">
        <v>15</v>
      </c>
      <c r="I80" s="99">
        <v>82</v>
      </c>
      <c r="J80" s="99">
        <v>613</v>
      </c>
      <c r="K80" s="99">
        <v>570</v>
      </c>
      <c r="L80" s="99">
        <v>1363</v>
      </c>
      <c r="M80" s="99">
        <v>417</v>
      </c>
      <c r="N80" s="99">
        <v>203</v>
      </c>
      <c r="O80" s="99">
        <v>94</v>
      </c>
      <c r="P80" s="159">
        <v>94</v>
      </c>
      <c r="Q80" s="99">
        <v>8</v>
      </c>
      <c r="R80" s="99">
        <v>29</v>
      </c>
      <c r="S80" s="99">
        <v>25</v>
      </c>
      <c r="T80" s="99">
        <v>8</v>
      </c>
      <c r="U80" s="99" t="s">
        <v>736</v>
      </c>
      <c r="V80" s="99">
        <v>31</v>
      </c>
      <c r="W80" s="99">
        <v>45</v>
      </c>
      <c r="X80" s="99">
        <v>15</v>
      </c>
      <c r="Y80" s="99">
        <v>33</v>
      </c>
      <c r="Z80" s="99">
        <v>37</v>
      </c>
      <c r="AA80" s="99" t="s">
        <v>736</v>
      </c>
      <c r="AB80" s="99" t="s">
        <v>736</v>
      </c>
      <c r="AC80" s="99" t="s">
        <v>736</v>
      </c>
      <c r="AD80" s="98" t="s">
        <v>417</v>
      </c>
      <c r="AE80" s="100">
        <v>0.18266626542281073</v>
      </c>
      <c r="AF80" s="100">
        <v>0.05</v>
      </c>
      <c r="AG80" s="98">
        <v>481.49262714414687</v>
      </c>
      <c r="AH80" s="98">
        <v>225.69966897381883</v>
      </c>
      <c r="AI80" s="100">
        <v>0.012</v>
      </c>
      <c r="AJ80" s="100">
        <v>0.735894</v>
      </c>
      <c r="AK80" s="100">
        <v>0.721519</v>
      </c>
      <c r="AL80" s="100">
        <v>0.810827</v>
      </c>
      <c r="AM80" s="100">
        <v>0.539457</v>
      </c>
      <c r="AN80" s="100">
        <v>0.618902</v>
      </c>
      <c r="AO80" s="98">
        <v>1414.3845922359314</v>
      </c>
      <c r="AP80" s="158">
        <v>0.7245017242</v>
      </c>
      <c r="AQ80" s="100">
        <v>0.0851063829787234</v>
      </c>
      <c r="AR80" s="100">
        <v>0.27586206896551724</v>
      </c>
      <c r="AS80" s="98">
        <v>376.1661149563647</v>
      </c>
      <c r="AT80" s="98">
        <v>120.37315678603672</v>
      </c>
      <c r="AU80" s="98" t="s">
        <v>736</v>
      </c>
      <c r="AV80" s="98">
        <v>466.44598254589226</v>
      </c>
      <c r="AW80" s="98">
        <v>677.0990069214565</v>
      </c>
      <c r="AX80" s="98">
        <v>225.69966897381883</v>
      </c>
      <c r="AY80" s="98">
        <v>496.53927174240147</v>
      </c>
      <c r="AZ80" s="98">
        <v>556.7258501354198</v>
      </c>
      <c r="BA80" s="100" t="s">
        <v>736</v>
      </c>
      <c r="BB80" s="100" t="s">
        <v>736</v>
      </c>
      <c r="BC80" s="100" t="s">
        <v>736</v>
      </c>
      <c r="BD80" s="158">
        <v>0.5854711533</v>
      </c>
      <c r="BE80" s="158">
        <v>0.8866066742</v>
      </c>
      <c r="BF80" s="162">
        <v>833</v>
      </c>
      <c r="BG80" s="162">
        <v>790</v>
      </c>
      <c r="BH80" s="162">
        <v>1681</v>
      </c>
      <c r="BI80" s="162">
        <v>773</v>
      </c>
      <c r="BJ80" s="162">
        <v>328</v>
      </c>
      <c r="BK80" s="97"/>
      <c r="BL80" s="97"/>
      <c r="BM80" s="97"/>
      <c r="BN80" s="97"/>
    </row>
    <row r="81" spans="1:66" ht="12.75">
      <c r="A81" s="79" t="s">
        <v>686</v>
      </c>
      <c r="B81" s="79" t="s">
        <v>373</v>
      </c>
      <c r="C81" s="79" t="s">
        <v>216</v>
      </c>
      <c r="D81" s="99">
        <v>3455</v>
      </c>
      <c r="E81" s="99">
        <v>603</v>
      </c>
      <c r="F81" s="99" t="s">
        <v>440</v>
      </c>
      <c r="G81" s="99">
        <v>15</v>
      </c>
      <c r="H81" s="99">
        <v>7</v>
      </c>
      <c r="I81" s="99">
        <v>65</v>
      </c>
      <c r="J81" s="99">
        <v>286</v>
      </c>
      <c r="K81" s="99" t="s">
        <v>736</v>
      </c>
      <c r="L81" s="99">
        <v>655</v>
      </c>
      <c r="M81" s="99">
        <v>179</v>
      </c>
      <c r="N81" s="99">
        <v>73</v>
      </c>
      <c r="O81" s="99">
        <v>35</v>
      </c>
      <c r="P81" s="159">
        <v>35</v>
      </c>
      <c r="Q81" s="99" t="s">
        <v>736</v>
      </c>
      <c r="R81" s="99">
        <v>9</v>
      </c>
      <c r="S81" s="99">
        <v>11</v>
      </c>
      <c r="T81" s="99" t="s">
        <v>736</v>
      </c>
      <c r="U81" s="99" t="s">
        <v>736</v>
      </c>
      <c r="V81" s="99" t="s">
        <v>736</v>
      </c>
      <c r="W81" s="99">
        <v>16</v>
      </c>
      <c r="X81" s="99">
        <v>12</v>
      </c>
      <c r="Y81" s="99">
        <v>18</v>
      </c>
      <c r="Z81" s="99">
        <v>18</v>
      </c>
      <c r="AA81" s="99" t="s">
        <v>736</v>
      </c>
      <c r="AB81" s="99" t="s">
        <v>736</v>
      </c>
      <c r="AC81" s="99" t="s">
        <v>736</v>
      </c>
      <c r="AD81" s="98" t="s">
        <v>417</v>
      </c>
      <c r="AE81" s="100">
        <v>0.17452966714905935</v>
      </c>
      <c r="AF81" s="100">
        <v>0.08</v>
      </c>
      <c r="AG81" s="98">
        <v>434.1534008683068</v>
      </c>
      <c r="AH81" s="98">
        <v>202.60492040520984</v>
      </c>
      <c r="AI81" s="100">
        <v>0.019</v>
      </c>
      <c r="AJ81" s="100">
        <v>0.706173</v>
      </c>
      <c r="AK81" s="100" t="s">
        <v>736</v>
      </c>
      <c r="AL81" s="100">
        <v>0.796837</v>
      </c>
      <c r="AM81" s="100">
        <v>0.490411</v>
      </c>
      <c r="AN81" s="100">
        <v>0.536765</v>
      </c>
      <c r="AO81" s="98">
        <v>1013.0246020260493</v>
      </c>
      <c r="AP81" s="158">
        <v>0.5208430481</v>
      </c>
      <c r="AQ81" s="100" t="s">
        <v>736</v>
      </c>
      <c r="AR81" s="100" t="s">
        <v>736</v>
      </c>
      <c r="AS81" s="98">
        <v>318.37916063675834</v>
      </c>
      <c r="AT81" s="98" t="s">
        <v>736</v>
      </c>
      <c r="AU81" s="98" t="s">
        <v>736</v>
      </c>
      <c r="AV81" s="98" t="s">
        <v>736</v>
      </c>
      <c r="AW81" s="98">
        <v>463.0969609261939</v>
      </c>
      <c r="AX81" s="98">
        <v>347.32272069464545</v>
      </c>
      <c r="AY81" s="98">
        <v>520.9840810419681</v>
      </c>
      <c r="AZ81" s="98">
        <v>520.9840810419681</v>
      </c>
      <c r="BA81" s="100" t="s">
        <v>736</v>
      </c>
      <c r="BB81" s="100" t="s">
        <v>736</v>
      </c>
      <c r="BC81" s="100" t="s">
        <v>736</v>
      </c>
      <c r="BD81" s="158">
        <v>0.36278625490000005</v>
      </c>
      <c r="BE81" s="158">
        <v>0.7243666077</v>
      </c>
      <c r="BF81" s="162">
        <v>405</v>
      </c>
      <c r="BG81" s="162" t="s">
        <v>736</v>
      </c>
      <c r="BH81" s="162">
        <v>822</v>
      </c>
      <c r="BI81" s="162">
        <v>365</v>
      </c>
      <c r="BJ81" s="162">
        <v>136</v>
      </c>
      <c r="BK81" s="97"/>
      <c r="BL81" s="97"/>
      <c r="BM81" s="97"/>
      <c r="BN81" s="97"/>
    </row>
    <row r="82" spans="1:66" ht="12.75">
      <c r="A82" s="79" t="s">
        <v>744</v>
      </c>
      <c r="B82" s="79" t="s">
        <v>367</v>
      </c>
      <c r="C82" s="79" t="s">
        <v>216</v>
      </c>
      <c r="D82" s="99">
        <v>6297</v>
      </c>
      <c r="E82" s="99">
        <v>1283</v>
      </c>
      <c r="F82" s="99" t="s">
        <v>440</v>
      </c>
      <c r="G82" s="99">
        <v>12</v>
      </c>
      <c r="H82" s="99">
        <v>19</v>
      </c>
      <c r="I82" s="99">
        <v>118</v>
      </c>
      <c r="J82" s="99">
        <v>576</v>
      </c>
      <c r="K82" s="99">
        <v>518</v>
      </c>
      <c r="L82" s="99">
        <v>1114</v>
      </c>
      <c r="M82" s="99">
        <v>442</v>
      </c>
      <c r="N82" s="99">
        <v>196</v>
      </c>
      <c r="O82" s="99">
        <v>79</v>
      </c>
      <c r="P82" s="159">
        <v>79</v>
      </c>
      <c r="Q82" s="99">
        <v>13</v>
      </c>
      <c r="R82" s="99">
        <v>40</v>
      </c>
      <c r="S82" s="99">
        <v>18</v>
      </c>
      <c r="T82" s="99">
        <v>17</v>
      </c>
      <c r="U82" s="99" t="s">
        <v>736</v>
      </c>
      <c r="V82" s="99">
        <v>15</v>
      </c>
      <c r="W82" s="99">
        <v>42</v>
      </c>
      <c r="X82" s="99">
        <v>21</v>
      </c>
      <c r="Y82" s="99">
        <v>67</v>
      </c>
      <c r="Z82" s="99">
        <v>51</v>
      </c>
      <c r="AA82" s="99" t="s">
        <v>736</v>
      </c>
      <c r="AB82" s="99" t="s">
        <v>736</v>
      </c>
      <c r="AC82" s="99" t="s">
        <v>736</v>
      </c>
      <c r="AD82" s="98" t="s">
        <v>417</v>
      </c>
      <c r="AE82" s="100">
        <v>0.2037478164205177</v>
      </c>
      <c r="AF82" s="100">
        <v>0.07</v>
      </c>
      <c r="AG82" s="98">
        <v>190.56693663649358</v>
      </c>
      <c r="AH82" s="98">
        <v>301.7309830077815</v>
      </c>
      <c r="AI82" s="100">
        <v>0.019</v>
      </c>
      <c r="AJ82" s="100">
        <v>0.765957</v>
      </c>
      <c r="AK82" s="100">
        <v>0.737892</v>
      </c>
      <c r="AL82" s="100">
        <v>0.774687</v>
      </c>
      <c r="AM82" s="100">
        <v>0.550436</v>
      </c>
      <c r="AN82" s="100">
        <v>0.563218</v>
      </c>
      <c r="AO82" s="98">
        <v>1254.5656661902494</v>
      </c>
      <c r="AP82" s="158">
        <v>0.6151319885000001</v>
      </c>
      <c r="AQ82" s="100">
        <v>0.16455696202531644</v>
      </c>
      <c r="AR82" s="100">
        <v>0.325</v>
      </c>
      <c r="AS82" s="98">
        <v>285.8504049547403</v>
      </c>
      <c r="AT82" s="98">
        <v>269.9698269016992</v>
      </c>
      <c r="AU82" s="98" t="s">
        <v>736</v>
      </c>
      <c r="AV82" s="98">
        <v>238.20867079561697</v>
      </c>
      <c r="AW82" s="98">
        <v>666.9842782277275</v>
      </c>
      <c r="AX82" s="98">
        <v>333.49213911386374</v>
      </c>
      <c r="AY82" s="98">
        <v>1063.9987295537558</v>
      </c>
      <c r="AZ82" s="98">
        <v>809.9094807050976</v>
      </c>
      <c r="BA82" s="100" t="s">
        <v>736</v>
      </c>
      <c r="BB82" s="100" t="s">
        <v>736</v>
      </c>
      <c r="BC82" s="100" t="s">
        <v>736</v>
      </c>
      <c r="BD82" s="158">
        <v>0.4870057678</v>
      </c>
      <c r="BE82" s="158">
        <v>0.7666379547</v>
      </c>
      <c r="BF82" s="162">
        <v>752</v>
      </c>
      <c r="BG82" s="162">
        <v>702</v>
      </c>
      <c r="BH82" s="162">
        <v>1438</v>
      </c>
      <c r="BI82" s="162">
        <v>803</v>
      </c>
      <c r="BJ82" s="162">
        <v>348</v>
      </c>
      <c r="BK82" s="97"/>
      <c r="BL82" s="97"/>
      <c r="BM82" s="97"/>
      <c r="BN82" s="97"/>
    </row>
    <row r="83" spans="1:66" ht="12.75">
      <c r="A83" s="79" t="s">
        <v>711</v>
      </c>
      <c r="B83" s="79" t="s">
        <v>398</v>
      </c>
      <c r="C83" s="79" t="s">
        <v>216</v>
      </c>
      <c r="D83" s="99">
        <v>2216</v>
      </c>
      <c r="E83" s="99">
        <v>251</v>
      </c>
      <c r="F83" s="99" t="s">
        <v>439</v>
      </c>
      <c r="G83" s="99" t="s">
        <v>736</v>
      </c>
      <c r="H83" s="99" t="s">
        <v>736</v>
      </c>
      <c r="I83" s="99">
        <v>35</v>
      </c>
      <c r="J83" s="99">
        <v>162</v>
      </c>
      <c r="K83" s="99">
        <v>162</v>
      </c>
      <c r="L83" s="99">
        <v>441</v>
      </c>
      <c r="M83" s="99">
        <v>69</v>
      </c>
      <c r="N83" s="99">
        <v>27</v>
      </c>
      <c r="O83" s="99">
        <v>14</v>
      </c>
      <c r="P83" s="159">
        <v>14</v>
      </c>
      <c r="Q83" s="99" t="s">
        <v>736</v>
      </c>
      <c r="R83" s="99">
        <v>7</v>
      </c>
      <c r="S83" s="99">
        <v>6</v>
      </c>
      <c r="T83" s="99" t="s">
        <v>736</v>
      </c>
      <c r="U83" s="99" t="s">
        <v>736</v>
      </c>
      <c r="V83" s="99" t="s">
        <v>736</v>
      </c>
      <c r="W83" s="99">
        <v>8</v>
      </c>
      <c r="X83" s="99">
        <v>17</v>
      </c>
      <c r="Y83" s="99">
        <v>20</v>
      </c>
      <c r="Z83" s="99" t="s">
        <v>736</v>
      </c>
      <c r="AA83" s="99" t="s">
        <v>736</v>
      </c>
      <c r="AB83" s="99" t="s">
        <v>736</v>
      </c>
      <c r="AC83" s="99" t="s">
        <v>736</v>
      </c>
      <c r="AD83" s="98" t="s">
        <v>417</v>
      </c>
      <c r="AE83" s="100">
        <v>0.11326714801444043</v>
      </c>
      <c r="AF83" s="100">
        <v>0.16</v>
      </c>
      <c r="AG83" s="98" t="s">
        <v>736</v>
      </c>
      <c r="AH83" s="98" t="s">
        <v>736</v>
      </c>
      <c r="AI83" s="100">
        <v>0.016</v>
      </c>
      <c r="AJ83" s="100">
        <v>0.710526</v>
      </c>
      <c r="AK83" s="100">
        <v>0.72</v>
      </c>
      <c r="AL83" s="100">
        <v>0.88024</v>
      </c>
      <c r="AM83" s="100">
        <v>0.442308</v>
      </c>
      <c r="AN83" s="100">
        <v>0.465517</v>
      </c>
      <c r="AO83" s="98">
        <v>631.768953068592</v>
      </c>
      <c r="AP83" s="158">
        <v>0.4010827637</v>
      </c>
      <c r="AQ83" s="100" t="s">
        <v>736</v>
      </c>
      <c r="AR83" s="100" t="s">
        <v>736</v>
      </c>
      <c r="AS83" s="98">
        <v>270.7581227436823</v>
      </c>
      <c r="AT83" s="98" t="s">
        <v>736</v>
      </c>
      <c r="AU83" s="98" t="s">
        <v>736</v>
      </c>
      <c r="AV83" s="98" t="s">
        <v>736</v>
      </c>
      <c r="AW83" s="98">
        <v>361.01083032490976</v>
      </c>
      <c r="AX83" s="98">
        <v>767.1480144404333</v>
      </c>
      <c r="AY83" s="98">
        <v>902.5270758122743</v>
      </c>
      <c r="AZ83" s="98" t="s">
        <v>736</v>
      </c>
      <c r="BA83" s="100" t="s">
        <v>736</v>
      </c>
      <c r="BB83" s="100" t="s">
        <v>736</v>
      </c>
      <c r="BC83" s="100" t="s">
        <v>736</v>
      </c>
      <c r="BD83" s="158">
        <v>0.2192756844</v>
      </c>
      <c r="BE83" s="158">
        <v>0.6729486847</v>
      </c>
      <c r="BF83" s="162">
        <v>228</v>
      </c>
      <c r="BG83" s="162">
        <v>225</v>
      </c>
      <c r="BH83" s="162">
        <v>501</v>
      </c>
      <c r="BI83" s="162">
        <v>156</v>
      </c>
      <c r="BJ83" s="162">
        <v>58</v>
      </c>
      <c r="BK83" s="97"/>
      <c r="BL83" s="97"/>
      <c r="BM83" s="97"/>
      <c r="BN83" s="97"/>
    </row>
    <row r="84" spans="1:66" ht="12.75">
      <c r="A84" s="79" t="s">
        <v>700</v>
      </c>
      <c r="B84" s="79" t="s">
        <v>387</v>
      </c>
      <c r="C84" s="79" t="s">
        <v>216</v>
      </c>
      <c r="D84" s="99">
        <v>3181</v>
      </c>
      <c r="E84" s="99">
        <v>427</v>
      </c>
      <c r="F84" s="99" t="s">
        <v>440</v>
      </c>
      <c r="G84" s="99">
        <v>9</v>
      </c>
      <c r="H84" s="99">
        <v>8</v>
      </c>
      <c r="I84" s="99">
        <v>64</v>
      </c>
      <c r="J84" s="99">
        <v>248</v>
      </c>
      <c r="K84" s="99">
        <v>236</v>
      </c>
      <c r="L84" s="99">
        <v>661</v>
      </c>
      <c r="M84" s="99">
        <v>179</v>
      </c>
      <c r="N84" s="99">
        <v>81</v>
      </c>
      <c r="O84" s="99">
        <v>29</v>
      </c>
      <c r="P84" s="159">
        <v>29</v>
      </c>
      <c r="Q84" s="99" t="s">
        <v>736</v>
      </c>
      <c r="R84" s="99">
        <v>10</v>
      </c>
      <c r="S84" s="99">
        <v>8</v>
      </c>
      <c r="T84" s="99" t="s">
        <v>736</v>
      </c>
      <c r="U84" s="99" t="s">
        <v>736</v>
      </c>
      <c r="V84" s="99">
        <v>8</v>
      </c>
      <c r="W84" s="99">
        <v>10</v>
      </c>
      <c r="X84" s="99">
        <v>8</v>
      </c>
      <c r="Y84" s="99">
        <v>21</v>
      </c>
      <c r="Z84" s="99">
        <v>10</v>
      </c>
      <c r="AA84" s="99" t="s">
        <v>736</v>
      </c>
      <c r="AB84" s="99" t="s">
        <v>736</v>
      </c>
      <c r="AC84" s="99" t="s">
        <v>736</v>
      </c>
      <c r="AD84" s="98" t="s">
        <v>417</v>
      </c>
      <c r="AE84" s="100">
        <v>0.1342345174473436</v>
      </c>
      <c r="AF84" s="100">
        <v>0.04</v>
      </c>
      <c r="AG84" s="98">
        <v>282.92989625903806</v>
      </c>
      <c r="AH84" s="98">
        <v>251.49324111914493</v>
      </c>
      <c r="AI84" s="100">
        <v>0.02</v>
      </c>
      <c r="AJ84" s="100">
        <v>0.742515</v>
      </c>
      <c r="AK84" s="100">
        <v>0.742138</v>
      </c>
      <c r="AL84" s="100">
        <v>0.770396</v>
      </c>
      <c r="AM84" s="100">
        <v>0.568254</v>
      </c>
      <c r="AN84" s="100">
        <v>0.574468</v>
      </c>
      <c r="AO84" s="98">
        <v>911.6629990569004</v>
      </c>
      <c r="AP84" s="158">
        <v>0.52461483</v>
      </c>
      <c r="AQ84" s="100" t="s">
        <v>736</v>
      </c>
      <c r="AR84" s="100" t="s">
        <v>736</v>
      </c>
      <c r="AS84" s="98">
        <v>251.49324111914493</v>
      </c>
      <c r="AT84" s="98" t="s">
        <v>736</v>
      </c>
      <c r="AU84" s="98" t="s">
        <v>736</v>
      </c>
      <c r="AV84" s="98">
        <v>251.49324111914493</v>
      </c>
      <c r="AW84" s="98">
        <v>314.36655139893116</v>
      </c>
      <c r="AX84" s="98">
        <v>251.49324111914493</v>
      </c>
      <c r="AY84" s="98">
        <v>660.1697579377554</v>
      </c>
      <c r="AZ84" s="98">
        <v>314.36655139893116</v>
      </c>
      <c r="BA84" s="100" t="s">
        <v>736</v>
      </c>
      <c r="BB84" s="100" t="s">
        <v>736</v>
      </c>
      <c r="BC84" s="100" t="s">
        <v>736</v>
      </c>
      <c r="BD84" s="158">
        <v>0.3513427734</v>
      </c>
      <c r="BE84" s="158">
        <v>0.7534343719000001</v>
      </c>
      <c r="BF84" s="162">
        <v>334</v>
      </c>
      <c r="BG84" s="162">
        <v>318</v>
      </c>
      <c r="BH84" s="162">
        <v>858</v>
      </c>
      <c r="BI84" s="162">
        <v>315</v>
      </c>
      <c r="BJ84" s="162">
        <v>141</v>
      </c>
      <c r="BK84" s="97"/>
      <c r="BL84" s="97"/>
      <c r="BM84" s="97"/>
      <c r="BN84" s="97"/>
    </row>
    <row r="85" spans="1:66" ht="12.75">
      <c r="A85" s="79" t="s">
        <v>687</v>
      </c>
      <c r="B85" s="79" t="s">
        <v>374</v>
      </c>
      <c r="C85" s="79" t="s">
        <v>216</v>
      </c>
      <c r="D85" s="99">
        <v>6138</v>
      </c>
      <c r="E85" s="99">
        <v>1057</v>
      </c>
      <c r="F85" s="99" t="s">
        <v>440</v>
      </c>
      <c r="G85" s="99">
        <v>30</v>
      </c>
      <c r="H85" s="99">
        <v>17</v>
      </c>
      <c r="I85" s="99">
        <v>129</v>
      </c>
      <c r="J85" s="99">
        <v>516</v>
      </c>
      <c r="K85" s="99">
        <v>11</v>
      </c>
      <c r="L85" s="99">
        <v>1097</v>
      </c>
      <c r="M85" s="99">
        <v>354</v>
      </c>
      <c r="N85" s="99">
        <v>173</v>
      </c>
      <c r="O85" s="99">
        <v>57</v>
      </c>
      <c r="P85" s="159">
        <v>57</v>
      </c>
      <c r="Q85" s="99" t="s">
        <v>736</v>
      </c>
      <c r="R85" s="99">
        <v>13</v>
      </c>
      <c r="S85" s="99">
        <v>15</v>
      </c>
      <c r="T85" s="99">
        <v>7</v>
      </c>
      <c r="U85" s="99" t="s">
        <v>736</v>
      </c>
      <c r="V85" s="99">
        <v>13</v>
      </c>
      <c r="W85" s="99">
        <v>34</v>
      </c>
      <c r="X85" s="99">
        <v>9</v>
      </c>
      <c r="Y85" s="99">
        <v>26</v>
      </c>
      <c r="Z85" s="99">
        <v>47</v>
      </c>
      <c r="AA85" s="99" t="s">
        <v>736</v>
      </c>
      <c r="AB85" s="99" t="s">
        <v>736</v>
      </c>
      <c r="AC85" s="99" t="s">
        <v>736</v>
      </c>
      <c r="AD85" s="98" t="s">
        <v>417</v>
      </c>
      <c r="AE85" s="100">
        <v>0.1722059302704464</v>
      </c>
      <c r="AF85" s="100">
        <v>0.03</v>
      </c>
      <c r="AG85" s="98">
        <v>488.7585532746823</v>
      </c>
      <c r="AH85" s="98">
        <v>276.96318018898666</v>
      </c>
      <c r="AI85" s="100">
        <v>0.021</v>
      </c>
      <c r="AJ85" s="100">
        <v>0.660691</v>
      </c>
      <c r="AK85" s="100">
        <v>0.52381</v>
      </c>
      <c r="AL85" s="100">
        <v>0.757597</v>
      </c>
      <c r="AM85" s="100">
        <v>0.553991</v>
      </c>
      <c r="AN85" s="100">
        <v>0.638376</v>
      </c>
      <c r="AO85" s="98">
        <v>928.6412512218964</v>
      </c>
      <c r="AP85" s="158">
        <v>0.4784692001</v>
      </c>
      <c r="AQ85" s="100" t="s">
        <v>736</v>
      </c>
      <c r="AR85" s="100" t="s">
        <v>736</v>
      </c>
      <c r="AS85" s="98">
        <v>244.37927663734115</v>
      </c>
      <c r="AT85" s="98">
        <v>114.0436624307592</v>
      </c>
      <c r="AU85" s="98" t="s">
        <v>736</v>
      </c>
      <c r="AV85" s="98">
        <v>211.79537308569567</v>
      </c>
      <c r="AW85" s="98">
        <v>553.9263603779733</v>
      </c>
      <c r="AX85" s="98">
        <v>146.6275659824047</v>
      </c>
      <c r="AY85" s="98">
        <v>423.59074617139134</v>
      </c>
      <c r="AZ85" s="98">
        <v>765.7217334636689</v>
      </c>
      <c r="BA85" s="100" t="s">
        <v>736</v>
      </c>
      <c r="BB85" s="100" t="s">
        <v>736</v>
      </c>
      <c r="BC85" s="100" t="s">
        <v>736</v>
      </c>
      <c r="BD85" s="158">
        <v>0.362387886</v>
      </c>
      <c r="BE85" s="158">
        <v>0.6199123383</v>
      </c>
      <c r="BF85" s="162">
        <v>781</v>
      </c>
      <c r="BG85" s="162">
        <v>21</v>
      </c>
      <c r="BH85" s="162">
        <v>1448</v>
      </c>
      <c r="BI85" s="162">
        <v>639</v>
      </c>
      <c r="BJ85" s="162">
        <v>271</v>
      </c>
      <c r="BK85" s="97"/>
      <c r="BL85" s="97"/>
      <c r="BM85" s="97"/>
      <c r="BN85" s="97"/>
    </row>
    <row r="86" spans="1:66" ht="12.75">
      <c r="A86" s="79" t="s">
        <v>647</v>
      </c>
      <c r="B86" s="79" t="s">
        <v>330</v>
      </c>
      <c r="C86" s="79" t="s">
        <v>216</v>
      </c>
      <c r="D86" s="99">
        <v>16699</v>
      </c>
      <c r="E86" s="99">
        <v>3174</v>
      </c>
      <c r="F86" s="99" t="s">
        <v>440</v>
      </c>
      <c r="G86" s="99">
        <v>61</v>
      </c>
      <c r="H86" s="99">
        <v>37</v>
      </c>
      <c r="I86" s="99">
        <v>304</v>
      </c>
      <c r="J86" s="99">
        <v>1675</v>
      </c>
      <c r="K86" s="99">
        <v>11</v>
      </c>
      <c r="L86" s="99">
        <v>3290</v>
      </c>
      <c r="M86" s="99">
        <v>1180</v>
      </c>
      <c r="N86" s="99">
        <v>530</v>
      </c>
      <c r="O86" s="99">
        <v>364</v>
      </c>
      <c r="P86" s="159">
        <v>364</v>
      </c>
      <c r="Q86" s="99">
        <v>39</v>
      </c>
      <c r="R86" s="99">
        <v>61</v>
      </c>
      <c r="S86" s="99">
        <v>68</v>
      </c>
      <c r="T86" s="99">
        <v>42</v>
      </c>
      <c r="U86" s="99">
        <v>13</v>
      </c>
      <c r="V86" s="99">
        <v>95</v>
      </c>
      <c r="W86" s="99">
        <v>123</v>
      </c>
      <c r="X86" s="99">
        <v>74</v>
      </c>
      <c r="Y86" s="99">
        <v>156</v>
      </c>
      <c r="Z86" s="99">
        <v>70</v>
      </c>
      <c r="AA86" s="99" t="s">
        <v>736</v>
      </c>
      <c r="AB86" s="99" t="s">
        <v>736</v>
      </c>
      <c r="AC86" s="99" t="s">
        <v>736</v>
      </c>
      <c r="AD86" s="98" t="s">
        <v>417</v>
      </c>
      <c r="AE86" s="100">
        <v>0.19007126175220074</v>
      </c>
      <c r="AF86" s="100">
        <v>0.06</v>
      </c>
      <c r="AG86" s="98">
        <v>365.2913348104677</v>
      </c>
      <c r="AH86" s="98">
        <v>221.5701539014312</v>
      </c>
      <c r="AI86" s="100">
        <v>0.018000000000000002</v>
      </c>
      <c r="AJ86" s="100">
        <v>0.768349</v>
      </c>
      <c r="AK86" s="100">
        <v>0.354839</v>
      </c>
      <c r="AL86" s="100">
        <v>0.780175</v>
      </c>
      <c r="AM86" s="100">
        <v>0.594458</v>
      </c>
      <c r="AN86" s="100">
        <v>0.652709</v>
      </c>
      <c r="AO86" s="98">
        <v>2179.771243787053</v>
      </c>
      <c r="AP86" s="158">
        <v>1.086116257</v>
      </c>
      <c r="AQ86" s="100">
        <v>0.10714285714285714</v>
      </c>
      <c r="AR86" s="100">
        <v>0.639344262295082</v>
      </c>
      <c r="AS86" s="98">
        <v>407.21001257560334</v>
      </c>
      <c r="AT86" s="98">
        <v>251.51206659081382</v>
      </c>
      <c r="AU86" s="98">
        <v>77.84897299239475</v>
      </c>
      <c r="AV86" s="98">
        <v>568.8963410982693</v>
      </c>
      <c r="AW86" s="98">
        <v>736.5710521588119</v>
      </c>
      <c r="AX86" s="98">
        <v>443.1403078028624</v>
      </c>
      <c r="AY86" s="98">
        <v>934.1876759087371</v>
      </c>
      <c r="AZ86" s="98">
        <v>419.18677765135635</v>
      </c>
      <c r="BA86" s="100" t="s">
        <v>736</v>
      </c>
      <c r="BB86" s="100" t="s">
        <v>736</v>
      </c>
      <c r="BC86" s="100" t="s">
        <v>736</v>
      </c>
      <c r="BD86" s="158">
        <v>0.9773919678</v>
      </c>
      <c r="BE86" s="158">
        <v>1.203628693</v>
      </c>
      <c r="BF86" s="162">
        <v>2180</v>
      </c>
      <c r="BG86" s="162">
        <v>31</v>
      </c>
      <c r="BH86" s="162">
        <v>4217</v>
      </c>
      <c r="BI86" s="162">
        <v>1985</v>
      </c>
      <c r="BJ86" s="162">
        <v>812</v>
      </c>
      <c r="BK86" s="97"/>
      <c r="BL86" s="97"/>
      <c r="BM86" s="97"/>
      <c r="BN86" s="97"/>
    </row>
    <row r="87" spans="1:66" ht="12.75">
      <c r="A87" s="79" t="s">
        <v>690</v>
      </c>
      <c r="B87" s="79" t="s">
        <v>377</v>
      </c>
      <c r="C87" s="79" t="s">
        <v>216</v>
      </c>
      <c r="D87" s="99">
        <v>4200</v>
      </c>
      <c r="E87" s="99">
        <v>760</v>
      </c>
      <c r="F87" s="99" t="s">
        <v>440</v>
      </c>
      <c r="G87" s="99">
        <v>25</v>
      </c>
      <c r="H87" s="99">
        <v>12</v>
      </c>
      <c r="I87" s="99">
        <v>90</v>
      </c>
      <c r="J87" s="99">
        <v>394</v>
      </c>
      <c r="K87" s="99">
        <v>9</v>
      </c>
      <c r="L87" s="99">
        <v>830</v>
      </c>
      <c r="M87" s="99">
        <v>265</v>
      </c>
      <c r="N87" s="99">
        <v>132</v>
      </c>
      <c r="O87" s="99">
        <v>17</v>
      </c>
      <c r="P87" s="159">
        <v>17</v>
      </c>
      <c r="Q87" s="99" t="s">
        <v>736</v>
      </c>
      <c r="R87" s="99">
        <v>9</v>
      </c>
      <c r="S87" s="99">
        <v>11</v>
      </c>
      <c r="T87" s="99" t="s">
        <v>736</v>
      </c>
      <c r="U87" s="99" t="s">
        <v>736</v>
      </c>
      <c r="V87" s="99" t="s">
        <v>736</v>
      </c>
      <c r="W87" s="99">
        <v>15</v>
      </c>
      <c r="X87" s="99">
        <v>14</v>
      </c>
      <c r="Y87" s="99">
        <v>44</v>
      </c>
      <c r="Z87" s="99">
        <v>27</v>
      </c>
      <c r="AA87" s="99" t="s">
        <v>736</v>
      </c>
      <c r="AB87" s="99" t="s">
        <v>736</v>
      </c>
      <c r="AC87" s="99" t="s">
        <v>736</v>
      </c>
      <c r="AD87" s="98" t="s">
        <v>417</v>
      </c>
      <c r="AE87" s="100">
        <v>0.18095238095238095</v>
      </c>
      <c r="AF87" s="100">
        <v>0.03</v>
      </c>
      <c r="AG87" s="98">
        <v>595.2380952380952</v>
      </c>
      <c r="AH87" s="98">
        <v>285.7142857142857</v>
      </c>
      <c r="AI87" s="100">
        <v>0.021</v>
      </c>
      <c r="AJ87" s="100">
        <v>0.692443</v>
      </c>
      <c r="AK87" s="100">
        <v>0.428571</v>
      </c>
      <c r="AL87" s="100">
        <v>0.792741</v>
      </c>
      <c r="AM87" s="100">
        <v>0.527888</v>
      </c>
      <c r="AN87" s="100">
        <v>0.6</v>
      </c>
      <c r="AO87" s="98">
        <v>404.76190476190476</v>
      </c>
      <c r="AP87" s="158">
        <v>0.20187511440000003</v>
      </c>
      <c r="AQ87" s="100" t="s">
        <v>736</v>
      </c>
      <c r="AR87" s="100" t="s">
        <v>736</v>
      </c>
      <c r="AS87" s="98">
        <v>261.9047619047619</v>
      </c>
      <c r="AT87" s="98" t="s">
        <v>736</v>
      </c>
      <c r="AU87" s="98" t="s">
        <v>736</v>
      </c>
      <c r="AV87" s="98" t="s">
        <v>736</v>
      </c>
      <c r="AW87" s="98">
        <v>357.14285714285717</v>
      </c>
      <c r="AX87" s="98">
        <v>333.3333333333333</v>
      </c>
      <c r="AY87" s="98">
        <v>1047.6190476190477</v>
      </c>
      <c r="AZ87" s="98">
        <v>642.8571428571429</v>
      </c>
      <c r="BA87" s="100" t="s">
        <v>736</v>
      </c>
      <c r="BB87" s="100" t="s">
        <v>736</v>
      </c>
      <c r="BC87" s="100" t="s">
        <v>736</v>
      </c>
      <c r="BD87" s="158">
        <v>0.1175996876</v>
      </c>
      <c r="BE87" s="158">
        <v>0.32322158809999996</v>
      </c>
      <c r="BF87" s="162">
        <v>569</v>
      </c>
      <c r="BG87" s="162">
        <v>21</v>
      </c>
      <c r="BH87" s="162">
        <v>1047</v>
      </c>
      <c r="BI87" s="162">
        <v>502</v>
      </c>
      <c r="BJ87" s="162">
        <v>220</v>
      </c>
      <c r="BK87" s="97"/>
      <c r="BL87" s="97"/>
      <c r="BM87" s="97"/>
      <c r="BN87" s="97"/>
    </row>
    <row r="88" spans="1:66" ht="12.75">
      <c r="A88" s="79" t="s">
        <v>629</v>
      </c>
      <c r="B88" s="79" t="s">
        <v>312</v>
      </c>
      <c r="C88" s="79" t="s">
        <v>216</v>
      </c>
      <c r="D88" s="99">
        <v>11138</v>
      </c>
      <c r="E88" s="99">
        <v>2138</v>
      </c>
      <c r="F88" s="99" t="s">
        <v>440</v>
      </c>
      <c r="G88" s="99">
        <v>50</v>
      </c>
      <c r="H88" s="99">
        <v>30</v>
      </c>
      <c r="I88" s="99">
        <v>157</v>
      </c>
      <c r="J88" s="99">
        <v>1063</v>
      </c>
      <c r="K88" s="99">
        <v>17</v>
      </c>
      <c r="L88" s="99">
        <v>2163</v>
      </c>
      <c r="M88" s="99">
        <v>778</v>
      </c>
      <c r="N88" s="99">
        <v>353</v>
      </c>
      <c r="O88" s="99">
        <v>222</v>
      </c>
      <c r="P88" s="159">
        <v>222</v>
      </c>
      <c r="Q88" s="99">
        <v>19</v>
      </c>
      <c r="R88" s="99">
        <v>44</v>
      </c>
      <c r="S88" s="99">
        <v>39</v>
      </c>
      <c r="T88" s="99">
        <v>34</v>
      </c>
      <c r="U88" s="99" t="s">
        <v>736</v>
      </c>
      <c r="V88" s="99">
        <v>35</v>
      </c>
      <c r="W88" s="99">
        <v>53</v>
      </c>
      <c r="X88" s="99">
        <v>37</v>
      </c>
      <c r="Y88" s="99">
        <v>144</v>
      </c>
      <c r="Z88" s="99">
        <v>59</v>
      </c>
      <c r="AA88" s="99" t="s">
        <v>736</v>
      </c>
      <c r="AB88" s="99" t="s">
        <v>736</v>
      </c>
      <c r="AC88" s="99" t="s">
        <v>736</v>
      </c>
      <c r="AD88" s="98" t="s">
        <v>417</v>
      </c>
      <c r="AE88" s="100">
        <v>0.19195546776800143</v>
      </c>
      <c r="AF88" s="100">
        <v>0.06</v>
      </c>
      <c r="AG88" s="98">
        <v>448.913629017777</v>
      </c>
      <c r="AH88" s="98">
        <v>269.3481774106662</v>
      </c>
      <c r="AI88" s="100">
        <v>0.013999999999999999</v>
      </c>
      <c r="AJ88" s="100">
        <v>0.751768</v>
      </c>
      <c r="AK88" s="100">
        <v>0.586207</v>
      </c>
      <c r="AL88" s="100">
        <v>0.800518</v>
      </c>
      <c r="AM88" s="100">
        <v>0.598922</v>
      </c>
      <c r="AN88" s="100">
        <v>0.642987</v>
      </c>
      <c r="AO88" s="98">
        <v>1993.1765128389297</v>
      </c>
      <c r="AP88" s="158">
        <v>0.9992342377</v>
      </c>
      <c r="AQ88" s="100">
        <v>0.08558558558558559</v>
      </c>
      <c r="AR88" s="100">
        <v>0.4318181818181818</v>
      </c>
      <c r="AS88" s="98">
        <v>350.15263063386607</v>
      </c>
      <c r="AT88" s="98">
        <v>305.26126773208836</v>
      </c>
      <c r="AU88" s="98" t="s">
        <v>736</v>
      </c>
      <c r="AV88" s="98">
        <v>314.23954031244386</v>
      </c>
      <c r="AW88" s="98">
        <v>475.8484467588436</v>
      </c>
      <c r="AX88" s="98">
        <v>332.19608547315494</v>
      </c>
      <c r="AY88" s="98">
        <v>1292.8712515711977</v>
      </c>
      <c r="AZ88" s="98">
        <v>529.7180822409769</v>
      </c>
      <c r="BA88" s="100" t="s">
        <v>736</v>
      </c>
      <c r="BB88" s="100" t="s">
        <v>736</v>
      </c>
      <c r="BC88" s="100" t="s">
        <v>736</v>
      </c>
      <c r="BD88" s="158">
        <v>0.8721044922</v>
      </c>
      <c r="BE88" s="158">
        <v>1.139684525</v>
      </c>
      <c r="BF88" s="162">
        <v>1414</v>
      </c>
      <c r="BG88" s="162">
        <v>29</v>
      </c>
      <c r="BH88" s="162">
        <v>2702</v>
      </c>
      <c r="BI88" s="162">
        <v>1299</v>
      </c>
      <c r="BJ88" s="162">
        <v>549</v>
      </c>
      <c r="BK88" s="97"/>
      <c r="BL88" s="97"/>
      <c r="BM88" s="97"/>
      <c r="BN88" s="97"/>
    </row>
    <row r="89" spans="1:66" ht="12.75">
      <c r="A89" s="79" t="s">
        <v>632</v>
      </c>
      <c r="B89" s="79" t="s">
        <v>315</v>
      </c>
      <c r="C89" s="79" t="s">
        <v>216</v>
      </c>
      <c r="D89" s="99">
        <v>6288</v>
      </c>
      <c r="E89" s="99">
        <v>999</v>
      </c>
      <c r="F89" s="99" t="s">
        <v>440</v>
      </c>
      <c r="G89" s="99">
        <v>20</v>
      </c>
      <c r="H89" s="99">
        <v>20</v>
      </c>
      <c r="I89" s="99">
        <v>124</v>
      </c>
      <c r="J89" s="99">
        <v>562</v>
      </c>
      <c r="K89" s="99">
        <v>576</v>
      </c>
      <c r="L89" s="99">
        <v>1276</v>
      </c>
      <c r="M89" s="99">
        <v>381</v>
      </c>
      <c r="N89" s="99">
        <v>186</v>
      </c>
      <c r="O89" s="99">
        <v>120</v>
      </c>
      <c r="P89" s="159">
        <v>120</v>
      </c>
      <c r="Q89" s="99">
        <v>15</v>
      </c>
      <c r="R89" s="99">
        <v>34</v>
      </c>
      <c r="S89" s="99">
        <v>31</v>
      </c>
      <c r="T89" s="99">
        <v>13</v>
      </c>
      <c r="U89" s="99" t="s">
        <v>736</v>
      </c>
      <c r="V89" s="99">
        <v>29</v>
      </c>
      <c r="W89" s="99">
        <v>21</v>
      </c>
      <c r="X89" s="99">
        <v>20</v>
      </c>
      <c r="Y89" s="99">
        <v>59</v>
      </c>
      <c r="Z89" s="99">
        <v>40</v>
      </c>
      <c r="AA89" s="99" t="s">
        <v>736</v>
      </c>
      <c r="AB89" s="99" t="s">
        <v>736</v>
      </c>
      <c r="AC89" s="99" t="s">
        <v>736</v>
      </c>
      <c r="AD89" s="98" t="s">
        <v>417</v>
      </c>
      <c r="AE89" s="100">
        <v>0.15887404580152673</v>
      </c>
      <c r="AF89" s="100">
        <v>0.06</v>
      </c>
      <c r="AG89" s="98">
        <v>318.06615776081424</v>
      </c>
      <c r="AH89" s="98">
        <v>318.06615776081424</v>
      </c>
      <c r="AI89" s="100">
        <v>0.02</v>
      </c>
      <c r="AJ89" s="100">
        <v>0.746348</v>
      </c>
      <c r="AK89" s="100">
        <v>0.772118</v>
      </c>
      <c r="AL89" s="100">
        <v>0.763615</v>
      </c>
      <c r="AM89" s="100">
        <v>0.552975</v>
      </c>
      <c r="AN89" s="100">
        <v>0.622074</v>
      </c>
      <c r="AO89" s="98">
        <v>1908.3969465648854</v>
      </c>
      <c r="AP89" s="158">
        <v>1.010575256</v>
      </c>
      <c r="AQ89" s="100">
        <v>0.125</v>
      </c>
      <c r="AR89" s="100">
        <v>0.4411764705882353</v>
      </c>
      <c r="AS89" s="98">
        <v>493.0025445292621</v>
      </c>
      <c r="AT89" s="98">
        <v>206.74300254452928</v>
      </c>
      <c r="AU89" s="98" t="s">
        <v>736</v>
      </c>
      <c r="AV89" s="98">
        <v>461.1959287531807</v>
      </c>
      <c r="AW89" s="98">
        <v>333.96946564885496</v>
      </c>
      <c r="AX89" s="98">
        <v>318.06615776081424</v>
      </c>
      <c r="AY89" s="98">
        <v>938.295165394402</v>
      </c>
      <c r="AZ89" s="98">
        <v>636.1323155216285</v>
      </c>
      <c r="BA89" s="100" t="s">
        <v>736</v>
      </c>
      <c r="BB89" s="100" t="s">
        <v>736</v>
      </c>
      <c r="BC89" s="100" t="s">
        <v>736</v>
      </c>
      <c r="BD89" s="158">
        <v>0.8378672790999999</v>
      </c>
      <c r="BE89" s="158">
        <v>1.208400269</v>
      </c>
      <c r="BF89" s="162">
        <v>753</v>
      </c>
      <c r="BG89" s="162">
        <v>746</v>
      </c>
      <c r="BH89" s="162">
        <v>1671</v>
      </c>
      <c r="BI89" s="162">
        <v>689</v>
      </c>
      <c r="BJ89" s="162">
        <v>299</v>
      </c>
      <c r="BK89" s="97"/>
      <c r="BL89" s="97"/>
      <c r="BM89" s="97"/>
      <c r="BN89" s="97"/>
    </row>
    <row r="90" spans="1:66" ht="12.75">
      <c r="A90" s="79" t="s">
        <v>658</v>
      </c>
      <c r="B90" s="79" t="s">
        <v>341</v>
      </c>
      <c r="C90" s="79" t="s">
        <v>216</v>
      </c>
      <c r="D90" s="99">
        <v>11777</v>
      </c>
      <c r="E90" s="99">
        <v>2217</v>
      </c>
      <c r="F90" s="99" t="s">
        <v>440</v>
      </c>
      <c r="G90" s="99">
        <v>59</v>
      </c>
      <c r="H90" s="99">
        <v>25</v>
      </c>
      <c r="I90" s="99">
        <v>212</v>
      </c>
      <c r="J90" s="99">
        <v>1032</v>
      </c>
      <c r="K90" s="99">
        <v>13</v>
      </c>
      <c r="L90" s="99">
        <v>2114</v>
      </c>
      <c r="M90" s="99">
        <v>892</v>
      </c>
      <c r="N90" s="99">
        <v>389</v>
      </c>
      <c r="O90" s="99">
        <v>245</v>
      </c>
      <c r="P90" s="159">
        <v>245</v>
      </c>
      <c r="Q90" s="99">
        <v>17</v>
      </c>
      <c r="R90" s="99">
        <v>47</v>
      </c>
      <c r="S90" s="99">
        <v>72</v>
      </c>
      <c r="T90" s="99">
        <v>35</v>
      </c>
      <c r="U90" s="99">
        <v>6</v>
      </c>
      <c r="V90" s="99">
        <v>69</v>
      </c>
      <c r="W90" s="99">
        <v>91</v>
      </c>
      <c r="X90" s="99">
        <v>52</v>
      </c>
      <c r="Y90" s="99">
        <v>118</v>
      </c>
      <c r="Z90" s="99">
        <v>65</v>
      </c>
      <c r="AA90" s="99" t="s">
        <v>736</v>
      </c>
      <c r="AB90" s="99" t="s">
        <v>736</v>
      </c>
      <c r="AC90" s="99" t="s">
        <v>736</v>
      </c>
      <c r="AD90" s="98" t="s">
        <v>417</v>
      </c>
      <c r="AE90" s="100">
        <v>0.18824828054682857</v>
      </c>
      <c r="AF90" s="100">
        <v>0.06</v>
      </c>
      <c r="AG90" s="98">
        <v>500.9764795788401</v>
      </c>
      <c r="AH90" s="98">
        <v>212.27816931306785</v>
      </c>
      <c r="AI90" s="100">
        <v>0.018000000000000002</v>
      </c>
      <c r="AJ90" s="100">
        <v>0.682991</v>
      </c>
      <c r="AK90" s="100">
        <v>0.419355</v>
      </c>
      <c r="AL90" s="100">
        <v>0.744891</v>
      </c>
      <c r="AM90" s="100">
        <v>0.582626</v>
      </c>
      <c r="AN90" s="100">
        <v>0.621406</v>
      </c>
      <c r="AO90" s="98">
        <v>2080.326059268065</v>
      </c>
      <c r="AP90" s="158">
        <v>1.055613022</v>
      </c>
      <c r="AQ90" s="100">
        <v>0.06938775510204082</v>
      </c>
      <c r="AR90" s="100">
        <v>0.3617021276595745</v>
      </c>
      <c r="AS90" s="98">
        <v>611.3611276216354</v>
      </c>
      <c r="AT90" s="98">
        <v>297.18943703829495</v>
      </c>
      <c r="AU90" s="98">
        <v>50.946760635136286</v>
      </c>
      <c r="AV90" s="98">
        <v>585.8877473040673</v>
      </c>
      <c r="AW90" s="98">
        <v>772.692536299567</v>
      </c>
      <c r="AX90" s="98">
        <v>441.5385921711811</v>
      </c>
      <c r="AY90" s="98">
        <v>1001.9529591576802</v>
      </c>
      <c r="AZ90" s="98">
        <v>551.9232402139764</v>
      </c>
      <c r="BA90" s="100" t="s">
        <v>736</v>
      </c>
      <c r="BB90" s="100" t="s">
        <v>736</v>
      </c>
      <c r="BC90" s="100" t="s">
        <v>736</v>
      </c>
      <c r="BD90" s="158">
        <v>0.9275588226000001</v>
      </c>
      <c r="BE90" s="158">
        <v>1.196404953</v>
      </c>
      <c r="BF90" s="162">
        <v>1511</v>
      </c>
      <c r="BG90" s="162">
        <v>31</v>
      </c>
      <c r="BH90" s="162">
        <v>2838</v>
      </c>
      <c r="BI90" s="162">
        <v>1531</v>
      </c>
      <c r="BJ90" s="162">
        <v>626</v>
      </c>
      <c r="BK90" s="97"/>
      <c r="BL90" s="97"/>
      <c r="BM90" s="97"/>
      <c r="BN90" s="97"/>
    </row>
    <row r="91" spans="1:66" ht="12.75">
      <c r="A91" s="79" t="s">
        <v>604</v>
      </c>
      <c r="B91" s="79" t="s">
        <v>285</v>
      </c>
      <c r="C91" s="79" t="s">
        <v>216</v>
      </c>
      <c r="D91" s="99">
        <v>7131</v>
      </c>
      <c r="E91" s="99">
        <v>1391</v>
      </c>
      <c r="F91" s="99" t="s">
        <v>438</v>
      </c>
      <c r="G91" s="99">
        <v>27</v>
      </c>
      <c r="H91" s="99">
        <v>14</v>
      </c>
      <c r="I91" s="99">
        <v>161</v>
      </c>
      <c r="J91" s="99">
        <v>682</v>
      </c>
      <c r="K91" s="99">
        <v>16</v>
      </c>
      <c r="L91" s="99">
        <v>1290</v>
      </c>
      <c r="M91" s="99">
        <v>477</v>
      </c>
      <c r="N91" s="99">
        <v>223</v>
      </c>
      <c r="O91" s="99">
        <v>240</v>
      </c>
      <c r="P91" s="159">
        <v>240</v>
      </c>
      <c r="Q91" s="99">
        <v>18</v>
      </c>
      <c r="R91" s="99">
        <v>37</v>
      </c>
      <c r="S91" s="99">
        <v>50</v>
      </c>
      <c r="T91" s="99">
        <v>28</v>
      </c>
      <c r="U91" s="99">
        <v>7</v>
      </c>
      <c r="V91" s="99">
        <v>60</v>
      </c>
      <c r="W91" s="99">
        <v>63</v>
      </c>
      <c r="X91" s="99">
        <v>45</v>
      </c>
      <c r="Y91" s="99">
        <v>91</v>
      </c>
      <c r="Z91" s="99">
        <v>40</v>
      </c>
      <c r="AA91" s="99" t="s">
        <v>736</v>
      </c>
      <c r="AB91" s="99" t="s">
        <v>736</v>
      </c>
      <c r="AC91" s="99" t="s">
        <v>736</v>
      </c>
      <c r="AD91" s="98" t="s">
        <v>417</v>
      </c>
      <c r="AE91" s="100">
        <v>0.19506380591782357</v>
      </c>
      <c r="AF91" s="100">
        <v>0.09</v>
      </c>
      <c r="AG91" s="98">
        <v>378.62852334875896</v>
      </c>
      <c r="AH91" s="98">
        <v>196.32590099565277</v>
      </c>
      <c r="AI91" s="100">
        <v>0.023</v>
      </c>
      <c r="AJ91" s="100">
        <v>0.742919</v>
      </c>
      <c r="AK91" s="100">
        <v>0.8</v>
      </c>
      <c r="AL91" s="100">
        <v>0.766033</v>
      </c>
      <c r="AM91" s="100">
        <v>0.538375</v>
      </c>
      <c r="AN91" s="100">
        <v>0.582245</v>
      </c>
      <c r="AO91" s="98">
        <v>3365.5868742111907</v>
      </c>
      <c r="AP91" s="158">
        <v>1.654608917</v>
      </c>
      <c r="AQ91" s="100">
        <v>0.075</v>
      </c>
      <c r="AR91" s="100">
        <v>0.4864864864864865</v>
      </c>
      <c r="AS91" s="98">
        <v>701.1639321273313</v>
      </c>
      <c r="AT91" s="98">
        <v>392.65180199130555</v>
      </c>
      <c r="AU91" s="98">
        <v>98.16295049782639</v>
      </c>
      <c r="AV91" s="98">
        <v>841.3967185527977</v>
      </c>
      <c r="AW91" s="98">
        <v>883.4665544804375</v>
      </c>
      <c r="AX91" s="98">
        <v>631.0475389145982</v>
      </c>
      <c r="AY91" s="98">
        <v>1276.118356471743</v>
      </c>
      <c r="AZ91" s="98">
        <v>560.9311457018651</v>
      </c>
      <c r="BA91" s="100" t="s">
        <v>736</v>
      </c>
      <c r="BB91" s="100" t="s">
        <v>736</v>
      </c>
      <c r="BC91" s="100" t="s">
        <v>736</v>
      </c>
      <c r="BD91" s="158">
        <v>1.451880188</v>
      </c>
      <c r="BE91" s="158">
        <v>1.877723389</v>
      </c>
      <c r="BF91" s="162">
        <v>918</v>
      </c>
      <c r="BG91" s="162">
        <v>20</v>
      </c>
      <c r="BH91" s="162">
        <v>1684</v>
      </c>
      <c r="BI91" s="162">
        <v>886</v>
      </c>
      <c r="BJ91" s="162">
        <v>383</v>
      </c>
      <c r="BK91" s="97"/>
      <c r="BL91" s="97"/>
      <c r="BM91" s="97"/>
      <c r="BN91" s="97"/>
    </row>
    <row r="92" spans="1:66" ht="12.75">
      <c r="A92" s="79" t="s">
        <v>706</v>
      </c>
      <c r="B92" s="79" t="s">
        <v>393</v>
      </c>
      <c r="C92" s="79" t="s">
        <v>216</v>
      </c>
      <c r="D92" s="99">
        <v>1912</v>
      </c>
      <c r="E92" s="99">
        <v>423</v>
      </c>
      <c r="F92" s="99" t="s">
        <v>440</v>
      </c>
      <c r="G92" s="99">
        <v>11</v>
      </c>
      <c r="H92" s="99">
        <v>8</v>
      </c>
      <c r="I92" s="99">
        <v>35</v>
      </c>
      <c r="J92" s="99">
        <v>172</v>
      </c>
      <c r="K92" s="99" t="s">
        <v>736</v>
      </c>
      <c r="L92" s="99">
        <v>351</v>
      </c>
      <c r="M92" s="99">
        <v>120</v>
      </c>
      <c r="N92" s="99">
        <v>57</v>
      </c>
      <c r="O92" s="99">
        <v>33</v>
      </c>
      <c r="P92" s="159">
        <v>33</v>
      </c>
      <c r="Q92" s="99" t="s">
        <v>736</v>
      </c>
      <c r="R92" s="99">
        <v>9</v>
      </c>
      <c r="S92" s="99">
        <v>8</v>
      </c>
      <c r="T92" s="99" t="s">
        <v>736</v>
      </c>
      <c r="U92" s="99" t="s">
        <v>736</v>
      </c>
      <c r="V92" s="99">
        <v>6</v>
      </c>
      <c r="W92" s="99">
        <v>13</v>
      </c>
      <c r="X92" s="99">
        <v>8</v>
      </c>
      <c r="Y92" s="99">
        <v>13</v>
      </c>
      <c r="Z92" s="99">
        <v>6</v>
      </c>
      <c r="AA92" s="99" t="s">
        <v>736</v>
      </c>
      <c r="AB92" s="99" t="s">
        <v>736</v>
      </c>
      <c r="AC92" s="99" t="s">
        <v>736</v>
      </c>
      <c r="AD92" s="98" t="s">
        <v>417</v>
      </c>
      <c r="AE92" s="100">
        <v>0.22123430962343096</v>
      </c>
      <c r="AF92" s="100">
        <v>0.06</v>
      </c>
      <c r="AG92" s="98">
        <v>575.3138075313808</v>
      </c>
      <c r="AH92" s="98">
        <v>418.41004184100416</v>
      </c>
      <c r="AI92" s="100">
        <v>0.018000000000000002</v>
      </c>
      <c r="AJ92" s="100">
        <v>0.669261</v>
      </c>
      <c r="AK92" s="100" t="s">
        <v>736</v>
      </c>
      <c r="AL92" s="100">
        <v>0.773128</v>
      </c>
      <c r="AM92" s="100">
        <v>0.504202</v>
      </c>
      <c r="AN92" s="100">
        <v>0.522936</v>
      </c>
      <c r="AO92" s="98">
        <v>1725.9414225941423</v>
      </c>
      <c r="AP92" s="158">
        <v>0.8054596709999999</v>
      </c>
      <c r="AQ92" s="100" t="s">
        <v>736</v>
      </c>
      <c r="AR92" s="100" t="s">
        <v>736</v>
      </c>
      <c r="AS92" s="98">
        <v>418.41004184100416</v>
      </c>
      <c r="AT92" s="98" t="s">
        <v>736</v>
      </c>
      <c r="AU92" s="98" t="s">
        <v>736</v>
      </c>
      <c r="AV92" s="98">
        <v>313.8075313807531</v>
      </c>
      <c r="AW92" s="98">
        <v>679.9163179916318</v>
      </c>
      <c r="AX92" s="98">
        <v>418.41004184100416</v>
      </c>
      <c r="AY92" s="98">
        <v>679.9163179916318</v>
      </c>
      <c r="AZ92" s="98">
        <v>313.8075313807531</v>
      </c>
      <c r="BA92" s="100" t="s">
        <v>736</v>
      </c>
      <c r="BB92" s="100" t="s">
        <v>736</v>
      </c>
      <c r="BC92" s="100" t="s">
        <v>736</v>
      </c>
      <c r="BD92" s="158">
        <v>0.5544413757000001</v>
      </c>
      <c r="BE92" s="158">
        <v>1.13116478</v>
      </c>
      <c r="BF92" s="162">
        <v>257</v>
      </c>
      <c r="BG92" s="162" t="s">
        <v>736</v>
      </c>
      <c r="BH92" s="162">
        <v>454</v>
      </c>
      <c r="BI92" s="162">
        <v>238</v>
      </c>
      <c r="BJ92" s="162">
        <v>109</v>
      </c>
      <c r="BK92" s="97"/>
      <c r="BL92" s="97"/>
      <c r="BM92" s="97"/>
      <c r="BN92" s="97"/>
    </row>
    <row r="93" spans="1:66" ht="12.75">
      <c r="A93" s="79" t="s">
        <v>721</v>
      </c>
      <c r="B93" s="79" t="s">
        <v>408</v>
      </c>
      <c r="C93" s="79" t="s">
        <v>216</v>
      </c>
      <c r="D93" s="99">
        <v>7298</v>
      </c>
      <c r="E93" s="99">
        <v>1317</v>
      </c>
      <c r="F93" s="99" t="s">
        <v>440</v>
      </c>
      <c r="G93" s="99">
        <v>16</v>
      </c>
      <c r="H93" s="99">
        <v>12</v>
      </c>
      <c r="I93" s="99">
        <v>122</v>
      </c>
      <c r="J93" s="99">
        <v>743</v>
      </c>
      <c r="K93" s="99">
        <v>15</v>
      </c>
      <c r="L93" s="99">
        <v>1516</v>
      </c>
      <c r="M93" s="99">
        <v>512</v>
      </c>
      <c r="N93" s="99">
        <v>248</v>
      </c>
      <c r="O93" s="99">
        <v>149</v>
      </c>
      <c r="P93" s="159">
        <v>149</v>
      </c>
      <c r="Q93" s="99">
        <v>14</v>
      </c>
      <c r="R93" s="99">
        <v>30</v>
      </c>
      <c r="S93" s="99">
        <v>26</v>
      </c>
      <c r="T93" s="99">
        <v>27</v>
      </c>
      <c r="U93" s="99">
        <v>7</v>
      </c>
      <c r="V93" s="99">
        <v>24</v>
      </c>
      <c r="W93" s="99">
        <v>62</v>
      </c>
      <c r="X93" s="99">
        <v>16</v>
      </c>
      <c r="Y93" s="99">
        <v>56</v>
      </c>
      <c r="Z93" s="99">
        <v>31</v>
      </c>
      <c r="AA93" s="99" t="s">
        <v>736</v>
      </c>
      <c r="AB93" s="99" t="s">
        <v>736</v>
      </c>
      <c r="AC93" s="99" t="s">
        <v>736</v>
      </c>
      <c r="AD93" s="98" t="s">
        <v>417</v>
      </c>
      <c r="AE93" s="100">
        <v>0.18046040010961908</v>
      </c>
      <c r="AF93" s="100">
        <v>0.06</v>
      </c>
      <c r="AG93" s="98">
        <v>219.23814743765416</v>
      </c>
      <c r="AH93" s="98">
        <v>164.4286105782406</v>
      </c>
      <c r="AI93" s="100">
        <v>0.017</v>
      </c>
      <c r="AJ93" s="100">
        <v>0.75739</v>
      </c>
      <c r="AK93" s="100">
        <v>0.517241</v>
      </c>
      <c r="AL93" s="100">
        <v>0.805954</v>
      </c>
      <c r="AM93" s="100">
        <v>0.593968</v>
      </c>
      <c r="AN93" s="100">
        <v>0.644156</v>
      </c>
      <c r="AO93" s="98">
        <v>2041.6552480131543</v>
      </c>
      <c r="AP93" s="158">
        <v>1.024441223</v>
      </c>
      <c r="AQ93" s="100">
        <v>0.09395973154362416</v>
      </c>
      <c r="AR93" s="100">
        <v>0.4666666666666667</v>
      </c>
      <c r="AS93" s="98">
        <v>356.261989586188</v>
      </c>
      <c r="AT93" s="98">
        <v>369.9643738010414</v>
      </c>
      <c r="AU93" s="98">
        <v>95.91668950397369</v>
      </c>
      <c r="AV93" s="98">
        <v>328.8572211564812</v>
      </c>
      <c r="AW93" s="98">
        <v>849.5478213209099</v>
      </c>
      <c r="AX93" s="98">
        <v>219.23814743765416</v>
      </c>
      <c r="AY93" s="98">
        <v>767.3335160317895</v>
      </c>
      <c r="AZ93" s="98">
        <v>424.77391066045493</v>
      </c>
      <c r="BA93" s="100" t="s">
        <v>736</v>
      </c>
      <c r="BB93" s="100" t="s">
        <v>736</v>
      </c>
      <c r="BC93" s="100" t="s">
        <v>736</v>
      </c>
      <c r="BD93" s="158">
        <v>0.8665559387</v>
      </c>
      <c r="BE93" s="158">
        <v>1.202771225</v>
      </c>
      <c r="BF93" s="162">
        <v>981</v>
      </c>
      <c r="BG93" s="162">
        <v>29</v>
      </c>
      <c r="BH93" s="162">
        <v>1881</v>
      </c>
      <c r="BI93" s="162">
        <v>862</v>
      </c>
      <c r="BJ93" s="162">
        <v>385</v>
      </c>
      <c r="BK93" s="97"/>
      <c r="BL93" s="97"/>
      <c r="BM93" s="97"/>
      <c r="BN93" s="97"/>
    </row>
    <row r="94" spans="1:66" ht="12.75">
      <c r="A94" s="79" t="s">
        <v>696</v>
      </c>
      <c r="B94" s="79" t="s">
        <v>383</v>
      </c>
      <c r="C94" s="79" t="s">
        <v>216</v>
      </c>
      <c r="D94" s="99">
        <v>2899</v>
      </c>
      <c r="E94" s="99">
        <v>372</v>
      </c>
      <c r="F94" s="99" t="s">
        <v>437</v>
      </c>
      <c r="G94" s="99">
        <v>11</v>
      </c>
      <c r="H94" s="99">
        <v>6</v>
      </c>
      <c r="I94" s="99">
        <v>28</v>
      </c>
      <c r="J94" s="99">
        <v>143</v>
      </c>
      <c r="K94" s="99">
        <v>34</v>
      </c>
      <c r="L94" s="99">
        <v>484</v>
      </c>
      <c r="M94" s="99">
        <v>73</v>
      </c>
      <c r="N94" s="99">
        <v>32</v>
      </c>
      <c r="O94" s="99">
        <v>35</v>
      </c>
      <c r="P94" s="159">
        <v>35</v>
      </c>
      <c r="Q94" s="99">
        <v>7</v>
      </c>
      <c r="R94" s="99">
        <v>11</v>
      </c>
      <c r="S94" s="99" t="s">
        <v>736</v>
      </c>
      <c r="T94" s="99" t="s">
        <v>736</v>
      </c>
      <c r="U94" s="99">
        <v>6</v>
      </c>
      <c r="V94" s="99">
        <v>10</v>
      </c>
      <c r="W94" s="99">
        <v>10</v>
      </c>
      <c r="X94" s="99">
        <v>9</v>
      </c>
      <c r="Y94" s="99">
        <v>25</v>
      </c>
      <c r="Z94" s="99">
        <v>12</v>
      </c>
      <c r="AA94" s="99" t="s">
        <v>736</v>
      </c>
      <c r="AB94" s="99" t="s">
        <v>736</v>
      </c>
      <c r="AC94" s="99" t="s">
        <v>736</v>
      </c>
      <c r="AD94" s="98" t="s">
        <v>417</v>
      </c>
      <c r="AE94" s="100">
        <v>0.12832011038289065</v>
      </c>
      <c r="AF94" s="100">
        <v>0.19</v>
      </c>
      <c r="AG94" s="98">
        <v>379.4411866160745</v>
      </c>
      <c r="AH94" s="98">
        <v>206.96791997240427</v>
      </c>
      <c r="AI94" s="100">
        <v>0.01</v>
      </c>
      <c r="AJ94" s="100">
        <v>0.658986</v>
      </c>
      <c r="AK94" s="100">
        <v>0.576271</v>
      </c>
      <c r="AL94" s="100">
        <v>0.714919</v>
      </c>
      <c r="AM94" s="100">
        <v>0.382199</v>
      </c>
      <c r="AN94" s="100">
        <v>0.410256</v>
      </c>
      <c r="AO94" s="98">
        <v>1207.3128665056915</v>
      </c>
      <c r="AP94" s="158">
        <v>0.775120697</v>
      </c>
      <c r="AQ94" s="100">
        <v>0.2</v>
      </c>
      <c r="AR94" s="100">
        <v>0.6363636363636364</v>
      </c>
      <c r="AS94" s="98" t="s">
        <v>736</v>
      </c>
      <c r="AT94" s="98" t="s">
        <v>736</v>
      </c>
      <c r="AU94" s="98">
        <v>206.96791997240427</v>
      </c>
      <c r="AV94" s="98">
        <v>344.94653328734046</v>
      </c>
      <c r="AW94" s="98">
        <v>344.94653328734046</v>
      </c>
      <c r="AX94" s="98">
        <v>310.4518799586064</v>
      </c>
      <c r="AY94" s="98">
        <v>862.3663332183512</v>
      </c>
      <c r="AZ94" s="98">
        <v>413.93583994480855</v>
      </c>
      <c r="BA94" s="100" t="s">
        <v>736</v>
      </c>
      <c r="BB94" s="100" t="s">
        <v>736</v>
      </c>
      <c r="BC94" s="100" t="s">
        <v>736</v>
      </c>
      <c r="BD94" s="158">
        <v>0.5398999405</v>
      </c>
      <c r="BE94" s="158">
        <v>1.078005219</v>
      </c>
      <c r="BF94" s="162">
        <v>217</v>
      </c>
      <c r="BG94" s="162">
        <v>59</v>
      </c>
      <c r="BH94" s="162">
        <v>677</v>
      </c>
      <c r="BI94" s="162">
        <v>191</v>
      </c>
      <c r="BJ94" s="162">
        <v>78</v>
      </c>
      <c r="BK94" s="97"/>
      <c r="BL94" s="97"/>
      <c r="BM94" s="97"/>
      <c r="BN94" s="97"/>
    </row>
    <row r="95" spans="1:66" ht="12.75">
      <c r="A95" s="79" t="s">
        <v>603</v>
      </c>
      <c r="B95" s="79" t="s">
        <v>284</v>
      </c>
      <c r="C95" s="79" t="s">
        <v>216</v>
      </c>
      <c r="D95" s="99">
        <v>12822</v>
      </c>
      <c r="E95" s="99">
        <v>2804</v>
      </c>
      <c r="F95" s="99" t="s">
        <v>440</v>
      </c>
      <c r="G95" s="99">
        <v>60</v>
      </c>
      <c r="H95" s="99">
        <v>44</v>
      </c>
      <c r="I95" s="99">
        <v>352</v>
      </c>
      <c r="J95" s="99">
        <v>1370</v>
      </c>
      <c r="K95" s="99">
        <v>1325</v>
      </c>
      <c r="L95" s="99">
        <v>2543</v>
      </c>
      <c r="M95" s="99">
        <v>974</v>
      </c>
      <c r="N95" s="99">
        <v>438</v>
      </c>
      <c r="O95" s="99">
        <v>309</v>
      </c>
      <c r="P95" s="159">
        <v>309</v>
      </c>
      <c r="Q95" s="99">
        <v>32</v>
      </c>
      <c r="R95" s="99">
        <v>76</v>
      </c>
      <c r="S95" s="99">
        <v>54</v>
      </c>
      <c r="T95" s="99">
        <v>64</v>
      </c>
      <c r="U95" s="99">
        <v>16</v>
      </c>
      <c r="V95" s="99">
        <v>54</v>
      </c>
      <c r="W95" s="99">
        <v>88</v>
      </c>
      <c r="X95" s="99">
        <v>51</v>
      </c>
      <c r="Y95" s="99">
        <v>172</v>
      </c>
      <c r="Z95" s="99">
        <v>81</v>
      </c>
      <c r="AA95" s="99" t="s">
        <v>736</v>
      </c>
      <c r="AB95" s="99" t="s">
        <v>736</v>
      </c>
      <c r="AC95" s="99" t="s">
        <v>736</v>
      </c>
      <c r="AD95" s="98" t="s">
        <v>417</v>
      </c>
      <c r="AE95" s="100">
        <v>0.21868663235064734</v>
      </c>
      <c r="AF95" s="100">
        <v>0.06</v>
      </c>
      <c r="AG95" s="98">
        <v>467.94571829667757</v>
      </c>
      <c r="AH95" s="98">
        <v>343.16019341756356</v>
      </c>
      <c r="AI95" s="100">
        <v>0.027000000000000003</v>
      </c>
      <c r="AJ95" s="100">
        <v>0.757324</v>
      </c>
      <c r="AK95" s="100">
        <v>0.760184</v>
      </c>
      <c r="AL95" s="100">
        <v>0.795931</v>
      </c>
      <c r="AM95" s="100">
        <v>0.586041</v>
      </c>
      <c r="AN95" s="100">
        <v>0.611732</v>
      </c>
      <c r="AO95" s="98">
        <v>2409.9204492278895</v>
      </c>
      <c r="AP95" s="158">
        <v>1.113941574</v>
      </c>
      <c r="AQ95" s="100">
        <v>0.10355987055016182</v>
      </c>
      <c r="AR95" s="100">
        <v>0.42105263157894735</v>
      </c>
      <c r="AS95" s="98">
        <v>421.1511464670098</v>
      </c>
      <c r="AT95" s="98">
        <v>499.1420995164561</v>
      </c>
      <c r="AU95" s="98">
        <v>124.78552487911402</v>
      </c>
      <c r="AV95" s="98">
        <v>421.1511464670098</v>
      </c>
      <c r="AW95" s="98">
        <v>686.3203868351271</v>
      </c>
      <c r="AX95" s="98">
        <v>397.7538605521759</v>
      </c>
      <c r="AY95" s="98">
        <v>1341.4443924504758</v>
      </c>
      <c r="AZ95" s="98">
        <v>631.7267197005148</v>
      </c>
      <c r="BA95" s="100" t="s">
        <v>736</v>
      </c>
      <c r="BB95" s="100" t="s">
        <v>736</v>
      </c>
      <c r="BC95" s="100" t="s">
        <v>736</v>
      </c>
      <c r="BD95" s="158">
        <v>0.9931877136</v>
      </c>
      <c r="BE95" s="158">
        <v>1.245328598</v>
      </c>
      <c r="BF95" s="162">
        <v>1809</v>
      </c>
      <c r="BG95" s="162">
        <v>1743</v>
      </c>
      <c r="BH95" s="162">
        <v>3195</v>
      </c>
      <c r="BI95" s="162">
        <v>1662</v>
      </c>
      <c r="BJ95" s="162">
        <v>716</v>
      </c>
      <c r="BK95" s="97"/>
      <c r="BL95" s="97"/>
      <c r="BM95" s="97"/>
      <c r="BN95" s="97"/>
    </row>
    <row r="96" spans="1:66" ht="12.75">
      <c r="A96" s="79" t="s">
        <v>739</v>
      </c>
      <c r="B96" s="79" t="s">
        <v>349</v>
      </c>
      <c r="C96" s="79" t="s">
        <v>216</v>
      </c>
      <c r="D96" s="99">
        <v>7128</v>
      </c>
      <c r="E96" s="99">
        <v>1246</v>
      </c>
      <c r="F96" s="99" t="s">
        <v>440</v>
      </c>
      <c r="G96" s="99">
        <v>18</v>
      </c>
      <c r="H96" s="99">
        <v>17</v>
      </c>
      <c r="I96" s="99">
        <v>158</v>
      </c>
      <c r="J96" s="99">
        <v>719</v>
      </c>
      <c r="K96" s="99">
        <v>20</v>
      </c>
      <c r="L96" s="99">
        <v>1343</v>
      </c>
      <c r="M96" s="99">
        <v>531</v>
      </c>
      <c r="N96" s="99">
        <v>234</v>
      </c>
      <c r="O96" s="99">
        <v>97</v>
      </c>
      <c r="P96" s="159">
        <v>97</v>
      </c>
      <c r="Q96" s="99">
        <v>15</v>
      </c>
      <c r="R96" s="99">
        <v>28</v>
      </c>
      <c r="S96" s="99">
        <v>18</v>
      </c>
      <c r="T96" s="99">
        <v>17</v>
      </c>
      <c r="U96" s="99" t="s">
        <v>736</v>
      </c>
      <c r="V96" s="99">
        <v>26</v>
      </c>
      <c r="W96" s="99">
        <v>47</v>
      </c>
      <c r="X96" s="99">
        <v>20</v>
      </c>
      <c r="Y96" s="99">
        <v>63</v>
      </c>
      <c r="Z96" s="99">
        <v>34</v>
      </c>
      <c r="AA96" s="99" t="s">
        <v>736</v>
      </c>
      <c r="AB96" s="99" t="s">
        <v>736</v>
      </c>
      <c r="AC96" s="99" t="s">
        <v>736</v>
      </c>
      <c r="AD96" s="98" t="s">
        <v>417</v>
      </c>
      <c r="AE96" s="100">
        <v>0.17480359147025815</v>
      </c>
      <c r="AF96" s="100">
        <v>0.05</v>
      </c>
      <c r="AG96" s="98">
        <v>252.5252525252525</v>
      </c>
      <c r="AH96" s="98">
        <v>238.49607182940517</v>
      </c>
      <c r="AI96" s="100">
        <v>0.022000000000000002</v>
      </c>
      <c r="AJ96" s="100">
        <v>0.738193</v>
      </c>
      <c r="AK96" s="100">
        <v>0.571429</v>
      </c>
      <c r="AL96" s="100">
        <v>0.784463</v>
      </c>
      <c r="AM96" s="100">
        <v>0.561311</v>
      </c>
      <c r="AN96" s="100">
        <v>0.576355</v>
      </c>
      <c r="AO96" s="98">
        <v>1360.8305274971942</v>
      </c>
      <c r="AP96" s="158">
        <v>0.6984990691999999</v>
      </c>
      <c r="AQ96" s="100">
        <v>0.15463917525773196</v>
      </c>
      <c r="AR96" s="100">
        <v>0.5357142857142857</v>
      </c>
      <c r="AS96" s="98">
        <v>252.5252525252525</v>
      </c>
      <c r="AT96" s="98">
        <v>238.49607182940517</v>
      </c>
      <c r="AU96" s="98" t="s">
        <v>736</v>
      </c>
      <c r="AV96" s="98">
        <v>364.7586980920314</v>
      </c>
      <c r="AW96" s="98">
        <v>659.371492704826</v>
      </c>
      <c r="AX96" s="98">
        <v>280.58361391694723</v>
      </c>
      <c r="AY96" s="98">
        <v>883.8383838383838</v>
      </c>
      <c r="AZ96" s="98">
        <v>476.99214365881033</v>
      </c>
      <c r="BA96" s="100" t="s">
        <v>736</v>
      </c>
      <c r="BB96" s="100" t="s">
        <v>736</v>
      </c>
      <c r="BC96" s="100" t="s">
        <v>736</v>
      </c>
      <c r="BD96" s="158">
        <v>0.5664356995</v>
      </c>
      <c r="BE96" s="158">
        <v>0.8521096039</v>
      </c>
      <c r="BF96" s="162">
        <v>974</v>
      </c>
      <c r="BG96" s="162">
        <v>35</v>
      </c>
      <c r="BH96" s="162">
        <v>1712</v>
      </c>
      <c r="BI96" s="162">
        <v>946</v>
      </c>
      <c r="BJ96" s="162">
        <v>406</v>
      </c>
      <c r="BK96" s="97"/>
      <c r="BL96" s="97"/>
      <c r="BM96" s="97"/>
      <c r="BN96" s="97"/>
    </row>
    <row r="97" spans="1:66" ht="12.75">
      <c r="A97" s="79" t="s">
        <v>714</v>
      </c>
      <c r="B97" s="79" t="s">
        <v>401</v>
      </c>
      <c r="C97" s="79" t="s">
        <v>216</v>
      </c>
      <c r="D97" s="99">
        <v>5592</v>
      </c>
      <c r="E97" s="99">
        <v>925</v>
      </c>
      <c r="F97" s="99" t="s">
        <v>440</v>
      </c>
      <c r="G97" s="99">
        <v>18</v>
      </c>
      <c r="H97" s="99">
        <v>11</v>
      </c>
      <c r="I97" s="99">
        <v>86</v>
      </c>
      <c r="J97" s="99">
        <v>529</v>
      </c>
      <c r="K97" s="99" t="s">
        <v>736</v>
      </c>
      <c r="L97" s="99">
        <v>1122</v>
      </c>
      <c r="M97" s="99">
        <v>358</v>
      </c>
      <c r="N97" s="99">
        <v>165</v>
      </c>
      <c r="O97" s="99">
        <v>91</v>
      </c>
      <c r="P97" s="159">
        <v>91</v>
      </c>
      <c r="Q97" s="99">
        <v>13</v>
      </c>
      <c r="R97" s="99">
        <v>25</v>
      </c>
      <c r="S97" s="99">
        <v>11</v>
      </c>
      <c r="T97" s="99">
        <v>17</v>
      </c>
      <c r="U97" s="99" t="s">
        <v>736</v>
      </c>
      <c r="V97" s="99">
        <v>28</v>
      </c>
      <c r="W97" s="99">
        <v>28</v>
      </c>
      <c r="X97" s="99">
        <v>27</v>
      </c>
      <c r="Y97" s="99">
        <v>73</v>
      </c>
      <c r="Z97" s="99">
        <v>19</v>
      </c>
      <c r="AA97" s="99" t="s">
        <v>736</v>
      </c>
      <c r="AB97" s="99" t="s">
        <v>736</v>
      </c>
      <c r="AC97" s="99" t="s">
        <v>736</v>
      </c>
      <c r="AD97" s="98" t="s">
        <v>417</v>
      </c>
      <c r="AE97" s="100">
        <v>0.16541487839771102</v>
      </c>
      <c r="AF97" s="100">
        <v>0.07</v>
      </c>
      <c r="AG97" s="98">
        <v>321.88841201716735</v>
      </c>
      <c r="AH97" s="98">
        <v>196.7095851216023</v>
      </c>
      <c r="AI97" s="100">
        <v>0.015</v>
      </c>
      <c r="AJ97" s="100">
        <v>0.752489</v>
      </c>
      <c r="AK97" s="100" t="s">
        <v>736</v>
      </c>
      <c r="AL97" s="100">
        <v>0.796875</v>
      </c>
      <c r="AM97" s="100">
        <v>0.564669</v>
      </c>
      <c r="AN97" s="100">
        <v>0.593525</v>
      </c>
      <c r="AO97" s="98">
        <v>1627.3247496423462</v>
      </c>
      <c r="AP97" s="158">
        <v>0.8516670227</v>
      </c>
      <c r="AQ97" s="100">
        <v>0.14285714285714285</v>
      </c>
      <c r="AR97" s="100">
        <v>0.52</v>
      </c>
      <c r="AS97" s="98">
        <v>196.7095851216023</v>
      </c>
      <c r="AT97" s="98">
        <v>304.0057224606581</v>
      </c>
      <c r="AU97" s="98" t="s">
        <v>736</v>
      </c>
      <c r="AV97" s="98">
        <v>500.7153075822604</v>
      </c>
      <c r="AW97" s="98">
        <v>500.7153075822604</v>
      </c>
      <c r="AX97" s="98">
        <v>482.83261802575106</v>
      </c>
      <c r="AY97" s="98">
        <v>1305.4363376251788</v>
      </c>
      <c r="AZ97" s="98">
        <v>339.7711015736767</v>
      </c>
      <c r="BA97" s="100" t="s">
        <v>736</v>
      </c>
      <c r="BB97" s="100" t="s">
        <v>736</v>
      </c>
      <c r="BC97" s="100" t="s">
        <v>736</v>
      </c>
      <c r="BD97" s="158">
        <v>0.6857091522000001</v>
      </c>
      <c r="BE97" s="158">
        <v>1.04565834</v>
      </c>
      <c r="BF97" s="162">
        <v>703</v>
      </c>
      <c r="BG97" s="162" t="s">
        <v>736</v>
      </c>
      <c r="BH97" s="162">
        <v>1408</v>
      </c>
      <c r="BI97" s="162">
        <v>634</v>
      </c>
      <c r="BJ97" s="162">
        <v>278</v>
      </c>
      <c r="BK97" s="97"/>
      <c r="BL97" s="97"/>
      <c r="BM97" s="97"/>
      <c r="BN97" s="97"/>
    </row>
    <row r="98" spans="1:66" ht="12.75">
      <c r="A98" s="79" t="s">
        <v>726</v>
      </c>
      <c r="B98" s="79" t="s">
        <v>413</v>
      </c>
      <c r="C98" s="79" t="s">
        <v>216</v>
      </c>
      <c r="D98" s="99">
        <v>4398</v>
      </c>
      <c r="E98" s="99">
        <v>477</v>
      </c>
      <c r="F98" s="99" t="s">
        <v>438</v>
      </c>
      <c r="G98" s="99">
        <v>17</v>
      </c>
      <c r="H98" s="99">
        <v>6</v>
      </c>
      <c r="I98" s="99">
        <v>40</v>
      </c>
      <c r="J98" s="99">
        <v>273</v>
      </c>
      <c r="K98" s="99" t="s">
        <v>736</v>
      </c>
      <c r="L98" s="99">
        <v>802</v>
      </c>
      <c r="M98" s="99">
        <v>148</v>
      </c>
      <c r="N98" s="99">
        <v>67</v>
      </c>
      <c r="O98" s="99">
        <v>91</v>
      </c>
      <c r="P98" s="159">
        <v>91</v>
      </c>
      <c r="Q98" s="99" t="s">
        <v>736</v>
      </c>
      <c r="R98" s="99">
        <v>10</v>
      </c>
      <c r="S98" s="99">
        <v>23</v>
      </c>
      <c r="T98" s="99">
        <v>9</v>
      </c>
      <c r="U98" s="99" t="s">
        <v>736</v>
      </c>
      <c r="V98" s="99">
        <v>37</v>
      </c>
      <c r="W98" s="99">
        <v>14</v>
      </c>
      <c r="X98" s="99">
        <v>15</v>
      </c>
      <c r="Y98" s="99">
        <v>35</v>
      </c>
      <c r="Z98" s="99">
        <v>13</v>
      </c>
      <c r="AA98" s="99" t="s">
        <v>736</v>
      </c>
      <c r="AB98" s="99" t="s">
        <v>736</v>
      </c>
      <c r="AC98" s="99" t="s">
        <v>736</v>
      </c>
      <c r="AD98" s="98" t="s">
        <v>417</v>
      </c>
      <c r="AE98" s="100">
        <v>0.10845839017735334</v>
      </c>
      <c r="AF98" s="100">
        <v>0.1</v>
      </c>
      <c r="AG98" s="98">
        <v>386.5393360618463</v>
      </c>
      <c r="AH98" s="98">
        <v>136.4256480218281</v>
      </c>
      <c r="AI98" s="100">
        <v>0.009000000000000001</v>
      </c>
      <c r="AJ98" s="100">
        <v>0.743869</v>
      </c>
      <c r="AK98" s="100" t="s">
        <v>736</v>
      </c>
      <c r="AL98" s="100">
        <v>0.714159</v>
      </c>
      <c r="AM98" s="100">
        <v>0.45679</v>
      </c>
      <c r="AN98" s="100">
        <v>0.471831</v>
      </c>
      <c r="AO98" s="98">
        <v>2069.1223283310596</v>
      </c>
      <c r="AP98" s="158">
        <v>1.3794380190000002</v>
      </c>
      <c r="AQ98" s="100" t="s">
        <v>736</v>
      </c>
      <c r="AR98" s="100" t="s">
        <v>736</v>
      </c>
      <c r="AS98" s="98">
        <v>522.9649840836744</v>
      </c>
      <c r="AT98" s="98">
        <v>204.63847203274216</v>
      </c>
      <c r="AU98" s="98" t="s">
        <v>736</v>
      </c>
      <c r="AV98" s="98">
        <v>841.2914961346066</v>
      </c>
      <c r="AW98" s="98">
        <v>318.32651205093225</v>
      </c>
      <c r="AX98" s="98">
        <v>341.06412005457025</v>
      </c>
      <c r="AY98" s="98">
        <v>795.8162801273306</v>
      </c>
      <c r="AZ98" s="98">
        <v>295.58890404729425</v>
      </c>
      <c r="BA98" s="100" t="s">
        <v>736</v>
      </c>
      <c r="BB98" s="100" t="s">
        <v>736</v>
      </c>
      <c r="BC98" s="100" t="s">
        <v>736</v>
      </c>
      <c r="BD98" s="158">
        <v>1.110637512</v>
      </c>
      <c r="BE98" s="158">
        <v>1.6936442569999999</v>
      </c>
      <c r="BF98" s="162">
        <v>367</v>
      </c>
      <c r="BG98" s="162" t="s">
        <v>736</v>
      </c>
      <c r="BH98" s="162">
        <v>1123</v>
      </c>
      <c r="BI98" s="162">
        <v>324</v>
      </c>
      <c r="BJ98" s="162">
        <v>142</v>
      </c>
      <c r="BK98" s="97"/>
      <c r="BL98" s="97"/>
      <c r="BM98" s="97"/>
      <c r="BN98" s="97"/>
    </row>
    <row r="99" spans="1:66" ht="12.75">
      <c r="A99" s="79" t="s">
        <v>634</v>
      </c>
      <c r="B99" s="79" t="s">
        <v>317</v>
      </c>
      <c r="C99" s="79" t="s">
        <v>216</v>
      </c>
      <c r="D99" s="99">
        <v>8773</v>
      </c>
      <c r="E99" s="99">
        <v>1244</v>
      </c>
      <c r="F99" s="99" t="s">
        <v>438</v>
      </c>
      <c r="G99" s="99">
        <v>28</v>
      </c>
      <c r="H99" s="99">
        <v>17</v>
      </c>
      <c r="I99" s="99">
        <v>153</v>
      </c>
      <c r="J99" s="99">
        <v>634</v>
      </c>
      <c r="K99" s="99">
        <v>622</v>
      </c>
      <c r="L99" s="99">
        <v>1748</v>
      </c>
      <c r="M99" s="99">
        <v>416</v>
      </c>
      <c r="N99" s="99">
        <v>190</v>
      </c>
      <c r="O99" s="99">
        <v>148</v>
      </c>
      <c r="P99" s="159">
        <v>148</v>
      </c>
      <c r="Q99" s="99">
        <v>12</v>
      </c>
      <c r="R99" s="99">
        <v>33</v>
      </c>
      <c r="S99" s="99">
        <v>16</v>
      </c>
      <c r="T99" s="99">
        <v>22</v>
      </c>
      <c r="U99" s="99" t="s">
        <v>736</v>
      </c>
      <c r="V99" s="99">
        <v>41</v>
      </c>
      <c r="W99" s="99">
        <v>57</v>
      </c>
      <c r="X99" s="99">
        <v>37</v>
      </c>
      <c r="Y99" s="99">
        <v>141</v>
      </c>
      <c r="Z99" s="99">
        <v>43</v>
      </c>
      <c r="AA99" s="99" t="s">
        <v>736</v>
      </c>
      <c r="AB99" s="99" t="s">
        <v>736</v>
      </c>
      <c r="AC99" s="99" t="s">
        <v>736</v>
      </c>
      <c r="AD99" s="98" t="s">
        <v>417</v>
      </c>
      <c r="AE99" s="100">
        <v>0.14179870055853186</v>
      </c>
      <c r="AF99" s="100">
        <v>0.09</v>
      </c>
      <c r="AG99" s="98">
        <v>319.16106235039325</v>
      </c>
      <c r="AH99" s="98">
        <v>193.77635928416734</v>
      </c>
      <c r="AI99" s="100">
        <v>0.017</v>
      </c>
      <c r="AJ99" s="100">
        <v>0.71236</v>
      </c>
      <c r="AK99" s="100">
        <v>0.714943</v>
      </c>
      <c r="AL99" s="100">
        <v>0.728637</v>
      </c>
      <c r="AM99" s="100">
        <v>0.518703</v>
      </c>
      <c r="AN99" s="100">
        <v>0.544413</v>
      </c>
      <c r="AO99" s="98">
        <v>1686.9941867092214</v>
      </c>
      <c r="AP99" s="158">
        <v>0.9741335297</v>
      </c>
      <c r="AQ99" s="100">
        <v>0.08108108108108109</v>
      </c>
      <c r="AR99" s="100">
        <v>0.36363636363636365</v>
      </c>
      <c r="AS99" s="98">
        <v>182.37774991451042</v>
      </c>
      <c r="AT99" s="98">
        <v>250.76940613245185</v>
      </c>
      <c r="AU99" s="98" t="s">
        <v>736</v>
      </c>
      <c r="AV99" s="98">
        <v>467.342984155933</v>
      </c>
      <c r="AW99" s="98">
        <v>649.7207340704434</v>
      </c>
      <c r="AX99" s="98">
        <v>421.74854667730534</v>
      </c>
      <c r="AY99" s="98">
        <v>1607.2039211216231</v>
      </c>
      <c r="AZ99" s="98">
        <v>490.1402028952468</v>
      </c>
      <c r="BA99" s="100" t="s">
        <v>736</v>
      </c>
      <c r="BB99" s="100" t="s">
        <v>736</v>
      </c>
      <c r="BC99" s="100" t="s">
        <v>736</v>
      </c>
      <c r="BD99" s="158">
        <v>0.8235167694000001</v>
      </c>
      <c r="BE99" s="158">
        <v>1.144324112</v>
      </c>
      <c r="BF99" s="162">
        <v>890</v>
      </c>
      <c r="BG99" s="162">
        <v>870</v>
      </c>
      <c r="BH99" s="162">
        <v>2399</v>
      </c>
      <c r="BI99" s="162">
        <v>802</v>
      </c>
      <c r="BJ99" s="162">
        <v>349</v>
      </c>
      <c r="BK99" s="97"/>
      <c r="BL99" s="97"/>
      <c r="BM99" s="97"/>
      <c r="BN99" s="97"/>
    </row>
    <row r="100" spans="1:66" ht="12.75">
      <c r="A100" s="79" t="s">
        <v>679</v>
      </c>
      <c r="B100" s="79" t="s">
        <v>363</v>
      </c>
      <c r="C100" s="79" t="s">
        <v>216</v>
      </c>
      <c r="D100" s="99">
        <v>5924</v>
      </c>
      <c r="E100" s="99">
        <v>1238</v>
      </c>
      <c r="F100" s="99" t="s">
        <v>440</v>
      </c>
      <c r="G100" s="99">
        <v>31</v>
      </c>
      <c r="H100" s="99">
        <v>16</v>
      </c>
      <c r="I100" s="99">
        <v>140</v>
      </c>
      <c r="J100" s="99">
        <v>531</v>
      </c>
      <c r="K100" s="99">
        <v>13</v>
      </c>
      <c r="L100" s="99">
        <v>1139</v>
      </c>
      <c r="M100" s="99">
        <v>464</v>
      </c>
      <c r="N100" s="99">
        <v>220</v>
      </c>
      <c r="O100" s="99">
        <v>184</v>
      </c>
      <c r="P100" s="159">
        <v>184</v>
      </c>
      <c r="Q100" s="99">
        <v>18</v>
      </c>
      <c r="R100" s="99">
        <v>32</v>
      </c>
      <c r="S100" s="99">
        <v>27</v>
      </c>
      <c r="T100" s="99">
        <v>46</v>
      </c>
      <c r="U100" s="99" t="s">
        <v>736</v>
      </c>
      <c r="V100" s="99">
        <v>20</v>
      </c>
      <c r="W100" s="99">
        <v>72</v>
      </c>
      <c r="X100" s="99">
        <v>21</v>
      </c>
      <c r="Y100" s="99">
        <v>51</v>
      </c>
      <c r="Z100" s="99">
        <v>59</v>
      </c>
      <c r="AA100" s="99" t="s">
        <v>736</v>
      </c>
      <c r="AB100" s="99" t="s">
        <v>736</v>
      </c>
      <c r="AC100" s="99" t="s">
        <v>736</v>
      </c>
      <c r="AD100" s="98" t="s">
        <v>417</v>
      </c>
      <c r="AE100" s="100">
        <v>0.2089804186360567</v>
      </c>
      <c r="AF100" s="100">
        <v>0.06</v>
      </c>
      <c r="AG100" s="98">
        <v>523.2950708980419</v>
      </c>
      <c r="AH100" s="98">
        <v>270.0877785280216</v>
      </c>
      <c r="AI100" s="100">
        <v>0.024</v>
      </c>
      <c r="AJ100" s="100">
        <v>0.71371</v>
      </c>
      <c r="AK100" s="100">
        <v>0.565217</v>
      </c>
      <c r="AL100" s="100">
        <v>0.815319</v>
      </c>
      <c r="AM100" s="100">
        <v>0.613757</v>
      </c>
      <c r="AN100" s="100">
        <v>0.662651</v>
      </c>
      <c r="AO100" s="98">
        <v>3106.0094530722486</v>
      </c>
      <c r="AP100" s="158">
        <v>1.488154907</v>
      </c>
      <c r="AQ100" s="100">
        <v>0.09782608695652174</v>
      </c>
      <c r="AR100" s="100">
        <v>0.5625</v>
      </c>
      <c r="AS100" s="98">
        <v>455.77312626603646</v>
      </c>
      <c r="AT100" s="98">
        <v>776.5023632680621</v>
      </c>
      <c r="AU100" s="98" t="s">
        <v>736</v>
      </c>
      <c r="AV100" s="98">
        <v>337.609723160027</v>
      </c>
      <c r="AW100" s="98">
        <v>1215.3950033760973</v>
      </c>
      <c r="AX100" s="98">
        <v>354.49020931802835</v>
      </c>
      <c r="AY100" s="98">
        <v>860.9047940580689</v>
      </c>
      <c r="AZ100" s="98">
        <v>995.9486833220797</v>
      </c>
      <c r="BA100" s="100" t="s">
        <v>736</v>
      </c>
      <c r="BB100" s="100" t="s">
        <v>736</v>
      </c>
      <c r="BC100" s="100" t="s">
        <v>736</v>
      </c>
      <c r="BD100" s="158">
        <v>1.280890503</v>
      </c>
      <c r="BE100" s="158">
        <v>1.7194056699999998</v>
      </c>
      <c r="BF100" s="162">
        <v>744</v>
      </c>
      <c r="BG100" s="162">
        <v>23</v>
      </c>
      <c r="BH100" s="162">
        <v>1397</v>
      </c>
      <c r="BI100" s="162">
        <v>756</v>
      </c>
      <c r="BJ100" s="162">
        <v>332</v>
      </c>
      <c r="BK100" s="97"/>
      <c r="BL100" s="97"/>
      <c r="BM100" s="97"/>
      <c r="BN100" s="97"/>
    </row>
    <row r="101" spans="1:66" ht="12.75">
      <c r="A101" s="79" t="s">
        <v>637</v>
      </c>
      <c r="B101" s="79" t="s">
        <v>320</v>
      </c>
      <c r="C101" s="79" t="s">
        <v>216</v>
      </c>
      <c r="D101" s="99">
        <v>3938</v>
      </c>
      <c r="E101" s="99">
        <v>957</v>
      </c>
      <c r="F101" s="99" t="s">
        <v>440</v>
      </c>
      <c r="G101" s="99">
        <v>13</v>
      </c>
      <c r="H101" s="99">
        <v>13</v>
      </c>
      <c r="I101" s="99">
        <v>110</v>
      </c>
      <c r="J101" s="99">
        <v>405</v>
      </c>
      <c r="K101" s="99" t="s">
        <v>736</v>
      </c>
      <c r="L101" s="99">
        <v>754</v>
      </c>
      <c r="M101" s="99">
        <v>319</v>
      </c>
      <c r="N101" s="99">
        <v>148</v>
      </c>
      <c r="O101" s="99">
        <v>49</v>
      </c>
      <c r="P101" s="159">
        <v>49</v>
      </c>
      <c r="Q101" s="99" t="s">
        <v>736</v>
      </c>
      <c r="R101" s="99">
        <v>15</v>
      </c>
      <c r="S101" s="99">
        <v>10</v>
      </c>
      <c r="T101" s="99">
        <v>11</v>
      </c>
      <c r="U101" s="99" t="s">
        <v>736</v>
      </c>
      <c r="V101" s="99">
        <v>13</v>
      </c>
      <c r="W101" s="99">
        <v>28</v>
      </c>
      <c r="X101" s="99">
        <v>16</v>
      </c>
      <c r="Y101" s="99">
        <v>38</v>
      </c>
      <c r="Z101" s="99">
        <v>19</v>
      </c>
      <c r="AA101" s="99" t="s">
        <v>736</v>
      </c>
      <c r="AB101" s="99" t="s">
        <v>736</v>
      </c>
      <c r="AC101" s="99" t="s">
        <v>736</v>
      </c>
      <c r="AD101" s="98" t="s">
        <v>417</v>
      </c>
      <c r="AE101" s="100">
        <v>0.2430167597765363</v>
      </c>
      <c r="AF101" s="100">
        <v>0.06</v>
      </c>
      <c r="AG101" s="98">
        <v>330.11681056373794</v>
      </c>
      <c r="AH101" s="98">
        <v>330.11681056373794</v>
      </c>
      <c r="AI101" s="100">
        <v>0.027999999999999997</v>
      </c>
      <c r="AJ101" s="100">
        <v>0.736364</v>
      </c>
      <c r="AK101" s="100" t="s">
        <v>736</v>
      </c>
      <c r="AL101" s="100">
        <v>0.821351</v>
      </c>
      <c r="AM101" s="100">
        <v>0.576854</v>
      </c>
      <c r="AN101" s="100">
        <v>0.616667</v>
      </c>
      <c r="AO101" s="98">
        <v>1244.2864398171662</v>
      </c>
      <c r="AP101" s="158">
        <v>0.5496344376</v>
      </c>
      <c r="AQ101" s="100" t="s">
        <v>736</v>
      </c>
      <c r="AR101" s="100" t="s">
        <v>736</v>
      </c>
      <c r="AS101" s="98">
        <v>253.93600812595227</v>
      </c>
      <c r="AT101" s="98">
        <v>279.3296089385475</v>
      </c>
      <c r="AU101" s="98" t="s">
        <v>736</v>
      </c>
      <c r="AV101" s="98">
        <v>330.11681056373794</v>
      </c>
      <c r="AW101" s="98">
        <v>711.0208227526663</v>
      </c>
      <c r="AX101" s="98">
        <v>406.29761300152364</v>
      </c>
      <c r="AY101" s="98">
        <v>964.9568308786186</v>
      </c>
      <c r="AZ101" s="98">
        <v>482.4784154393093</v>
      </c>
      <c r="BA101" s="100" t="s">
        <v>736</v>
      </c>
      <c r="BB101" s="100" t="s">
        <v>736</v>
      </c>
      <c r="BC101" s="100" t="s">
        <v>736</v>
      </c>
      <c r="BD101" s="158">
        <v>0.40662258149999997</v>
      </c>
      <c r="BE101" s="158">
        <v>0.7266458893</v>
      </c>
      <c r="BF101" s="162">
        <v>550</v>
      </c>
      <c r="BG101" s="162" t="s">
        <v>736</v>
      </c>
      <c r="BH101" s="162">
        <v>918</v>
      </c>
      <c r="BI101" s="162">
        <v>553</v>
      </c>
      <c r="BJ101" s="162">
        <v>240</v>
      </c>
      <c r="BK101" s="97"/>
      <c r="BL101" s="97"/>
      <c r="BM101" s="97"/>
      <c r="BN101" s="97"/>
    </row>
    <row r="102" spans="1:66" ht="12.75">
      <c r="A102" s="79" t="s">
        <v>675</v>
      </c>
      <c r="B102" s="79" t="s">
        <v>359</v>
      </c>
      <c r="C102" s="79" t="s">
        <v>216</v>
      </c>
      <c r="D102" s="99">
        <v>10341</v>
      </c>
      <c r="E102" s="99">
        <v>1321</v>
      </c>
      <c r="F102" s="99" t="s">
        <v>439</v>
      </c>
      <c r="G102" s="99">
        <v>25</v>
      </c>
      <c r="H102" s="99">
        <v>21</v>
      </c>
      <c r="I102" s="99">
        <v>136</v>
      </c>
      <c r="J102" s="99">
        <v>637</v>
      </c>
      <c r="K102" s="99">
        <v>613</v>
      </c>
      <c r="L102" s="99">
        <v>1857</v>
      </c>
      <c r="M102" s="99">
        <v>332</v>
      </c>
      <c r="N102" s="99">
        <v>168</v>
      </c>
      <c r="O102" s="99">
        <v>249</v>
      </c>
      <c r="P102" s="159">
        <v>249</v>
      </c>
      <c r="Q102" s="99">
        <v>20</v>
      </c>
      <c r="R102" s="99">
        <v>48</v>
      </c>
      <c r="S102" s="99">
        <v>32</v>
      </c>
      <c r="T102" s="99">
        <v>60</v>
      </c>
      <c r="U102" s="99">
        <v>7</v>
      </c>
      <c r="V102" s="99">
        <v>55</v>
      </c>
      <c r="W102" s="99">
        <v>57</v>
      </c>
      <c r="X102" s="99">
        <v>36</v>
      </c>
      <c r="Y102" s="99">
        <v>120</v>
      </c>
      <c r="Z102" s="99">
        <v>69</v>
      </c>
      <c r="AA102" s="99" t="s">
        <v>736</v>
      </c>
      <c r="AB102" s="99" t="s">
        <v>736</v>
      </c>
      <c r="AC102" s="99" t="s">
        <v>736</v>
      </c>
      <c r="AD102" s="98" t="s">
        <v>417</v>
      </c>
      <c r="AE102" s="100">
        <v>0.12774393192147762</v>
      </c>
      <c r="AF102" s="100">
        <v>0.14</v>
      </c>
      <c r="AG102" s="98">
        <v>241.75611642974567</v>
      </c>
      <c r="AH102" s="98">
        <v>203.07513780098637</v>
      </c>
      <c r="AI102" s="100">
        <v>0.013000000000000001</v>
      </c>
      <c r="AJ102" s="100">
        <v>0.65535</v>
      </c>
      <c r="AK102" s="100">
        <v>0.655615</v>
      </c>
      <c r="AL102" s="100">
        <v>0.701284</v>
      </c>
      <c r="AM102" s="100">
        <v>0.409371</v>
      </c>
      <c r="AN102" s="100">
        <v>0.477273</v>
      </c>
      <c r="AO102" s="98">
        <v>2407.890919640267</v>
      </c>
      <c r="AP102" s="158">
        <v>1.480720978</v>
      </c>
      <c r="AQ102" s="100">
        <v>0.08032128514056225</v>
      </c>
      <c r="AR102" s="100">
        <v>0.4166666666666667</v>
      </c>
      <c r="AS102" s="98">
        <v>309.44782903007444</v>
      </c>
      <c r="AT102" s="98">
        <v>580.2146794313896</v>
      </c>
      <c r="AU102" s="98">
        <v>67.69171260032878</v>
      </c>
      <c r="AV102" s="98">
        <v>531.8634561454405</v>
      </c>
      <c r="AW102" s="98">
        <v>551.2039454598201</v>
      </c>
      <c r="AX102" s="98">
        <v>348.12880765883375</v>
      </c>
      <c r="AY102" s="98">
        <v>1160.4293588627793</v>
      </c>
      <c r="AZ102" s="98">
        <v>667.246881346098</v>
      </c>
      <c r="BA102" s="100" t="s">
        <v>736</v>
      </c>
      <c r="BB102" s="100" t="s">
        <v>736</v>
      </c>
      <c r="BC102" s="100" t="s">
        <v>736</v>
      </c>
      <c r="BD102" s="158">
        <v>1.3024995419999998</v>
      </c>
      <c r="BE102" s="158">
        <v>1.6765196230000001</v>
      </c>
      <c r="BF102" s="162">
        <v>972</v>
      </c>
      <c r="BG102" s="162">
        <v>935</v>
      </c>
      <c r="BH102" s="162">
        <v>2648</v>
      </c>
      <c r="BI102" s="162">
        <v>811</v>
      </c>
      <c r="BJ102" s="162">
        <v>352</v>
      </c>
      <c r="BK102" s="97"/>
      <c r="BL102" s="97"/>
      <c r="BM102" s="97"/>
      <c r="BN102" s="97"/>
    </row>
    <row r="103" spans="1:66" ht="12.75">
      <c r="A103" s="79" t="s">
        <v>618</v>
      </c>
      <c r="B103" s="79" t="s">
        <v>301</v>
      </c>
      <c r="C103" s="79" t="s">
        <v>216</v>
      </c>
      <c r="D103" s="99">
        <v>12094</v>
      </c>
      <c r="E103" s="99">
        <v>2188</v>
      </c>
      <c r="F103" s="99" t="s">
        <v>440</v>
      </c>
      <c r="G103" s="99">
        <v>58</v>
      </c>
      <c r="H103" s="99">
        <v>26</v>
      </c>
      <c r="I103" s="99">
        <v>270</v>
      </c>
      <c r="J103" s="99">
        <v>1290</v>
      </c>
      <c r="K103" s="99">
        <v>1250</v>
      </c>
      <c r="L103" s="99">
        <v>2451</v>
      </c>
      <c r="M103" s="99">
        <v>816</v>
      </c>
      <c r="N103" s="99">
        <v>350</v>
      </c>
      <c r="O103" s="99">
        <v>192</v>
      </c>
      <c r="P103" s="159">
        <v>192</v>
      </c>
      <c r="Q103" s="99">
        <v>32</v>
      </c>
      <c r="R103" s="99">
        <v>71</v>
      </c>
      <c r="S103" s="99">
        <v>30</v>
      </c>
      <c r="T103" s="99">
        <v>43</v>
      </c>
      <c r="U103" s="99" t="s">
        <v>736</v>
      </c>
      <c r="V103" s="99">
        <v>37</v>
      </c>
      <c r="W103" s="99">
        <v>81</v>
      </c>
      <c r="X103" s="99">
        <v>49</v>
      </c>
      <c r="Y103" s="99">
        <v>146</v>
      </c>
      <c r="Z103" s="99">
        <v>40</v>
      </c>
      <c r="AA103" s="99" t="s">
        <v>736</v>
      </c>
      <c r="AB103" s="99" t="s">
        <v>736</v>
      </c>
      <c r="AC103" s="99" t="s">
        <v>736</v>
      </c>
      <c r="AD103" s="98" t="s">
        <v>417</v>
      </c>
      <c r="AE103" s="100">
        <v>0.18091615677195302</v>
      </c>
      <c r="AF103" s="100">
        <v>0.06</v>
      </c>
      <c r="AG103" s="98">
        <v>479.5766495783033</v>
      </c>
      <c r="AH103" s="98">
        <v>214.9826360178601</v>
      </c>
      <c r="AI103" s="100">
        <v>0.022000000000000002</v>
      </c>
      <c r="AJ103" s="100">
        <v>0.784195</v>
      </c>
      <c r="AK103" s="100">
        <v>0.785669</v>
      </c>
      <c r="AL103" s="100">
        <v>0.782317</v>
      </c>
      <c r="AM103" s="100">
        <v>0.546551</v>
      </c>
      <c r="AN103" s="100">
        <v>0.570962</v>
      </c>
      <c r="AO103" s="98">
        <v>1587.5640813626592</v>
      </c>
      <c r="AP103" s="158">
        <v>0.7909593201</v>
      </c>
      <c r="AQ103" s="100">
        <v>0.16666666666666666</v>
      </c>
      <c r="AR103" s="100">
        <v>0.4507042253521127</v>
      </c>
      <c r="AS103" s="98">
        <v>248.05688771291548</v>
      </c>
      <c r="AT103" s="98">
        <v>355.54820572184553</v>
      </c>
      <c r="AU103" s="98" t="s">
        <v>736</v>
      </c>
      <c r="AV103" s="98">
        <v>305.9368281792624</v>
      </c>
      <c r="AW103" s="98">
        <v>669.7535968248718</v>
      </c>
      <c r="AX103" s="98">
        <v>405.15958326442865</v>
      </c>
      <c r="AY103" s="98">
        <v>1207.210186869522</v>
      </c>
      <c r="AZ103" s="98">
        <v>330.742516950554</v>
      </c>
      <c r="BA103" s="100" t="s">
        <v>736</v>
      </c>
      <c r="BB103" s="100" t="s">
        <v>736</v>
      </c>
      <c r="BC103" s="100" t="s">
        <v>736</v>
      </c>
      <c r="BD103" s="158">
        <v>0.6830310059</v>
      </c>
      <c r="BE103" s="158">
        <v>0.9110991669</v>
      </c>
      <c r="BF103" s="162">
        <v>1645</v>
      </c>
      <c r="BG103" s="162">
        <v>1591</v>
      </c>
      <c r="BH103" s="162">
        <v>3133</v>
      </c>
      <c r="BI103" s="162">
        <v>1493</v>
      </c>
      <c r="BJ103" s="162">
        <v>613</v>
      </c>
      <c r="BK103" s="97"/>
      <c r="BL103" s="97"/>
      <c r="BM103" s="97"/>
      <c r="BN103" s="97"/>
    </row>
    <row r="104" spans="1:66" ht="12.75">
      <c r="A104" s="79" t="s">
        <v>673</v>
      </c>
      <c r="B104" s="79" t="s">
        <v>357</v>
      </c>
      <c r="C104" s="79" t="s">
        <v>216</v>
      </c>
      <c r="D104" s="99">
        <v>10053</v>
      </c>
      <c r="E104" s="99">
        <v>1510</v>
      </c>
      <c r="F104" s="99" t="s">
        <v>440</v>
      </c>
      <c r="G104" s="99">
        <v>44</v>
      </c>
      <c r="H104" s="99">
        <v>18</v>
      </c>
      <c r="I104" s="99">
        <v>170</v>
      </c>
      <c r="J104" s="99">
        <v>748</v>
      </c>
      <c r="K104" s="99">
        <v>10</v>
      </c>
      <c r="L104" s="99">
        <v>1956</v>
      </c>
      <c r="M104" s="99">
        <v>486</v>
      </c>
      <c r="N104" s="99">
        <v>224</v>
      </c>
      <c r="O104" s="99">
        <v>90</v>
      </c>
      <c r="P104" s="159">
        <v>90</v>
      </c>
      <c r="Q104" s="99">
        <v>13</v>
      </c>
      <c r="R104" s="99">
        <v>31</v>
      </c>
      <c r="S104" s="99">
        <v>16</v>
      </c>
      <c r="T104" s="99">
        <v>12</v>
      </c>
      <c r="U104" s="99" t="s">
        <v>736</v>
      </c>
      <c r="V104" s="99">
        <v>9</v>
      </c>
      <c r="W104" s="99">
        <v>65</v>
      </c>
      <c r="X104" s="99">
        <v>27</v>
      </c>
      <c r="Y104" s="99">
        <v>113</v>
      </c>
      <c r="Z104" s="99">
        <v>52</v>
      </c>
      <c r="AA104" s="99" t="s">
        <v>736</v>
      </c>
      <c r="AB104" s="99" t="s">
        <v>736</v>
      </c>
      <c r="AC104" s="99" t="s">
        <v>736</v>
      </c>
      <c r="AD104" s="98" t="s">
        <v>417</v>
      </c>
      <c r="AE104" s="100">
        <v>0.15020391922809112</v>
      </c>
      <c r="AF104" s="100">
        <v>0.05</v>
      </c>
      <c r="AG104" s="98">
        <v>437.6802944394708</v>
      </c>
      <c r="AH104" s="98">
        <v>179.05102954341987</v>
      </c>
      <c r="AI104" s="100">
        <v>0.017</v>
      </c>
      <c r="AJ104" s="100">
        <v>0.751004</v>
      </c>
      <c r="AK104" s="100">
        <v>0.5</v>
      </c>
      <c r="AL104" s="100">
        <v>0.712309</v>
      </c>
      <c r="AM104" s="100">
        <v>0.56185</v>
      </c>
      <c r="AN104" s="100">
        <v>0.623955</v>
      </c>
      <c r="AO104" s="98">
        <v>895.2551477170994</v>
      </c>
      <c r="AP104" s="158">
        <v>0.5065188599</v>
      </c>
      <c r="AQ104" s="100">
        <v>0.14444444444444443</v>
      </c>
      <c r="AR104" s="100">
        <v>0.41935483870967744</v>
      </c>
      <c r="AS104" s="98">
        <v>159.1564707052621</v>
      </c>
      <c r="AT104" s="98">
        <v>119.36735302894658</v>
      </c>
      <c r="AU104" s="98" t="s">
        <v>736</v>
      </c>
      <c r="AV104" s="98">
        <v>89.52551477170994</v>
      </c>
      <c r="AW104" s="98">
        <v>646.5731622401273</v>
      </c>
      <c r="AX104" s="98">
        <v>268.5765443151298</v>
      </c>
      <c r="AY104" s="98">
        <v>1124.0425743559138</v>
      </c>
      <c r="AZ104" s="98">
        <v>517.2585297921019</v>
      </c>
      <c r="BA104" s="101" t="s">
        <v>736</v>
      </c>
      <c r="BB104" s="101" t="s">
        <v>736</v>
      </c>
      <c r="BC104" s="101" t="s">
        <v>736</v>
      </c>
      <c r="BD104" s="158">
        <v>0.4073009491</v>
      </c>
      <c r="BE104" s="158">
        <v>0.6225976563</v>
      </c>
      <c r="BF104" s="162">
        <v>996</v>
      </c>
      <c r="BG104" s="162">
        <v>20</v>
      </c>
      <c r="BH104" s="162">
        <v>2746</v>
      </c>
      <c r="BI104" s="162">
        <v>865</v>
      </c>
      <c r="BJ104" s="162">
        <v>359</v>
      </c>
      <c r="BK104" s="97"/>
      <c r="BL104" s="97"/>
      <c r="BM104" s="97"/>
      <c r="BN104" s="97"/>
    </row>
    <row r="105" spans="1:66" ht="12.75">
      <c r="A105" s="79" t="s">
        <v>720</v>
      </c>
      <c r="B105" s="79" t="s">
        <v>407</v>
      </c>
      <c r="C105" s="79" t="s">
        <v>216</v>
      </c>
      <c r="D105" s="99">
        <v>2338</v>
      </c>
      <c r="E105" s="99">
        <v>347</v>
      </c>
      <c r="F105" s="99" t="s">
        <v>440</v>
      </c>
      <c r="G105" s="99">
        <v>6</v>
      </c>
      <c r="H105" s="99" t="s">
        <v>736</v>
      </c>
      <c r="I105" s="99">
        <v>48</v>
      </c>
      <c r="J105" s="99">
        <v>160</v>
      </c>
      <c r="K105" s="99" t="s">
        <v>736</v>
      </c>
      <c r="L105" s="99">
        <v>481</v>
      </c>
      <c r="M105" s="99">
        <v>109</v>
      </c>
      <c r="N105" s="99">
        <v>45</v>
      </c>
      <c r="O105" s="99">
        <v>38</v>
      </c>
      <c r="P105" s="159">
        <v>38</v>
      </c>
      <c r="Q105" s="99" t="s">
        <v>736</v>
      </c>
      <c r="R105" s="99">
        <v>10</v>
      </c>
      <c r="S105" s="99" t="s">
        <v>736</v>
      </c>
      <c r="T105" s="99" t="s">
        <v>736</v>
      </c>
      <c r="U105" s="99" t="s">
        <v>736</v>
      </c>
      <c r="V105" s="99">
        <v>6</v>
      </c>
      <c r="W105" s="99">
        <v>30</v>
      </c>
      <c r="X105" s="99">
        <v>11</v>
      </c>
      <c r="Y105" s="99">
        <v>43</v>
      </c>
      <c r="Z105" s="99">
        <v>11</v>
      </c>
      <c r="AA105" s="99" t="s">
        <v>736</v>
      </c>
      <c r="AB105" s="99" t="s">
        <v>736</v>
      </c>
      <c r="AC105" s="99" t="s">
        <v>736</v>
      </c>
      <c r="AD105" s="98" t="s">
        <v>417</v>
      </c>
      <c r="AE105" s="100">
        <v>0.1484174508126604</v>
      </c>
      <c r="AF105" s="100">
        <v>0.07</v>
      </c>
      <c r="AG105" s="98">
        <v>256.6295979469632</v>
      </c>
      <c r="AH105" s="98" t="s">
        <v>736</v>
      </c>
      <c r="AI105" s="100">
        <v>0.021</v>
      </c>
      <c r="AJ105" s="100">
        <v>0.714286</v>
      </c>
      <c r="AK105" s="100" t="s">
        <v>736</v>
      </c>
      <c r="AL105" s="100">
        <v>0.753918</v>
      </c>
      <c r="AM105" s="100">
        <v>0.514151</v>
      </c>
      <c r="AN105" s="100">
        <v>0.5</v>
      </c>
      <c r="AO105" s="98">
        <v>1625.3207869974337</v>
      </c>
      <c r="AP105" s="158">
        <v>0.9111884308</v>
      </c>
      <c r="AQ105" s="100" t="s">
        <v>736</v>
      </c>
      <c r="AR105" s="100" t="s">
        <v>736</v>
      </c>
      <c r="AS105" s="98" t="s">
        <v>736</v>
      </c>
      <c r="AT105" s="98" t="s">
        <v>736</v>
      </c>
      <c r="AU105" s="98" t="s">
        <v>736</v>
      </c>
      <c r="AV105" s="98">
        <v>256.6295979469632</v>
      </c>
      <c r="AW105" s="98">
        <v>1283.147989734816</v>
      </c>
      <c r="AX105" s="98">
        <v>470.48759623609925</v>
      </c>
      <c r="AY105" s="98">
        <v>1839.1787852865698</v>
      </c>
      <c r="AZ105" s="98">
        <v>470.48759623609925</v>
      </c>
      <c r="BA105" s="100" t="s">
        <v>736</v>
      </c>
      <c r="BB105" s="100" t="s">
        <v>736</v>
      </c>
      <c r="BC105" s="100" t="s">
        <v>736</v>
      </c>
      <c r="BD105" s="158">
        <v>0.6448111725</v>
      </c>
      <c r="BE105" s="158">
        <v>1.250677338</v>
      </c>
      <c r="BF105" s="162">
        <v>224</v>
      </c>
      <c r="BG105" s="162" t="s">
        <v>736</v>
      </c>
      <c r="BH105" s="162">
        <v>638</v>
      </c>
      <c r="BI105" s="162">
        <v>212</v>
      </c>
      <c r="BJ105" s="162">
        <v>90</v>
      </c>
      <c r="BK105" s="97"/>
      <c r="BL105" s="97"/>
      <c r="BM105" s="97"/>
      <c r="BN105" s="97"/>
    </row>
    <row r="106" spans="1:66" ht="12.75">
      <c r="A106" s="79" t="s">
        <v>663</v>
      </c>
      <c r="B106" s="79" t="s">
        <v>346</v>
      </c>
      <c r="C106" s="79" t="s">
        <v>216</v>
      </c>
      <c r="D106" s="99">
        <v>5306</v>
      </c>
      <c r="E106" s="99">
        <v>1157</v>
      </c>
      <c r="F106" s="99" t="s">
        <v>440</v>
      </c>
      <c r="G106" s="99">
        <v>37</v>
      </c>
      <c r="H106" s="99">
        <v>9</v>
      </c>
      <c r="I106" s="99">
        <v>97</v>
      </c>
      <c r="J106" s="99">
        <v>573</v>
      </c>
      <c r="K106" s="99">
        <v>7</v>
      </c>
      <c r="L106" s="99">
        <v>1016</v>
      </c>
      <c r="M106" s="99">
        <v>428</v>
      </c>
      <c r="N106" s="99">
        <v>199</v>
      </c>
      <c r="O106" s="99">
        <v>29</v>
      </c>
      <c r="P106" s="159">
        <v>29</v>
      </c>
      <c r="Q106" s="99">
        <v>7</v>
      </c>
      <c r="R106" s="99">
        <v>18</v>
      </c>
      <c r="S106" s="99" t="s">
        <v>736</v>
      </c>
      <c r="T106" s="99">
        <v>6</v>
      </c>
      <c r="U106" s="99" t="s">
        <v>736</v>
      </c>
      <c r="V106" s="99" t="s">
        <v>736</v>
      </c>
      <c r="W106" s="99">
        <v>43</v>
      </c>
      <c r="X106" s="99">
        <v>12</v>
      </c>
      <c r="Y106" s="99">
        <v>42</v>
      </c>
      <c r="Z106" s="99">
        <v>42</v>
      </c>
      <c r="AA106" s="99" t="s">
        <v>736</v>
      </c>
      <c r="AB106" s="99" t="s">
        <v>736</v>
      </c>
      <c r="AC106" s="99" t="s">
        <v>736</v>
      </c>
      <c r="AD106" s="98" t="s">
        <v>417</v>
      </c>
      <c r="AE106" s="100">
        <v>0.2180550320392009</v>
      </c>
      <c r="AF106" s="100">
        <v>0.04</v>
      </c>
      <c r="AG106" s="98">
        <v>697.3237843950245</v>
      </c>
      <c r="AH106" s="98">
        <v>169.61929890689785</v>
      </c>
      <c r="AI106" s="100">
        <v>0.018000000000000002</v>
      </c>
      <c r="AJ106" s="100">
        <v>0.767068</v>
      </c>
      <c r="AK106" s="100">
        <v>0.636364</v>
      </c>
      <c r="AL106" s="100">
        <v>0.790661</v>
      </c>
      <c r="AM106" s="100">
        <v>0.589532</v>
      </c>
      <c r="AN106" s="100">
        <v>0.652459</v>
      </c>
      <c r="AO106" s="98">
        <v>546.5510742555598</v>
      </c>
      <c r="AP106" s="158">
        <v>0.253126049</v>
      </c>
      <c r="AQ106" s="100">
        <v>0.2413793103448276</v>
      </c>
      <c r="AR106" s="100">
        <v>0.3888888888888889</v>
      </c>
      <c r="AS106" s="98" t="s">
        <v>736</v>
      </c>
      <c r="AT106" s="98">
        <v>113.07953260459857</v>
      </c>
      <c r="AU106" s="98" t="s">
        <v>736</v>
      </c>
      <c r="AV106" s="98" t="s">
        <v>736</v>
      </c>
      <c r="AW106" s="98">
        <v>810.403316999623</v>
      </c>
      <c r="AX106" s="98">
        <v>226.15906520919714</v>
      </c>
      <c r="AY106" s="98">
        <v>791.5567282321899</v>
      </c>
      <c r="AZ106" s="98">
        <v>791.5567282321899</v>
      </c>
      <c r="BA106" s="100" t="s">
        <v>736</v>
      </c>
      <c r="BB106" s="100" t="s">
        <v>736</v>
      </c>
      <c r="BC106" s="100" t="s">
        <v>736</v>
      </c>
      <c r="BD106" s="158">
        <v>0.1695224953</v>
      </c>
      <c r="BE106" s="158">
        <v>0.3635312271</v>
      </c>
      <c r="BF106" s="162">
        <v>747</v>
      </c>
      <c r="BG106" s="162">
        <v>11</v>
      </c>
      <c r="BH106" s="162">
        <v>1285</v>
      </c>
      <c r="BI106" s="162">
        <v>726</v>
      </c>
      <c r="BJ106" s="162">
        <v>305</v>
      </c>
      <c r="BK106" s="97"/>
      <c r="BL106" s="97"/>
      <c r="BM106" s="97"/>
      <c r="BN106" s="97"/>
    </row>
    <row r="107" spans="1:66" ht="12.75">
      <c r="A107" s="79" t="s">
        <v>705</v>
      </c>
      <c r="B107" s="79" t="s">
        <v>392</v>
      </c>
      <c r="C107" s="79" t="s">
        <v>216</v>
      </c>
      <c r="D107" s="99">
        <v>11610</v>
      </c>
      <c r="E107" s="99">
        <v>2085</v>
      </c>
      <c r="F107" s="99" t="s">
        <v>440</v>
      </c>
      <c r="G107" s="99">
        <v>63</v>
      </c>
      <c r="H107" s="99">
        <v>40</v>
      </c>
      <c r="I107" s="99">
        <v>245</v>
      </c>
      <c r="J107" s="99">
        <v>962</v>
      </c>
      <c r="K107" s="99">
        <v>30</v>
      </c>
      <c r="L107" s="99">
        <v>2331</v>
      </c>
      <c r="M107" s="99">
        <v>688</v>
      </c>
      <c r="N107" s="99">
        <v>350</v>
      </c>
      <c r="O107" s="99">
        <v>187</v>
      </c>
      <c r="P107" s="159">
        <v>187</v>
      </c>
      <c r="Q107" s="99">
        <v>29</v>
      </c>
      <c r="R107" s="99">
        <v>58</v>
      </c>
      <c r="S107" s="99">
        <v>30</v>
      </c>
      <c r="T107" s="99">
        <v>39</v>
      </c>
      <c r="U107" s="99">
        <v>8</v>
      </c>
      <c r="V107" s="99">
        <v>19</v>
      </c>
      <c r="W107" s="99">
        <v>44</v>
      </c>
      <c r="X107" s="99">
        <v>41</v>
      </c>
      <c r="Y107" s="99">
        <v>143</v>
      </c>
      <c r="Z107" s="99">
        <v>71</v>
      </c>
      <c r="AA107" s="99" t="s">
        <v>736</v>
      </c>
      <c r="AB107" s="99" t="s">
        <v>736</v>
      </c>
      <c r="AC107" s="99" t="s">
        <v>736</v>
      </c>
      <c r="AD107" s="98" t="s">
        <v>417</v>
      </c>
      <c r="AE107" s="100">
        <v>0.17958656330749354</v>
      </c>
      <c r="AF107" s="100">
        <v>0.07</v>
      </c>
      <c r="AG107" s="98">
        <v>542.6356589147287</v>
      </c>
      <c r="AH107" s="98">
        <v>344.5305770887166</v>
      </c>
      <c r="AI107" s="100">
        <v>0.021</v>
      </c>
      <c r="AJ107" s="100">
        <v>0.704762</v>
      </c>
      <c r="AK107" s="100">
        <v>0.681818</v>
      </c>
      <c r="AL107" s="100">
        <v>0.772878</v>
      </c>
      <c r="AM107" s="100">
        <v>0.563934</v>
      </c>
      <c r="AN107" s="100">
        <v>0.622776</v>
      </c>
      <c r="AO107" s="98">
        <v>1610.6804478897502</v>
      </c>
      <c r="AP107" s="158">
        <v>0.8247004699999999</v>
      </c>
      <c r="AQ107" s="100">
        <v>0.15508021390374332</v>
      </c>
      <c r="AR107" s="100">
        <v>0.5</v>
      </c>
      <c r="AS107" s="98">
        <v>258.3979328165375</v>
      </c>
      <c r="AT107" s="98">
        <v>335.9173126614987</v>
      </c>
      <c r="AU107" s="98">
        <v>68.90611541774332</v>
      </c>
      <c r="AV107" s="98">
        <v>163.6520241171404</v>
      </c>
      <c r="AW107" s="98">
        <v>378.9836347975883</v>
      </c>
      <c r="AX107" s="98">
        <v>353.1438415159345</v>
      </c>
      <c r="AY107" s="98">
        <v>1231.6968130921618</v>
      </c>
      <c r="AZ107" s="98">
        <v>611.541774332472</v>
      </c>
      <c r="BA107" s="100" t="s">
        <v>736</v>
      </c>
      <c r="BB107" s="100" t="s">
        <v>736</v>
      </c>
      <c r="BC107" s="100" t="s">
        <v>736</v>
      </c>
      <c r="BD107" s="158">
        <v>0.7107296753</v>
      </c>
      <c r="BE107" s="158">
        <v>0.9517481232</v>
      </c>
      <c r="BF107" s="162">
        <v>1365</v>
      </c>
      <c r="BG107" s="162">
        <v>44</v>
      </c>
      <c r="BH107" s="162">
        <v>3016</v>
      </c>
      <c r="BI107" s="162">
        <v>1220</v>
      </c>
      <c r="BJ107" s="162">
        <v>562</v>
      </c>
      <c r="BK107" s="97"/>
      <c r="BL107" s="97"/>
      <c r="BM107" s="97"/>
      <c r="BN107" s="97"/>
    </row>
    <row r="108" spans="1:66" ht="12.75">
      <c r="A108" s="79" t="s">
        <v>667</v>
      </c>
      <c r="B108" s="79" t="s">
        <v>351</v>
      </c>
      <c r="C108" s="79" t="s">
        <v>216</v>
      </c>
      <c r="D108" s="99">
        <v>4206</v>
      </c>
      <c r="E108" s="99">
        <v>845</v>
      </c>
      <c r="F108" s="99" t="s">
        <v>440</v>
      </c>
      <c r="G108" s="99">
        <v>19</v>
      </c>
      <c r="H108" s="99">
        <v>11</v>
      </c>
      <c r="I108" s="99">
        <v>83</v>
      </c>
      <c r="J108" s="99">
        <v>346</v>
      </c>
      <c r="K108" s="99">
        <v>20</v>
      </c>
      <c r="L108" s="99">
        <v>811</v>
      </c>
      <c r="M108" s="99">
        <v>250</v>
      </c>
      <c r="N108" s="99">
        <v>119</v>
      </c>
      <c r="O108" s="99">
        <v>77</v>
      </c>
      <c r="P108" s="159">
        <v>77</v>
      </c>
      <c r="Q108" s="99">
        <v>9</v>
      </c>
      <c r="R108" s="99">
        <v>23</v>
      </c>
      <c r="S108" s="99">
        <v>11</v>
      </c>
      <c r="T108" s="99">
        <v>17</v>
      </c>
      <c r="U108" s="99" t="s">
        <v>736</v>
      </c>
      <c r="V108" s="99">
        <v>26</v>
      </c>
      <c r="W108" s="99">
        <v>30</v>
      </c>
      <c r="X108" s="99">
        <v>26</v>
      </c>
      <c r="Y108" s="99">
        <v>56</v>
      </c>
      <c r="Z108" s="99">
        <v>37</v>
      </c>
      <c r="AA108" s="99" t="s">
        <v>736</v>
      </c>
      <c r="AB108" s="99" t="s">
        <v>736</v>
      </c>
      <c r="AC108" s="99" t="s">
        <v>736</v>
      </c>
      <c r="AD108" s="98" t="s">
        <v>417</v>
      </c>
      <c r="AE108" s="100">
        <v>0.20090347123157395</v>
      </c>
      <c r="AF108" s="100">
        <v>0.07</v>
      </c>
      <c r="AG108" s="98">
        <v>451.735615786971</v>
      </c>
      <c r="AH108" s="98">
        <v>261.5311459819306</v>
      </c>
      <c r="AI108" s="100">
        <v>0.02</v>
      </c>
      <c r="AJ108" s="100">
        <v>0.638376</v>
      </c>
      <c r="AK108" s="100">
        <v>0.714286</v>
      </c>
      <c r="AL108" s="100">
        <v>0.761502</v>
      </c>
      <c r="AM108" s="100">
        <v>0.485437</v>
      </c>
      <c r="AN108" s="100">
        <v>0.561321</v>
      </c>
      <c r="AO108" s="98">
        <v>1830.718021873514</v>
      </c>
      <c r="AP108" s="158">
        <v>0.8686747742</v>
      </c>
      <c r="AQ108" s="100">
        <v>0.11688311688311688</v>
      </c>
      <c r="AR108" s="100">
        <v>0.391304347826087</v>
      </c>
      <c r="AS108" s="98">
        <v>261.5311459819306</v>
      </c>
      <c r="AT108" s="98">
        <v>404.1844983357109</v>
      </c>
      <c r="AU108" s="98" t="s">
        <v>736</v>
      </c>
      <c r="AV108" s="98">
        <v>618.1645268663814</v>
      </c>
      <c r="AW108" s="98">
        <v>713.2667617689016</v>
      </c>
      <c r="AX108" s="98">
        <v>618.1645268663814</v>
      </c>
      <c r="AY108" s="98">
        <v>1331.431288635283</v>
      </c>
      <c r="AZ108" s="98">
        <v>879.6956728483119</v>
      </c>
      <c r="BA108" s="100" t="s">
        <v>736</v>
      </c>
      <c r="BB108" s="100" t="s">
        <v>736</v>
      </c>
      <c r="BC108" s="100" t="s">
        <v>736</v>
      </c>
      <c r="BD108" s="158">
        <v>0.6855445099</v>
      </c>
      <c r="BE108" s="158">
        <v>1.085694427</v>
      </c>
      <c r="BF108" s="162">
        <v>542</v>
      </c>
      <c r="BG108" s="162">
        <v>28</v>
      </c>
      <c r="BH108" s="162">
        <v>1065</v>
      </c>
      <c r="BI108" s="162">
        <v>515</v>
      </c>
      <c r="BJ108" s="162">
        <v>212</v>
      </c>
      <c r="BK108" s="97"/>
      <c r="BL108" s="97"/>
      <c r="BM108" s="97"/>
      <c r="BN108" s="97"/>
    </row>
    <row r="109" spans="1:66" ht="12.75">
      <c r="A109" s="79" t="s">
        <v>685</v>
      </c>
      <c r="B109" s="79" t="s">
        <v>372</v>
      </c>
      <c r="C109" s="79" t="s">
        <v>216</v>
      </c>
      <c r="D109" s="99">
        <v>7184</v>
      </c>
      <c r="E109" s="99">
        <v>1010</v>
      </c>
      <c r="F109" s="99" t="s">
        <v>440</v>
      </c>
      <c r="G109" s="99">
        <v>33</v>
      </c>
      <c r="H109" s="99">
        <v>19</v>
      </c>
      <c r="I109" s="99">
        <v>41</v>
      </c>
      <c r="J109" s="99">
        <v>612</v>
      </c>
      <c r="K109" s="99">
        <v>604</v>
      </c>
      <c r="L109" s="99">
        <v>1441</v>
      </c>
      <c r="M109" s="99">
        <v>382</v>
      </c>
      <c r="N109" s="99">
        <v>165</v>
      </c>
      <c r="O109" s="99">
        <v>41</v>
      </c>
      <c r="P109" s="159">
        <v>41</v>
      </c>
      <c r="Q109" s="99" t="s">
        <v>736</v>
      </c>
      <c r="R109" s="99">
        <v>28</v>
      </c>
      <c r="S109" s="99">
        <v>7</v>
      </c>
      <c r="T109" s="99">
        <v>12</v>
      </c>
      <c r="U109" s="99" t="s">
        <v>736</v>
      </c>
      <c r="V109" s="99" t="s">
        <v>736</v>
      </c>
      <c r="W109" s="99">
        <v>37</v>
      </c>
      <c r="X109" s="99">
        <v>22</v>
      </c>
      <c r="Y109" s="99">
        <v>77</v>
      </c>
      <c r="Z109" s="99">
        <v>35</v>
      </c>
      <c r="AA109" s="99" t="s">
        <v>736</v>
      </c>
      <c r="AB109" s="99" t="s">
        <v>736</v>
      </c>
      <c r="AC109" s="99" t="s">
        <v>736</v>
      </c>
      <c r="AD109" s="98" t="s">
        <v>417</v>
      </c>
      <c r="AE109" s="100">
        <v>0.1405902004454343</v>
      </c>
      <c r="AF109" s="100">
        <v>0.08</v>
      </c>
      <c r="AG109" s="98">
        <v>459.35412026726056</v>
      </c>
      <c r="AH109" s="98">
        <v>264.47661469933183</v>
      </c>
      <c r="AI109" s="100">
        <v>0.006</v>
      </c>
      <c r="AJ109" s="100">
        <v>0.744526</v>
      </c>
      <c r="AK109" s="100">
        <v>0.764557</v>
      </c>
      <c r="AL109" s="100">
        <v>0.777238</v>
      </c>
      <c r="AM109" s="100">
        <v>0.552822</v>
      </c>
      <c r="AN109" s="100">
        <v>0.60219</v>
      </c>
      <c r="AO109" s="98">
        <v>570.7126948775056</v>
      </c>
      <c r="AP109" s="158">
        <v>0.3234109497</v>
      </c>
      <c r="AQ109" s="100" t="s">
        <v>736</v>
      </c>
      <c r="AR109" s="100" t="s">
        <v>736</v>
      </c>
      <c r="AS109" s="98">
        <v>97.43875278396436</v>
      </c>
      <c r="AT109" s="98">
        <v>167.03786191536747</v>
      </c>
      <c r="AU109" s="98" t="s">
        <v>736</v>
      </c>
      <c r="AV109" s="98" t="s">
        <v>736</v>
      </c>
      <c r="AW109" s="98">
        <v>515.0334075723831</v>
      </c>
      <c r="AX109" s="98">
        <v>306.2360801781737</v>
      </c>
      <c r="AY109" s="98">
        <v>1071.826280623608</v>
      </c>
      <c r="AZ109" s="98">
        <v>487.19376391982183</v>
      </c>
      <c r="BA109" s="100" t="s">
        <v>736</v>
      </c>
      <c r="BB109" s="100" t="s">
        <v>736</v>
      </c>
      <c r="BC109" s="100" t="s">
        <v>736</v>
      </c>
      <c r="BD109" s="158">
        <v>0.23208528520000002</v>
      </c>
      <c r="BE109" s="158">
        <v>0.4387434769</v>
      </c>
      <c r="BF109" s="162">
        <v>822</v>
      </c>
      <c r="BG109" s="162">
        <v>790</v>
      </c>
      <c r="BH109" s="162">
        <v>1854</v>
      </c>
      <c r="BI109" s="162">
        <v>691</v>
      </c>
      <c r="BJ109" s="162">
        <v>274</v>
      </c>
      <c r="BK109" s="97"/>
      <c r="BL109" s="97"/>
      <c r="BM109" s="97"/>
      <c r="BN109" s="97"/>
    </row>
    <row r="110" spans="1:66" ht="12.75">
      <c r="A110" s="79" t="s">
        <v>633</v>
      </c>
      <c r="B110" s="79" t="s">
        <v>316</v>
      </c>
      <c r="C110" s="79" t="s">
        <v>216</v>
      </c>
      <c r="D110" s="99">
        <v>7217</v>
      </c>
      <c r="E110" s="99">
        <v>1365</v>
      </c>
      <c r="F110" s="99" t="s">
        <v>440</v>
      </c>
      <c r="G110" s="99">
        <v>52</v>
      </c>
      <c r="H110" s="99">
        <v>18</v>
      </c>
      <c r="I110" s="99">
        <v>145</v>
      </c>
      <c r="J110" s="99">
        <v>590</v>
      </c>
      <c r="K110" s="99">
        <v>8</v>
      </c>
      <c r="L110" s="99">
        <v>1374</v>
      </c>
      <c r="M110" s="99">
        <v>489</v>
      </c>
      <c r="N110" s="99">
        <v>223</v>
      </c>
      <c r="O110" s="99">
        <v>118</v>
      </c>
      <c r="P110" s="159">
        <v>118</v>
      </c>
      <c r="Q110" s="99">
        <v>26</v>
      </c>
      <c r="R110" s="99">
        <v>46</v>
      </c>
      <c r="S110" s="99">
        <v>32</v>
      </c>
      <c r="T110" s="99">
        <v>16</v>
      </c>
      <c r="U110" s="99" t="s">
        <v>736</v>
      </c>
      <c r="V110" s="99">
        <v>14</v>
      </c>
      <c r="W110" s="99">
        <v>45</v>
      </c>
      <c r="X110" s="99">
        <v>34</v>
      </c>
      <c r="Y110" s="99">
        <v>93</v>
      </c>
      <c r="Z110" s="99">
        <v>47</v>
      </c>
      <c r="AA110" s="99" t="s">
        <v>736</v>
      </c>
      <c r="AB110" s="99" t="s">
        <v>736</v>
      </c>
      <c r="AC110" s="99" t="s">
        <v>736</v>
      </c>
      <c r="AD110" s="98" t="s">
        <v>417</v>
      </c>
      <c r="AE110" s="100">
        <v>0.18913676042677013</v>
      </c>
      <c r="AF110" s="100">
        <v>0.06</v>
      </c>
      <c r="AG110" s="98">
        <v>720.5209921019814</v>
      </c>
      <c r="AH110" s="98">
        <v>249.41111265068588</v>
      </c>
      <c r="AI110" s="100">
        <v>0.02</v>
      </c>
      <c r="AJ110" s="100">
        <v>0.68287</v>
      </c>
      <c r="AK110" s="100">
        <v>0.5</v>
      </c>
      <c r="AL110" s="100">
        <v>0.785143</v>
      </c>
      <c r="AM110" s="100">
        <v>0.588448</v>
      </c>
      <c r="AN110" s="100">
        <v>0.635328</v>
      </c>
      <c r="AO110" s="98">
        <v>1635.0284051544963</v>
      </c>
      <c r="AP110" s="158">
        <v>0.8255043793</v>
      </c>
      <c r="AQ110" s="100">
        <v>0.22033898305084745</v>
      </c>
      <c r="AR110" s="100">
        <v>0.5652173913043478</v>
      </c>
      <c r="AS110" s="98">
        <v>443.3975336012193</v>
      </c>
      <c r="AT110" s="98">
        <v>221.69876680060966</v>
      </c>
      <c r="AU110" s="98" t="s">
        <v>736</v>
      </c>
      <c r="AV110" s="98">
        <v>193.98642095053347</v>
      </c>
      <c r="AW110" s="98">
        <v>623.5277816267147</v>
      </c>
      <c r="AX110" s="98">
        <v>471.10987945129557</v>
      </c>
      <c r="AY110" s="98">
        <v>1288.6240820285436</v>
      </c>
      <c r="AZ110" s="98">
        <v>651.2401274767909</v>
      </c>
      <c r="BA110" s="100" t="s">
        <v>736</v>
      </c>
      <c r="BB110" s="100" t="s">
        <v>736</v>
      </c>
      <c r="BC110" s="100" t="s">
        <v>736</v>
      </c>
      <c r="BD110" s="158">
        <v>0.6832917786</v>
      </c>
      <c r="BE110" s="158">
        <v>0.9885871124000001</v>
      </c>
      <c r="BF110" s="162">
        <v>864</v>
      </c>
      <c r="BG110" s="162">
        <v>16</v>
      </c>
      <c r="BH110" s="162">
        <v>1750</v>
      </c>
      <c r="BI110" s="162">
        <v>831</v>
      </c>
      <c r="BJ110" s="162">
        <v>351</v>
      </c>
      <c r="BK110" s="97"/>
      <c r="BL110" s="97"/>
      <c r="BM110" s="97"/>
      <c r="BN110" s="97"/>
    </row>
    <row r="111" spans="1:66" ht="12.75">
      <c r="A111" s="79" t="s">
        <v>682</v>
      </c>
      <c r="B111" s="79" t="s">
        <v>369</v>
      </c>
      <c r="C111" s="79" t="s">
        <v>216</v>
      </c>
      <c r="D111" s="99">
        <v>2054</v>
      </c>
      <c r="E111" s="99">
        <v>478</v>
      </c>
      <c r="F111" s="99" t="s">
        <v>440</v>
      </c>
      <c r="G111" s="99">
        <v>11</v>
      </c>
      <c r="H111" s="99">
        <v>8</v>
      </c>
      <c r="I111" s="99">
        <v>45</v>
      </c>
      <c r="J111" s="99">
        <v>175</v>
      </c>
      <c r="K111" s="99" t="s">
        <v>736</v>
      </c>
      <c r="L111" s="99" t="s">
        <v>736</v>
      </c>
      <c r="M111" s="99" t="s">
        <v>417</v>
      </c>
      <c r="N111" s="99" t="s">
        <v>417</v>
      </c>
      <c r="O111" s="99">
        <v>20</v>
      </c>
      <c r="P111" s="159">
        <v>20</v>
      </c>
      <c r="Q111" s="99">
        <v>6</v>
      </c>
      <c r="R111" s="99">
        <v>11</v>
      </c>
      <c r="S111" s="99" t="s">
        <v>736</v>
      </c>
      <c r="T111" s="99" t="s">
        <v>736</v>
      </c>
      <c r="U111" s="99" t="s">
        <v>736</v>
      </c>
      <c r="V111" s="99">
        <v>6</v>
      </c>
      <c r="W111" s="99">
        <v>15</v>
      </c>
      <c r="X111" s="99" t="s">
        <v>736</v>
      </c>
      <c r="Y111" s="99">
        <v>21</v>
      </c>
      <c r="Z111" s="99">
        <v>28</v>
      </c>
      <c r="AA111" s="99" t="s">
        <v>736</v>
      </c>
      <c r="AB111" s="99" t="s">
        <v>736</v>
      </c>
      <c r="AC111" s="99" t="s">
        <v>736</v>
      </c>
      <c r="AD111" s="98" t="s">
        <v>417</v>
      </c>
      <c r="AE111" s="100">
        <v>0.23271665043816941</v>
      </c>
      <c r="AF111" s="100">
        <v>0.03</v>
      </c>
      <c r="AG111" s="98">
        <v>535.5404089581305</v>
      </c>
      <c r="AH111" s="98">
        <v>389.48393378773125</v>
      </c>
      <c r="AI111" s="100">
        <v>0.022000000000000002</v>
      </c>
      <c r="AJ111" s="100">
        <v>0.708502</v>
      </c>
      <c r="AK111" s="100" t="s">
        <v>736</v>
      </c>
      <c r="AL111" s="100" t="s">
        <v>736</v>
      </c>
      <c r="AM111" s="100" t="s">
        <v>417</v>
      </c>
      <c r="AN111" s="100" t="s">
        <v>417</v>
      </c>
      <c r="AO111" s="98">
        <v>973.7098344693281</v>
      </c>
      <c r="AP111" s="158">
        <v>0.447592392</v>
      </c>
      <c r="AQ111" s="100">
        <v>0.3</v>
      </c>
      <c r="AR111" s="100">
        <v>0.5454545454545454</v>
      </c>
      <c r="AS111" s="98" t="s">
        <v>736</v>
      </c>
      <c r="AT111" s="98" t="s">
        <v>736</v>
      </c>
      <c r="AU111" s="98" t="s">
        <v>736</v>
      </c>
      <c r="AV111" s="98">
        <v>292.1129503407984</v>
      </c>
      <c r="AW111" s="98">
        <v>730.2823758519961</v>
      </c>
      <c r="AX111" s="98" t="s">
        <v>736</v>
      </c>
      <c r="AY111" s="98">
        <v>1022.3953261927945</v>
      </c>
      <c r="AZ111" s="98">
        <v>1363.1937682570594</v>
      </c>
      <c r="BA111" s="100" t="s">
        <v>736</v>
      </c>
      <c r="BB111" s="100" t="s">
        <v>736</v>
      </c>
      <c r="BC111" s="100" t="s">
        <v>736</v>
      </c>
      <c r="BD111" s="158">
        <v>0.2734010506</v>
      </c>
      <c r="BE111" s="158">
        <v>0.6912701416</v>
      </c>
      <c r="BF111" s="162">
        <v>247</v>
      </c>
      <c r="BG111" s="162" t="s">
        <v>736</v>
      </c>
      <c r="BH111" s="162" t="s">
        <v>736</v>
      </c>
      <c r="BI111" s="162" t="s">
        <v>417</v>
      </c>
      <c r="BJ111" s="162" t="s">
        <v>417</v>
      </c>
      <c r="BK111" s="97"/>
      <c r="BL111" s="97"/>
      <c r="BM111" s="97"/>
      <c r="BN111" s="97"/>
    </row>
    <row r="112" spans="1:66" ht="12.75">
      <c r="A112" s="79" t="s">
        <v>707</v>
      </c>
      <c r="B112" s="79" t="s">
        <v>394</v>
      </c>
      <c r="C112" s="79" t="s">
        <v>216</v>
      </c>
      <c r="D112" s="99">
        <v>2180</v>
      </c>
      <c r="E112" s="99">
        <v>347</v>
      </c>
      <c r="F112" s="99" t="s">
        <v>440</v>
      </c>
      <c r="G112" s="99">
        <v>11</v>
      </c>
      <c r="H112" s="99">
        <v>7</v>
      </c>
      <c r="I112" s="99">
        <v>51</v>
      </c>
      <c r="J112" s="99">
        <v>198</v>
      </c>
      <c r="K112" s="99" t="s">
        <v>736</v>
      </c>
      <c r="L112" s="99">
        <v>463</v>
      </c>
      <c r="M112" s="99">
        <v>134</v>
      </c>
      <c r="N112" s="99">
        <v>63</v>
      </c>
      <c r="O112" s="99">
        <v>36</v>
      </c>
      <c r="P112" s="159">
        <v>36</v>
      </c>
      <c r="Q112" s="99" t="s">
        <v>736</v>
      </c>
      <c r="R112" s="99">
        <v>9</v>
      </c>
      <c r="S112" s="99">
        <v>8</v>
      </c>
      <c r="T112" s="99">
        <v>6</v>
      </c>
      <c r="U112" s="99" t="s">
        <v>736</v>
      </c>
      <c r="V112" s="99">
        <v>11</v>
      </c>
      <c r="W112" s="99">
        <v>13</v>
      </c>
      <c r="X112" s="99" t="s">
        <v>736</v>
      </c>
      <c r="Y112" s="99">
        <v>13</v>
      </c>
      <c r="Z112" s="99">
        <v>18</v>
      </c>
      <c r="AA112" s="99" t="s">
        <v>736</v>
      </c>
      <c r="AB112" s="99" t="s">
        <v>736</v>
      </c>
      <c r="AC112" s="99" t="s">
        <v>736</v>
      </c>
      <c r="AD112" s="98" t="s">
        <v>417</v>
      </c>
      <c r="AE112" s="100">
        <v>0.1591743119266055</v>
      </c>
      <c r="AF112" s="100">
        <v>0.04</v>
      </c>
      <c r="AG112" s="98">
        <v>504.58715596330273</v>
      </c>
      <c r="AH112" s="98">
        <v>321.10091743119267</v>
      </c>
      <c r="AI112" s="100">
        <v>0.023</v>
      </c>
      <c r="AJ112" s="100">
        <v>0.738806</v>
      </c>
      <c r="AK112" s="100" t="s">
        <v>736</v>
      </c>
      <c r="AL112" s="100">
        <v>0.82238</v>
      </c>
      <c r="AM112" s="100">
        <v>0.51145</v>
      </c>
      <c r="AN112" s="100">
        <v>0.529412</v>
      </c>
      <c r="AO112" s="98">
        <v>1651.3761467889908</v>
      </c>
      <c r="AP112" s="158">
        <v>0.8784050751</v>
      </c>
      <c r="AQ112" s="100" t="s">
        <v>736</v>
      </c>
      <c r="AR112" s="100" t="s">
        <v>736</v>
      </c>
      <c r="AS112" s="98">
        <v>366.9724770642202</v>
      </c>
      <c r="AT112" s="98">
        <v>275.22935779816515</v>
      </c>
      <c r="AU112" s="98" t="s">
        <v>736</v>
      </c>
      <c r="AV112" s="98">
        <v>504.58715596330273</v>
      </c>
      <c r="AW112" s="98">
        <v>596.3302752293578</v>
      </c>
      <c r="AX112" s="98" t="s">
        <v>736</v>
      </c>
      <c r="AY112" s="98">
        <v>596.3302752293578</v>
      </c>
      <c r="AZ112" s="98">
        <v>825.6880733944954</v>
      </c>
      <c r="BA112" s="100" t="s">
        <v>736</v>
      </c>
      <c r="BB112" s="100" t="s">
        <v>736</v>
      </c>
      <c r="BC112" s="100" t="s">
        <v>736</v>
      </c>
      <c r="BD112" s="158">
        <v>0.6152241135</v>
      </c>
      <c r="BE112" s="158">
        <v>1.2160828399999999</v>
      </c>
      <c r="BF112" s="162">
        <v>268</v>
      </c>
      <c r="BG112" s="162" t="s">
        <v>736</v>
      </c>
      <c r="BH112" s="162">
        <v>563</v>
      </c>
      <c r="BI112" s="162">
        <v>262</v>
      </c>
      <c r="BJ112" s="162">
        <v>119</v>
      </c>
      <c r="BK112" s="97"/>
      <c r="BL112" s="97"/>
      <c r="BM112" s="97"/>
      <c r="BN112" s="97"/>
    </row>
    <row r="113" spans="1:66" ht="12.75">
      <c r="A113" s="79" t="s">
        <v>606</v>
      </c>
      <c r="B113" s="79" t="s">
        <v>288</v>
      </c>
      <c r="C113" s="79" t="s">
        <v>216</v>
      </c>
      <c r="D113" s="99">
        <v>15797</v>
      </c>
      <c r="E113" s="99">
        <v>2863</v>
      </c>
      <c r="F113" s="99" t="s">
        <v>440</v>
      </c>
      <c r="G113" s="99">
        <v>61</v>
      </c>
      <c r="H113" s="99">
        <v>42</v>
      </c>
      <c r="I113" s="99">
        <v>330</v>
      </c>
      <c r="J113" s="99">
        <v>1317</v>
      </c>
      <c r="K113" s="99">
        <v>64</v>
      </c>
      <c r="L113" s="99">
        <v>3058</v>
      </c>
      <c r="M113" s="99">
        <v>920</v>
      </c>
      <c r="N113" s="99">
        <v>430</v>
      </c>
      <c r="O113" s="99">
        <v>311</v>
      </c>
      <c r="P113" s="159">
        <v>311</v>
      </c>
      <c r="Q113" s="99">
        <v>33</v>
      </c>
      <c r="R113" s="99">
        <v>71</v>
      </c>
      <c r="S113" s="99">
        <v>48</v>
      </c>
      <c r="T113" s="99">
        <v>48</v>
      </c>
      <c r="U113" s="99">
        <v>11</v>
      </c>
      <c r="V113" s="99">
        <v>71</v>
      </c>
      <c r="W113" s="99">
        <v>92</v>
      </c>
      <c r="X113" s="99">
        <v>90</v>
      </c>
      <c r="Y113" s="99">
        <v>174</v>
      </c>
      <c r="Z113" s="99">
        <v>115</v>
      </c>
      <c r="AA113" s="99" t="s">
        <v>736</v>
      </c>
      <c r="AB113" s="99" t="s">
        <v>736</v>
      </c>
      <c r="AC113" s="99" t="s">
        <v>736</v>
      </c>
      <c r="AD113" s="98" t="s">
        <v>417</v>
      </c>
      <c r="AE113" s="100">
        <v>0.1812369437234918</v>
      </c>
      <c r="AF113" s="100">
        <v>0.08</v>
      </c>
      <c r="AG113" s="98">
        <v>386.14926884851553</v>
      </c>
      <c r="AH113" s="98">
        <v>265.8732670760271</v>
      </c>
      <c r="AI113" s="100">
        <v>0.021</v>
      </c>
      <c r="AJ113" s="100">
        <v>0.692793</v>
      </c>
      <c r="AK113" s="100">
        <v>0.666667</v>
      </c>
      <c r="AL113" s="100">
        <v>0.77359</v>
      </c>
      <c r="AM113" s="100">
        <v>0.546643</v>
      </c>
      <c r="AN113" s="100">
        <v>0.577181</v>
      </c>
      <c r="AO113" s="98">
        <v>1968.728239539153</v>
      </c>
      <c r="AP113" s="158">
        <v>1.007362213</v>
      </c>
      <c r="AQ113" s="100">
        <v>0.10610932475884244</v>
      </c>
      <c r="AR113" s="100">
        <v>0.4647887323943662</v>
      </c>
      <c r="AS113" s="98">
        <v>303.85516237260236</v>
      </c>
      <c r="AT113" s="98">
        <v>303.85516237260236</v>
      </c>
      <c r="AU113" s="98">
        <v>69.63347471038804</v>
      </c>
      <c r="AV113" s="98">
        <v>449.45242767614104</v>
      </c>
      <c r="AW113" s="98">
        <v>582.3890612141546</v>
      </c>
      <c r="AX113" s="98">
        <v>569.7284294486295</v>
      </c>
      <c r="AY113" s="98">
        <v>1101.4749636006836</v>
      </c>
      <c r="AZ113" s="98">
        <v>727.9863265176932</v>
      </c>
      <c r="BA113" s="100" t="s">
        <v>736</v>
      </c>
      <c r="BB113" s="100" t="s">
        <v>736</v>
      </c>
      <c r="BC113" s="100" t="s">
        <v>736</v>
      </c>
      <c r="BD113" s="158">
        <v>0.898503418</v>
      </c>
      <c r="BE113" s="158">
        <v>1.12577446</v>
      </c>
      <c r="BF113" s="162">
        <v>1901</v>
      </c>
      <c r="BG113" s="162">
        <v>96</v>
      </c>
      <c r="BH113" s="162">
        <v>3953</v>
      </c>
      <c r="BI113" s="162">
        <v>1683</v>
      </c>
      <c r="BJ113" s="162">
        <v>745</v>
      </c>
      <c r="BK113" s="97"/>
      <c r="BL113" s="97"/>
      <c r="BM113" s="97"/>
      <c r="BN113" s="97"/>
    </row>
    <row r="114" spans="1:66" ht="12.75">
      <c r="A114" s="79" t="s">
        <v>602</v>
      </c>
      <c r="B114" s="79" t="s">
        <v>283</v>
      </c>
      <c r="C114" s="79" t="s">
        <v>216</v>
      </c>
      <c r="D114" s="99">
        <v>18461</v>
      </c>
      <c r="E114" s="99">
        <v>3207</v>
      </c>
      <c r="F114" s="99" t="s">
        <v>438</v>
      </c>
      <c r="G114" s="99">
        <v>118</v>
      </c>
      <c r="H114" s="99">
        <v>42</v>
      </c>
      <c r="I114" s="99">
        <v>383</v>
      </c>
      <c r="J114" s="99">
        <v>1610</v>
      </c>
      <c r="K114" s="99">
        <v>36</v>
      </c>
      <c r="L114" s="99">
        <v>3571</v>
      </c>
      <c r="M114" s="99">
        <v>1022</v>
      </c>
      <c r="N114" s="99">
        <v>473</v>
      </c>
      <c r="O114" s="99">
        <v>395</v>
      </c>
      <c r="P114" s="159">
        <v>395</v>
      </c>
      <c r="Q114" s="99">
        <v>35</v>
      </c>
      <c r="R114" s="99">
        <v>98</v>
      </c>
      <c r="S114" s="99">
        <v>90</v>
      </c>
      <c r="T114" s="99">
        <v>73</v>
      </c>
      <c r="U114" s="99">
        <v>11</v>
      </c>
      <c r="V114" s="99">
        <v>83</v>
      </c>
      <c r="W114" s="99">
        <v>120</v>
      </c>
      <c r="X114" s="99">
        <v>74</v>
      </c>
      <c r="Y114" s="99">
        <v>219</v>
      </c>
      <c r="Z114" s="99">
        <v>98</v>
      </c>
      <c r="AA114" s="99" t="s">
        <v>736</v>
      </c>
      <c r="AB114" s="99" t="s">
        <v>736</v>
      </c>
      <c r="AC114" s="99" t="s">
        <v>736</v>
      </c>
      <c r="AD114" s="98" t="s">
        <v>417</v>
      </c>
      <c r="AE114" s="100">
        <v>0.1737175667623639</v>
      </c>
      <c r="AF114" s="100">
        <v>0.09</v>
      </c>
      <c r="AG114" s="98">
        <v>639.1853095715292</v>
      </c>
      <c r="AH114" s="98">
        <v>227.5066356102053</v>
      </c>
      <c r="AI114" s="100">
        <v>0.021</v>
      </c>
      <c r="AJ114" s="100">
        <v>0.759792</v>
      </c>
      <c r="AK114" s="100">
        <v>0.62069</v>
      </c>
      <c r="AL114" s="100">
        <v>0.764014</v>
      </c>
      <c r="AM114" s="100">
        <v>0.530358</v>
      </c>
      <c r="AN114" s="100">
        <v>0.572639</v>
      </c>
      <c r="AO114" s="98">
        <v>2139.645739667407</v>
      </c>
      <c r="AP114" s="158">
        <v>1.128218079</v>
      </c>
      <c r="AQ114" s="100">
        <v>0.08860759493670886</v>
      </c>
      <c r="AR114" s="100">
        <v>0.35714285714285715</v>
      </c>
      <c r="AS114" s="98">
        <v>487.51421916472566</v>
      </c>
      <c r="AT114" s="98">
        <v>395.42819998916633</v>
      </c>
      <c r="AU114" s="98">
        <v>59.58507123124424</v>
      </c>
      <c r="AV114" s="98">
        <v>449.59644656302476</v>
      </c>
      <c r="AW114" s="98">
        <v>650.0189588863009</v>
      </c>
      <c r="AX114" s="98">
        <v>400.8450246465522</v>
      </c>
      <c r="AY114" s="98">
        <v>1186.2845999674992</v>
      </c>
      <c r="AZ114" s="98">
        <v>530.8488164238123</v>
      </c>
      <c r="BA114" s="100" t="s">
        <v>736</v>
      </c>
      <c r="BB114" s="100" t="s">
        <v>736</v>
      </c>
      <c r="BC114" s="100" t="s">
        <v>736</v>
      </c>
      <c r="BD114" s="158">
        <v>1.019684219</v>
      </c>
      <c r="BE114" s="158">
        <v>1.245158081</v>
      </c>
      <c r="BF114" s="162">
        <v>2119</v>
      </c>
      <c r="BG114" s="162">
        <v>58</v>
      </c>
      <c r="BH114" s="162">
        <v>4674</v>
      </c>
      <c r="BI114" s="162">
        <v>1927</v>
      </c>
      <c r="BJ114" s="162">
        <v>826</v>
      </c>
      <c r="BK114" s="97"/>
      <c r="BL114" s="97"/>
      <c r="BM114" s="97"/>
      <c r="BN114" s="97"/>
    </row>
    <row r="115" spans="1:66" ht="12.75">
      <c r="A115" s="79" t="s">
        <v>612</v>
      </c>
      <c r="B115" s="79" t="s">
        <v>295</v>
      </c>
      <c r="C115" s="79" t="s">
        <v>216</v>
      </c>
      <c r="D115" s="99">
        <v>8772</v>
      </c>
      <c r="E115" s="99">
        <v>1438</v>
      </c>
      <c r="F115" s="99" t="s">
        <v>440</v>
      </c>
      <c r="G115" s="99">
        <v>37</v>
      </c>
      <c r="H115" s="99">
        <v>24</v>
      </c>
      <c r="I115" s="99">
        <v>157</v>
      </c>
      <c r="J115" s="99">
        <v>702</v>
      </c>
      <c r="K115" s="99">
        <v>672</v>
      </c>
      <c r="L115" s="99">
        <v>1584</v>
      </c>
      <c r="M115" s="99">
        <v>401</v>
      </c>
      <c r="N115" s="99">
        <v>181</v>
      </c>
      <c r="O115" s="99">
        <v>144</v>
      </c>
      <c r="P115" s="159">
        <v>144</v>
      </c>
      <c r="Q115" s="99">
        <v>11</v>
      </c>
      <c r="R115" s="99">
        <v>30</v>
      </c>
      <c r="S115" s="99">
        <v>17</v>
      </c>
      <c r="T115" s="99">
        <v>30</v>
      </c>
      <c r="U115" s="99">
        <v>12</v>
      </c>
      <c r="V115" s="99">
        <v>20</v>
      </c>
      <c r="W115" s="99">
        <v>59</v>
      </c>
      <c r="X115" s="99">
        <v>29</v>
      </c>
      <c r="Y115" s="99">
        <v>103</v>
      </c>
      <c r="Z115" s="99">
        <v>60</v>
      </c>
      <c r="AA115" s="99" t="s">
        <v>736</v>
      </c>
      <c r="AB115" s="99" t="s">
        <v>736</v>
      </c>
      <c r="AC115" s="99" t="s">
        <v>736</v>
      </c>
      <c r="AD115" s="98" t="s">
        <v>417</v>
      </c>
      <c r="AE115" s="100">
        <v>0.16393068855449155</v>
      </c>
      <c r="AF115" s="100">
        <v>0.08</v>
      </c>
      <c r="AG115" s="98">
        <v>421.79662562699497</v>
      </c>
      <c r="AH115" s="98">
        <v>273.59781121751024</v>
      </c>
      <c r="AI115" s="100">
        <v>0.018000000000000002</v>
      </c>
      <c r="AJ115" s="100">
        <v>0.763043</v>
      </c>
      <c r="AK115" s="100">
        <v>0.745011</v>
      </c>
      <c r="AL115" s="100">
        <v>0.75717</v>
      </c>
      <c r="AM115" s="100">
        <v>0.48024</v>
      </c>
      <c r="AN115" s="100">
        <v>0.551829</v>
      </c>
      <c r="AO115" s="98">
        <v>1641.5868673050616</v>
      </c>
      <c r="AP115" s="158">
        <v>0.8946751404</v>
      </c>
      <c r="AQ115" s="100">
        <v>0.0763888888888889</v>
      </c>
      <c r="AR115" s="100">
        <v>0.36666666666666664</v>
      </c>
      <c r="AS115" s="98">
        <v>193.7984496124031</v>
      </c>
      <c r="AT115" s="98">
        <v>341.9972640218878</v>
      </c>
      <c r="AU115" s="98">
        <v>136.79890560875512</v>
      </c>
      <c r="AV115" s="98">
        <v>227.99817601459188</v>
      </c>
      <c r="AW115" s="98">
        <v>672.594619243046</v>
      </c>
      <c r="AX115" s="98">
        <v>330.59735522115824</v>
      </c>
      <c r="AY115" s="98">
        <v>1174.1906064751481</v>
      </c>
      <c r="AZ115" s="98">
        <v>683.9945280437756</v>
      </c>
      <c r="BA115" s="100" t="s">
        <v>736</v>
      </c>
      <c r="BB115" s="100" t="s">
        <v>736</v>
      </c>
      <c r="BC115" s="100" t="s">
        <v>736</v>
      </c>
      <c r="BD115" s="158">
        <v>0.7545182036999999</v>
      </c>
      <c r="BE115" s="158">
        <v>1.05331543</v>
      </c>
      <c r="BF115" s="162">
        <v>920</v>
      </c>
      <c r="BG115" s="162">
        <v>902</v>
      </c>
      <c r="BH115" s="162">
        <v>2092</v>
      </c>
      <c r="BI115" s="162">
        <v>835</v>
      </c>
      <c r="BJ115" s="162">
        <v>328</v>
      </c>
      <c r="BK115" s="97"/>
      <c r="BL115" s="97"/>
      <c r="BM115" s="97"/>
      <c r="BN115" s="97"/>
    </row>
    <row r="116" spans="1:66" ht="12.75">
      <c r="A116" s="79" t="s">
        <v>669</v>
      </c>
      <c r="B116" s="79" t="s">
        <v>353</v>
      </c>
      <c r="C116" s="79" t="s">
        <v>216</v>
      </c>
      <c r="D116" s="99">
        <v>9105</v>
      </c>
      <c r="E116" s="99">
        <v>2109</v>
      </c>
      <c r="F116" s="99" t="s">
        <v>438</v>
      </c>
      <c r="G116" s="99">
        <v>64</v>
      </c>
      <c r="H116" s="99">
        <v>33</v>
      </c>
      <c r="I116" s="99">
        <v>190</v>
      </c>
      <c r="J116" s="99">
        <v>913</v>
      </c>
      <c r="K116" s="99">
        <v>10</v>
      </c>
      <c r="L116" s="99">
        <v>1626</v>
      </c>
      <c r="M116" s="99">
        <v>669</v>
      </c>
      <c r="N116" s="99">
        <v>301</v>
      </c>
      <c r="O116" s="99">
        <v>249</v>
      </c>
      <c r="P116" s="159">
        <v>249</v>
      </c>
      <c r="Q116" s="99">
        <v>30</v>
      </c>
      <c r="R116" s="99">
        <v>57</v>
      </c>
      <c r="S116" s="99">
        <v>62</v>
      </c>
      <c r="T116" s="99">
        <v>52</v>
      </c>
      <c r="U116" s="99">
        <v>12</v>
      </c>
      <c r="V116" s="99">
        <v>37</v>
      </c>
      <c r="W116" s="99">
        <v>85</v>
      </c>
      <c r="X116" s="99">
        <v>26</v>
      </c>
      <c r="Y116" s="99">
        <v>115</v>
      </c>
      <c r="Z116" s="99">
        <v>112</v>
      </c>
      <c r="AA116" s="99" t="s">
        <v>736</v>
      </c>
      <c r="AB116" s="99" t="s">
        <v>736</v>
      </c>
      <c r="AC116" s="99" t="s">
        <v>736</v>
      </c>
      <c r="AD116" s="98" t="s">
        <v>417</v>
      </c>
      <c r="AE116" s="100">
        <v>0.2316309719934102</v>
      </c>
      <c r="AF116" s="100">
        <v>0.09</v>
      </c>
      <c r="AG116" s="98">
        <v>702.9104887424492</v>
      </c>
      <c r="AH116" s="98">
        <v>362.4382207578254</v>
      </c>
      <c r="AI116" s="100">
        <v>0.021</v>
      </c>
      <c r="AJ116" s="100">
        <v>0.726333</v>
      </c>
      <c r="AK116" s="100">
        <v>0.526316</v>
      </c>
      <c r="AL116" s="100">
        <v>0.776875</v>
      </c>
      <c r="AM116" s="100">
        <v>0.561713</v>
      </c>
      <c r="AN116" s="100">
        <v>0.591356</v>
      </c>
      <c r="AO116" s="98">
        <v>2734.7611202635912</v>
      </c>
      <c r="AP116" s="158">
        <v>1.264095306</v>
      </c>
      <c r="AQ116" s="100">
        <v>0.12048192771084337</v>
      </c>
      <c r="AR116" s="100">
        <v>0.5263157894736842</v>
      </c>
      <c r="AS116" s="98">
        <v>680.9445359692477</v>
      </c>
      <c r="AT116" s="98">
        <v>571.1147721032399</v>
      </c>
      <c r="AU116" s="98">
        <v>131.79571663920922</v>
      </c>
      <c r="AV116" s="98">
        <v>406.37012630422845</v>
      </c>
      <c r="AW116" s="98">
        <v>933.5529928610654</v>
      </c>
      <c r="AX116" s="98">
        <v>285.55738605161997</v>
      </c>
      <c r="AY116" s="98">
        <v>1263.0422844590885</v>
      </c>
      <c r="AZ116" s="98">
        <v>1230.093355299286</v>
      </c>
      <c r="BA116" s="100" t="s">
        <v>736</v>
      </c>
      <c r="BB116" s="100" t="s">
        <v>736</v>
      </c>
      <c r="BC116" s="100" t="s">
        <v>736</v>
      </c>
      <c r="BD116" s="158">
        <v>1.11194725</v>
      </c>
      <c r="BE116" s="158">
        <v>1.431249084</v>
      </c>
      <c r="BF116" s="162">
        <v>1257</v>
      </c>
      <c r="BG116" s="162">
        <v>19</v>
      </c>
      <c r="BH116" s="162">
        <v>2093</v>
      </c>
      <c r="BI116" s="162">
        <v>1191</v>
      </c>
      <c r="BJ116" s="162">
        <v>509</v>
      </c>
      <c r="BK116" s="97"/>
      <c r="BL116" s="97"/>
      <c r="BM116" s="97"/>
      <c r="BN116" s="97"/>
    </row>
    <row r="117" spans="1:66" ht="12.75">
      <c r="A117" s="79" t="s">
        <v>657</v>
      </c>
      <c r="B117" s="79" t="s">
        <v>340</v>
      </c>
      <c r="C117" s="79" t="s">
        <v>216</v>
      </c>
      <c r="D117" s="99">
        <v>8257</v>
      </c>
      <c r="E117" s="99">
        <v>1797</v>
      </c>
      <c r="F117" s="99" t="s">
        <v>440</v>
      </c>
      <c r="G117" s="99">
        <v>48</v>
      </c>
      <c r="H117" s="99">
        <v>26</v>
      </c>
      <c r="I117" s="99">
        <v>182</v>
      </c>
      <c r="J117" s="99">
        <v>887</v>
      </c>
      <c r="K117" s="99">
        <v>8</v>
      </c>
      <c r="L117" s="99">
        <v>1603</v>
      </c>
      <c r="M117" s="99">
        <v>662</v>
      </c>
      <c r="N117" s="99">
        <v>307</v>
      </c>
      <c r="O117" s="99">
        <v>146</v>
      </c>
      <c r="P117" s="159">
        <v>146</v>
      </c>
      <c r="Q117" s="99">
        <v>22</v>
      </c>
      <c r="R117" s="99">
        <v>49</v>
      </c>
      <c r="S117" s="99">
        <v>33</v>
      </c>
      <c r="T117" s="99">
        <v>41</v>
      </c>
      <c r="U117" s="99" t="s">
        <v>736</v>
      </c>
      <c r="V117" s="99">
        <v>22</v>
      </c>
      <c r="W117" s="99">
        <v>72</v>
      </c>
      <c r="X117" s="99">
        <v>22</v>
      </c>
      <c r="Y117" s="99">
        <v>59</v>
      </c>
      <c r="Z117" s="99">
        <v>90</v>
      </c>
      <c r="AA117" s="99" t="s">
        <v>736</v>
      </c>
      <c r="AB117" s="99" t="s">
        <v>736</v>
      </c>
      <c r="AC117" s="99" t="s">
        <v>736</v>
      </c>
      <c r="AD117" s="98" t="s">
        <v>417</v>
      </c>
      <c r="AE117" s="100">
        <v>0.2176335230713334</v>
      </c>
      <c r="AF117" s="100">
        <v>0.05</v>
      </c>
      <c r="AG117" s="98">
        <v>581.324936417585</v>
      </c>
      <c r="AH117" s="98">
        <v>314.88434055952524</v>
      </c>
      <c r="AI117" s="100">
        <v>0.022000000000000002</v>
      </c>
      <c r="AJ117" s="100">
        <v>0.721725</v>
      </c>
      <c r="AK117" s="100">
        <v>0.4</v>
      </c>
      <c r="AL117" s="100">
        <v>0.785015</v>
      </c>
      <c r="AM117" s="100">
        <v>0.569218</v>
      </c>
      <c r="AN117" s="100">
        <v>0.640919</v>
      </c>
      <c r="AO117" s="98">
        <v>1768.196681603488</v>
      </c>
      <c r="AP117" s="158">
        <v>0.8066699982</v>
      </c>
      <c r="AQ117" s="100">
        <v>0.1506849315068493</v>
      </c>
      <c r="AR117" s="100">
        <v>0.4489795918367347</v>
      </c>
      <c r="AS117" s="98">
        <v>399.6608937870897</v>
      </c>
      <c r="AT117" s="98">
        <v>496.5483831900206</v>
      </c>
      <c r="AU117" s="98" t="s">
        <v>736</v>
      </c>
      <c r="AV117" s="98">
        <v>266.44059585805985</v>
      </c>
      <c r="AW117" s="98">
        <v>871.9874046263776</v>
      </c>
      <c r="AX117" s="98">
        <v>266.44059585805985</v>
      </c>
      <c r="AY117" s="98">
        <v>714.545234346615</v>
      </c>
      <c r="AZ117" s="98">
        <v>1089.984255782972</v>
      </c>
      <c r="BA117" s="100" t="s">
        <v>736</v>
      </c>
      <c r="BB117" s="100" t="s">
        <v>736</v>
      </c>
      <c r="BC117" s="100" t="s">
        <v>736</v>
      </c>
      <c r="BD117" s="158">
        <v>0.6811309814000001</v>
      </c>
      <c r="BE117" s="158">
        <v>0.9486429596000001</v>
      </c>
      <c r="BF117" s="162">
        <v>1229</v>
      </c>
      <c r="BG117" s="162">
        <v>20</v>
      </c>
      <c r="BH117" s="162">
        <v>2042</v>
      </c>
      <c r="BI117" s="162">
        <v>1163</v>
      </c>
      <c r="BJ117" s="162">
        <v>479</v>
      </c>
      <c r="BK117" s="97"/>
      <c r="BL117" s="97"/>
      <c r="BM117" s="97"/>
      <c r="BN117" s="97"/>
    </row>
    <row r="118" spans="1:66" ht="12.75">
      <c r="A118" s="79" t="s">
        <v>698</v>
      </c>
      <c r="B118" s="79" t="s">
        <v>385</v>
      </c>
      <c r="C118" s="79" t="s">
        <v>216</v>
      </c>
      <c r="D118" s="99">
        <v>5929</v>
      </c>
      <c r="E118" s="99">
        <v>931</v>
      </c>
      <c r="F118" s="99" t="s">
        <v>440</v>
      </c>
      <c r="G118" s="99">
        <v>20</v>
      </c>
      <c r="H118" s="99">
        <v>11</v>
      </c>
      <c r="I118" s="99">
        <v>106</v>
      </c>
      <c r="J118" s="99">
        <v>501</v>
      </c>
      <c r="K118" s="99">
        <v>18</v>
      </c>
      <c r="L118" s="99">
        <v>1275</v>
      </c>
      <c r="M118" s="99">
        <v>336</v>
      </c>
      <c r="N118" s="99">
        <v>158</v>
      </c>
      <c r="O118" s="99">
        <v>97</v>
      </c>
      <c r="P118" s="159">
        <v>97</v>
      </c>
      <c r="Q118" s="99">
        <v>8</v>
      </c>
      <c r="R118" s="99">
        <v>16</v>
      </c>
      <c r="S118" s="99">
        <v>30</v>
      </c>
      <c r="T118" s="99">
        <v>12</v>
      </c>
      <c r="U118" s="99" t="s">
        <v>736</v>
      </c>
      <c r="V118" s="99">
        <v>19</v>
      </c>
      <c r="W118" s="99">
        <v>33</v>
      </c>
      <c r="X118" s="99">
        <v>14</v>
      </c>
      <c r="Y118" s="99">
        <v>39</v>
      </c>
      <c r="Z118" s="99">
        <v>44</v>
      </c>
      <c r="AA118" s="99" t="s">
        <v>736</v>
      </c>
      <c r="AB118" s="99" t="s">
        <v>736</v>
      </c>
      <c r="AC118" s="99" t="s">
        <v>736</v>
      </c>
      <c r="AD118" s="98" t="s">
        <v>417</v>
      </c>
      <c r="AE118" s="100">
        <v>0.15702479338842976</v>
      </c>
      <c r="AF118" s="100">
        <v>0.07</v>
      </c>
      <c r="AG118" s="98">
        <v>337.32501264968795</v>
      </c>
      <c r="AH118" s="98">
        <v>185.5287569573284</v>
      </c>
      <c r="AI118" s="100">
        <v>0.018000000000000002</v>
      </c>
      <c r="AJ118" s="100">
        <v>0.670683</v>
      </c>
      <c r="AK118" s="100">
        <v>0.6</v>
      </c>
      <c r="AL118" s="100">
        <v>0.811069</v>
      </c>
      <c r="AM118" s="100">
        <v>0.601073</v>
      </c>
      <c r="AN118" s="100">
        <v>0.647541</v>
      </c>
      <c r="AO118" s="98">
        <v>1636.0263113509866</v>
      </c>
      <c r="AP118" s="158">
        <v>0.8634146118</v>
      </c>
      <c r="AQ118" s="100">
        <v>0.08247422680412371</v>
      </c>
      <c r="AR118" s="100">
        <v>0.5</v>
      </c>
      <c r="AS118" s="98">
        <v>505.98751897453195</v>
      </c>
      <c r="AT118" s="98">
        <v>202.3950075898128</v>
      </c>
      <c r="AU118" s="98" t="s">
        <v>736</v>
      </c>
      <c r="AV118" s="98">
        <v>320.4587620172036</v>
      </c>
      <c r="AW118" s="98">
        <v>556.5862708719851</v>
      </c>
      <c r="AX118" s="98">
        <v>236.12750885478158</v>
      </c>
      <c r="AY118" s="98">
        <v>657.7837746668915</v>
      </c>
      <c r="AZ118" s="98">
        <v>742.1150278293136</v>
      </c>
      <c r="BA118" s="100" t="s">
        <v>736</v>
      </c>
      <c r="BB118" s="100" t="s">
        <v>736</v>
      </c>
      <c r="BC118" s="100" t="s">
        <v>736</v>
      </c>
      <c r="BD118" s="158">
        <v>0.7001711273</v>
      </c>
      <c r="BE118" s="158">
        <v>1.053292618</v>
      </c>
      <c r="BF118" s="162">
        <v>747</v>
      </c>
      <c r="BG118" s="162">
        <v>30</v>
      </c>
      <c r="BH118" s="162">
        <v>1572</v>
      </c>
      <c r="BI118" s="162">
        <v>559</v>
      </c>
      <c r="BJ118" s="162">
        <v>244</v>
      </c>
      <c r="BK118" s="97"/>
      <c r="BL118" s="97"/>
      <c r="BM118" s="97"/>
      <c r="BN118" s="97"/>
    </row>
    <row r="119" spans="1:66" ht="12.75">
      <c r="A119" s="79" t="s">
        <v>620</v>
      </c>
      <c r="B119" s="79" t="s">
        <v>303</v>
      </c>
      <c r="C119" s="79" t="s">
        <v>216</v>
      </c>
      <c r="D119" s="99">
        <v>10650</v>
      </c>
      <c r="E119" s="99">
        <v>1929</v>
      </c>
      <c r="F119" s="99" t="s">
        <v>440</v>
      </c>
      <c r="G119" s="99">
        <v>48</v>
      </c>
      <c r="H119" s="99">
        <v>23</v>
      </c>
      <c r="I119" s="99">
        <v>202</v>
      </c>
      <c r="J119" s="99">
        <v>892</v>
      </c>
      <c r="K119" s="99">
        <v>864</v>
      </c>
      <c r="L119" s="99">
        <v>1790</v>
      </c>
      <c r="M119" s="99">
        <v>763</v>
      </c>
      <c r="N119" s="99">
        <v>328</v>
      </c>
      <c r="O119" s="99">
        <v>67</v>
      </c>
      <c r="P119" s="159">
        <v>67</v>
      </c>
      <c r="Q119" s="99">
        <v>17</v>
      </c>
      <c r="R119" s="99">
        <v>45</v>
      </c>
      <c r="S119" s="99">
        <v>14</v>
      </c>
      <c r="T119" s="99">
        <v>11</v>
      </c>
      <c r="U119" s="99" t="s">
        <v>736</v>
      </c>
      <c r="V119" s="99">
        <v>9</v>
      </c>
      <c r="W119" s="99">
        <v>51</v>
      </c>
      <c r="X119" s="99">
        <v>33</v>
      </c>
      <c r="Y119" s="99">
        <v>100</v>
      </c>
      <c r="Z119" s="99">
        <v>46</v>
      </c>
      <c r="AA119" s="99" t="s">
        <v>736</v>
      </c>
      <c r="AB119" s="99" t="s">
        <v>736</v>
      </c>
      <c r="AC119" s="99" t="s">
        <v>736</v>
      </c>
      <c r="AD119" s="98" t="s">
        <v>417</v>
      </c>
      <c r="AE119" s="100">
        <v>0.18112676056338028</v>
      </c>
      <c r="AF119" s="100">
        <v>0.07</v>
      </c>
      <c r="AG119" s="98">
        <v>450.7042253521127</v>
      </c>
      <c r="AH119" s="98">
        <v>215.96244131455398</v>
      </c>
      <c r="AI119" s="100">
        <v>0.019</v>
      </c>
      <c r="AJ119" s="100">
        <v>0.783831</v>
      </c>
      <c r="AK119" s="100">
        <v>0.777678</v>
      </c>
      <c r="AL119" s="100">
        <v>0.800537</v>
      </c>
      <c r="AM119" s="100">
        <v>0.629019</v>
      </c>
      <c r="AN119" s="100">
        <v>0.640625</v>
      </c>
      <c r="AO119" s="98">
        <v>629.1079812206573</v>
      </c>
      <c r="AP119" s="158">
        <v>0.3412929535</v>
      </c>
      <c r="AQ119" s="100">
        <v>0.2537313432835821</v>
      </c>
      <c r="AR119" s="100">
        <v>0.37777777777777777</v>
      </c>
      <c r="AS119" s="98">
        <v>131.45539906103286</v>
      </c>
      <c r="AT119" s="98">
        <v>103.28638497652582</v>
      </c>
      <c r="AU119" s="98" t="s">
        <v>736</v>
      </c>
      <c r="AV119" s="98">
        <v>84.50704225352112</v>
      </c>
      <c r="AW119" s="98">
        <v>478.8732394366197</v>
      </c>
      <c r="AX119" s="98">
        <v>309.85915492957747</v>
      </c>
      <c r="AY119" s="98">
        <v>938.9671361502348</v>
      </c>
      <c r="AZ119" s="98">
        <v>431.92488262910797</v>
      </c>
      <c r="BA119" s="100" t="s">
        <v>736</v>
      </c>
      <c r="BB119" s="100" t="s">
        <v>736</v>
      </c>
      <c r="BC119" s="100" t="s">
        <v>736</v>
      </c>
      <c r="BD119" s="158">
        <v>0.26449733729999997</v>
      </c>
      <c r="BE119" s="158">
        <v>0.4334299469</v>
      </c>
      <c r="BF119" s="162">
        <v>1138</v>
      </c>
      <c r="BG119" s="162">
        <v>1111</v>
      </c>
      <c r="BH119" s="162">
        <v>2236</v>
      </c>
      <c r="BI119" s="162">
        <v>1213</v>
      </c>
      <c r="BJ119" s="162">
        <v>512</v>
      </c>
      <c r="BK119" s="97"/>
      <c r="BL119" s="97"/>
      <c r="BM119" s="97"/>
      <c r="BN119" s="97"/>
    </row>
    <row r="120" spans="1:66" ht="12.75">
      <c r="A120" s="79" t="s">
        <v>704</v>
      </c>
      <c r="B120" s="79" t="s">
        <v>391</v>
      </c>
      <c r="C120" s="79" t="s">
        <v>216</v>
      </c>
      <c r="D120" s="99">
        <v>28089</v>
      </c>
      <c r="E120" s="99">
        <v>4441</v>
      </c>
      <c r="F120" s="99" t="s">
        <v>440</v>
      </c>
      <c r="G120" s="99">
        <v>147</v>
      </c>
      <c r="H120" s="99">
        <v>55</v>
      </c>
      <c r="I120" s="99">
        <v>448</v>
      </c>
      <c r="J120" s="99">
        <v>2759</v>
      </c>
      <c r="K120" s="99">
        <v>1803</v>
      </c>
      <c r="L120" s="99">
        <v>6215</v>
      </c>
      <c r="M120" s="99">
        <v>1893</v>
      </c>
      <c r="N120" s="99">
        <v>885</v>
      </c>
      <c r="O120" s="99">
        <v>431</v>
      </c>
      <c r="P120" s="159">
        <v>431</v>
      </c>
      <c r="Q120" s="99">
        <v>58</v>
      </c>
      <c r="R120" s="99">
        <v>125</v>
      </c>
      <c r="S120" s="99">
        <v>96</v>
      </c>
      <c r="T120" s="99">
        <v>56</v>
      </c>
      <c r="U120" s="99">
        <v>26</v>
      </c>
      <c r="V120" s="99">
        <v>85</v>
      </c>
      <c r="W120" s="99">
        <v>140</v>
      </c>
      <c r="X120" s="99">
        <v>36</v>
      </c>
      <c r="Y120" s="99">
        <v>163</v>
      </c>
      <c r="Z120" s="99">
        <v>184</v>
      </c>
      <c r="AA120" s="99" t="s">
        <v>736</v>
      </c>
      <c r="AB120" s="99" t="s">
        <v>736</v>
      </c>
      <c r="AC120" s="99" t="s">
        <v>736</v>
      </c>
      <c r="AD120" s="98" t="s">
        <v>417</v>
      </c>
      <c r="AE120" s="100">
        <v>0.15810459610523692</v>
      </c>
      <c r="AF120" s="100">
        <v>0.06</v>
      </c>
      <c r="AG120" s="98">
        <v>523.336537434583</v>
      </c>
      <c r="AH120" s="98">
        <v>195.80618747552424</v>
      </c>
      <c r="AI120" s="100">
        <v>0.016</v>
      </c>
      <c r="AJ120" s="100">
        <v>0.771748</v>
      </c>
      <c r="AK120" s="100">
        <v>0.746275</v>
      </c>
      <c r="AL120" s="100">
        <v>0.775034</v>
      </c>
      <c r="AM120" s="100">
        <v>0.545533</v>
      </c>
      <c r="AN120" s="100">
        <v>0.598377</v>
      </c>
      <c r="AO120" s="98">
        <v>1534.408487308199</v>
      </c>
      <c r="AP120" s="158">
        <v>0.8226636505</v>
      </c>
      <c r="AQ120" s="100">
        <v>0.1345707656612529</v>
      </c>
      <c r="AR120" s="100">
        <v>0.464</v>
      </c>
      <c r="AS120" s="98">
        <v>341.77079995727865</v>
      </c>
      <c r="AT120" s="98">
        <v>199.36629997507922</v>
      </c>
      <c r="AU120" s="98">
        <v>92.56292498842963</v>
      </c>
      <c r="AV120" s="98">
        <v>302.6095624621738</v>
      </c>
      <c r="AW120" s="98">
        <v>498.415749937698</v>
      </c>
      <c r="AX120" s="98">
        <v>128.16404998397948</v>
      </c>
      <c r="AY120" s="98">
        <v>580.2983374274627</v>
      </c>
      <c r="AZ120" s="98">
        <v>655.0606999181174</v>
      </c>
      <c r="BA120" s="100" t="s">
        <v>736</v>
      </c>
      <c r="BB120" s="100" t="s">
        <v>736</v>
      </c>
      <c r="BC120" s="100" t="s">
        <v>736</v>
      </c>
      <c r="BD120" s="158">
        <v>0.7468192291</v>
      </c>
      <c r="BE120" s="158">
        <v>0.9041215515000001</v>
      </c>
      <c r="BF120" s="162">
        <v>3575</v>
      </c>
      <c r="BG120" s="162">
        <v>2416</v>
      </c>
      <c r="BH120" s="162">
        <v>8019</v>
      </c>
      <c r="BI120" s="162">
        <v>3470</v>
      </c>
      <c r="BJ120" s="162">
        <v>1479</v>
      </c>
      <c r="BK120" s="97"/>
      <c r="BL120" s="97"/>
      <c r="BM120" s="97"/>
      <c r="BN120" s="97"/>
    </row>
    <row r="121" spans="1:66" ht="12.75">
      <c r="A121" s="79" t="s">
        <v>614</v>
      </c>
      <c r="B121" s="79" t="s">
        <v>297</v>
      </c>
      <c r="C121" s="79" t="s">
        <v>216</v>
      </c>
      <c r="D121" s="99">
        <v>15175</v>
      </c>
      <c r="E121" s="99">
        <v>2684</v>
      </c>
      <c r="F121" s="99" t="s">
        <v>440</v>
      </c>
      <c r="G121" s="99">
        <v>70</v>
      </c>
      <c r="H121" s="99">
        <v>27</v>
      </c>
      <c r="I121" s="99">
        <v>293</v>
      </c>
      <c r="J121" s="99">
        <v>1311</v>
      </c>
      <c r="K121" s="99">
        <v>15</v>
      </c>
      <c r="L121" s="99">
        <v>2917</v>
      </c>
      <c r="M121" s="99">
        <v>966</v>
      </c>
      <c r="N121" s="99">
        <v>435</v>
      </c>
      <c r="O121" s="99">
        <v>163</v>
      </c>
      <c r="P121" s="159">
        <v>163</v>
      </c>
      <c r="Q121" s="99">
        <v>23</v>
      </c>
      <c r="R121" s="99">
        <v>47</v>
      </c>
      <c r="S121" s="99">
        <v>38</v>
      </c>
      <c r="T121" s="99">
        <v>24</v>
      </c>
      <c r="U121" s="99" t="s">
        <v>736</v>
      </c>
      <c r="V121" s="99">
        <v>33</v>
      </c>
      <c r="W121" s="99">
        <v>115</v>
      </c>
      <c r="X121" s="99">
        <v>43</v>
      </c>
      <c r="Y121" s="99">
        <v>165</v>
      </c>
      <c r="Z121" s="99">
        <v>56</v>
      </c>
      <c r="AA121" s="99" t="s">
        <v>736</v>
      </c>
      <c r="AB121" s="99" t="s">
        <v>736</v>
      </c>
      <c r="AC121" s="99" t="s">
        <v>736</v>
      </c>
      <c r="AD121" s="98" t="s">
        <v>417</v>
      </c>
      <c r="AE121" s="100">
        <v>0.17686985172981878</v>
      </c>
      <c r="AF121" s="100">
        <v>0.07</v>
      </c>
      <c r="AG121" s="98">
        <v>461.28500823723226</v>
      </c>
      <c r="AH121" s="98">
        <v>177.92421746293246</v>
      </c>
      <c r="AI121" s="100">
        <v>0.019</v>
      </c>
      <c r="AJ121" s="100">
        <v>0.741935</v>
      </c>
      <c r="AK121" s="100">
        <v>0.6</v>
      </c>
      <c r="AL121" s="100">
        <v>0.77047</v>
      </c>
      <c r="AM121" s="100">
        <v>0.591912</v>
      </c>
      <c r="AN121" s="100">
        <v>0.647321</v>
      </c>
      <c r="AO121" s="98">
        <v>1074.1350906095552</v>
      </c>
      <c r="AP121" s="158">
        <v>0.5705995940999999</v>
      </c>
      <c r="AQ121" s="100">
        <v>0.1411042944785276</v>
      </c>
      <c r="AR121" s="100">
        <v>0.48936170212765956</v>
      </c>
      <c r="AS121" s="98">
        <v>250.41186161449752</v>
      </c>
      <c r="AT121" s="98">
        <v>158.15485996705107</v>
      </c>
      <c r="AU121" s="98" t="s">
        <v>736</v>
      </c>
      <c r="AV121" s="98">
        <v>217.46293245469522</v>
      </c>
      <c r="AW121" s="98">
        <v>757.8253706754531</v>
      </c>
      <c r="AX121" s="98">
        <v>283.36079077429986</v>
      </c>
      <c r="AY121" s="98">
        <v>1087.3146622734762</v>
      </c>
      <c r="AZ121" s="98">
        <v>369.02800658978583</v>
      </c>
      <c r="BA121" s="100" t="s">
        <v>736</v>
      </c>
      <c r="BB121" s="100" t="s">
        <v>736</v>
      </c>
      <c r="BC121" s="100" t="s">
        <v>736</v>
      </c>
      <c r="BD121" s="158">
        <v>0.48636451719999996</v>
      </c>
      <c r="BE121" s="158">
        <v>0.6652320099000001</v>
      </c>
      <c r="BF121" s="162">
        <v>1767</v>
      </c>
      <c r="BG121" s="162">
        <v>25</v>
      </c>
      <c r="BH121" s="162">
        <v>3786</v>
      </c>
      <c r="BI121" s="162">
        <v>1632</v>
      </c>
      <c r="BJ121" s="162">
        <v>672</v>
      </c>
      <c r="BK121" s="97"/>
      <c r="BL121" s="97"/>
      <c r="BM121" s="97"/>
      <c r="BN121" s="97"/>
    </row>
    <row r="122" spans="1:66" ht="12.75">
      <c r="A122" s="79" t="s">
        <v>715</v>
      </c>
      <c r="B122" s="79" t="s">
        <v>402</v>
      </c>
      <c r="C122" s="79" t="s">
        <v>216</v>
      </c>
      <c r="D122" s="99">
        <v>3536</v>
      </c>
      <c r="E122" s="99">
        <v>178</v>
      </c>
      <c r="F122" s="99" t="s">
        <v>439</v>
      </c>
      <c r="G122" s="99" t="s">
        <v>736</v>
      </c>
      <c r="H122" s="99" t="s">
        <v>736</v>
      </c>
      <c r="I122" s="99">
        <v>12</v>
      </c>
      <c r="J122" s="99">
        <v>82</v>
      </c>
      <c r="K122" s="99">
        <v>80</v>
      </c>
      <c r="L122" s="99">
        <v>499</v>
      </c>
      <c r="M122" s="99">
        <v>37</v>
      </c>
      <c r="N122" s="99">
        <v>19</v>
      </c>
      <c r="O122" s="99" t="s">
        <v>736</v>
      </c>
      <c r="P122" s="159" t="s">
        <v>736</v>
      </c>
      <c r="Q122" s="99" t="s">
        <v>736</v>
      </c>
      <c r="R122" s="99" t="s">
        <v>736</v>
      </c>
      <c r="S122" s="99" t="s">
        <v>736</v>
      </c>
      <c r="T122" s="99" t="s">
        <v>736</v>
      </c>
      <c r="U122" s="99" t="s">
        <v>736</v>
      </c>
      <c r="V122" s="99" t="s">
        <v>736</v>
      </c>
      <c r="W122" s="99" t="s">
        <v>736</v>
      </c>
      <c r="X122" s="99">
        <v>6</v>
      </c>
      <c r="Y122" s="99">
        <v>33</v>
      </c>
      <c r="Z122" s="99">
        <v>10</v>
      </c>
      <c r="AA122" s="99" t="s">
        <v>736</v>
      </c>
      <c r="AB122" s="99" t="s">
        <v>736</v>
      </c>
      <c r="AC122" s="99" t="s">
        <v>736</v>
      </c>
      <c r="AD122" s="98" t="s">
        <v>417</v>
      </c>
      <c r="AE122" s="100">
        <v>0.050339366515837106</v>
      </c>
      <c r="AF122" s="100">
        <v>0.16</v>
      </c>
      <c r="AG122" s="98" t="s">
        <v>736</v>
      </c>
      <c r="AH122" s="98" t="s">
        <v>736</v>
      </c>
      <c r="AI122" s="100">
        <v>0.003</v>
      </c>
      <c r="AJ122" s="100">
        <v>0.418367</v>
      </c>
      <c r="AK122" s="100">
        <v>0.410256</v>
      </c>
      <c r="AL122" s="100">
        <v>0.638924</v>
      </c>
      <c r="AM122" s="100">
        <v>0.303279</v>
      </c>
      <c r="AN122" s="100">
        <v>0.387755</v>
      </c>
      <c r="AO122" s="98" t="s">
        <v>736</v>
      </c>
      <c r="AP122" s="158" t="s">
        <v>736</v>
      </c>
      <c r="AQ122" s="100" t="s">
        <v>736</v>
      </c>
      <c r="AR122" s="100" t="s">
        <v>736</v>
      </c>
      <c r="AS122" s="98" t="s">
        <v>736</v>
      </c>
      <c r="AT122" s="98" t="s">
        <v>736</v>
      </c>
      <c r="AU122" s="98" t="s">
        <v>736</v>
      </c>
      <c r="AV122" s="98" t="s">
        <v>736</v>
      </c>
      <c r="AW122" s="98" t="s">
        <v>736</v>
      </c>
      <c r="AX122" s="98">
        <v>169.68325791855204</v>
      </c>
      <c r="AY122" s="98">
        <v>933.2579185520362</v>
      </c>
      <c r="AZ122" s="98">
        <v>282.80542986425337</v>
      </c>
      <c r="BA122" s="100" t="s">
        <v>736</v>
      </c>
      <c r="BB122" s="100" t="s">
        <v>736</v>
      </c>
      <c r="BC122" s="100" t="s">
        <v>736</v>
      </c>
      <c r="BD122" s="158" t="s">
        <v>736</v>
      </c>
      <c r="BE122" s="158" t="s">
        <v>736</v>
      </c>
      <c r="BF122" s="162">
        <v>196</v>
      </c>
      <c r="BG122" s="162">
        <v>195</v>
      </c>
      <c r="BH122" s="162">
        <v>781</v>
      </c>
      <c r="BI122" s="162">
        <v>122</v>
      </c>
      <c r="BJ122" s="162">
        <v>49</v>
      </c>
      <c r="BK122" s="97"/>
      <c r="BL122" s="97"/>
      <c r="BM122" s="97"/>
      <c r="BN122" s="97"/>
    </row>
    <row r="123" spans="1:66" ht="12.75">
      <c r="A123" s="79" t="s">
        <v>674</v>
      </c>
      <c r="B123" s="79" t="s">
        <v>358</v>
      </c>
      <c r="C123" s="79" t="s">
        <v>216</v>
      </c>
      <c r="D123" s="99">
        <v>4916</v>
      </c>
      <c r="E123" s="99">
        <v>811</v>
      </c>
      <c r="F123" s="99" t="s">
        <v>440</v>
      </c>
      <c r="G123" s="99">
        <v>28</v>
      </c>
      <c r="H123" s="99">
        <v>10</v>
      </c>
      <c r="I123" s="99">
        <v>109</v>
      </c>
      <c r="J123" s="99">
        <v>446</v>
      </c>
      <c r="K123" s="99">
        <v>437</v>
      </c>
      <c r="L123" s="99">
        <v>1008</v>
      </c>
      <c r="M123" s="99">
        <v>258</v>
      </c>
      <c r="N123" s="99">
        <v>128</v>
      </c>
      <c r="O123" s="99">
        <v>97</v>
      </c>
      <c r="P123" s="159">
        <v>97</v>
      </c>
      <c r="Q123" s="99">
        <v>9</v>
      </c>
      <c r="R123" s="99">
        <v>24</v>
      </c>
      <c r="S123" s="99">
        <v>16</v>
      </c>
      <c r="T123" s="99">
        <v>20</v>
      </c>
      <c r="U123" s="99" t="s">
        <v>736</v>
      </c>
      <c r="V123" s="99">
        <v>13</v>
      </c>
      <c r="W123" s="99">
        <v>25</v>
      </c>
      <c r="X123" s="99">
        <v>13</v>
      </c>
      <c r="Y123" s="99">
        <v>55</v>
      </c>
      <c r="Z123" s="99">
        <v>33</v>
      </c>
      <c r="AA123" s="99" t="s">
        <v>736</v>
      </c>
      <c r="AB123" s="99" t="s">
        <v>736</v>
      </c>
      <c r="AC123" s="99" t="s">
        <v>736</v>
      </c>
      <c r="AD123" s="98" t="s">
        <v>417</v>
      </c>
      <c r="AE123" s="100">
        <v>0.16497152156224573</v>
      </c>
      <c r="AF123" s="100">
        <v>0.05</v>
      </c>
      <c r="AG123" s="98">
        <v>569.5687550854353</v>
      </c>
      <c r="AH123" s="98">
        <v>203.41741253051262</v>
      </c>
      <c r="AI123" s="100">
        <v>0.022000000000000002</v>
      </c>
      <c r="AJ123" s="100">
        <v>0.694704</v>
      </c>
      <c r="AK123" s="100">
        <v>0.704839</v>
      </c>
      <c r="AL123" s="100">
        <v>0.751118</v>
      </c>
      <c r="AM123" s="100">
        <v>0.483146</v>
      </c>
      <c r="AN123" s="100">
        <v>0.556522</v>
      </c>
      <c r="AO123" s="98">
        <v>1973.1489015459724</v>
      </c>
      <c r="AP123" s="158">
        <v>1.011506653</v>
      </c>
      <c r="AQ123" s="100">
        <v>0.09278350515463918</v>
      </c>
      <c r="AR123" s="100">
        <v>0.375</v>
      </c>
      <c r="AS123" s="98">
        <v>325.46786004882017</v>
      </c>
      <c r="AT123" s="98">
        <v>406.83482506102524</v>
      </c>
      <c r="AU123" s="98" t="s">
        <v>736</v>
      </c>
      <c r="AV123" s="98">
        <v>264.4426362896664</v>
      </c>
      <c r="AW123" s="98">
        <v>508.54353132628154</v>
      </c>
      <c r="AX123" s="98">
        <v>264.4426362896664</v>
      </c>
      <c r="AY123" s="98">
        <v>1118.7957689178193</v>
      </c>
      <c r="AZ123" s="98">
        <v>671.2774613506916</v>
      </c>
      <c r="BA123" s="100" t="s">
        <v>736</v>
      </c>
      <c r="BB123" s="100" t="s">
        <v>736</v>
      </c>
      <c r="BC123" s="100" t="s">
        <v>736</v>
      </c>
      <c r="BD123" s="158">
        <v>0.8202637482</v>
      </c>
      <c r="BE123" s="158">
        <v>1.233952332</v>
      </c>
      <c r="BF123" s="162">
        <v>642</v>
      </c>
      <c r="BG123" s="162">
        <v>620</v>
      </c>
      <c r="BH123" s="162">
        <v>1342</v>
      </c>
      <c r="BI123" s="162">
        <v>534</v>
      </c>
      <c r="BJ123" s="162">
        <v>230</v>
      </c>
      <c r="BK123" s="97"/>
      <c r="BL123" s="97"/>
      <c r="BM123" s="97"/>
      <c r="BN123" s="97"/>
    </row>
    <row r="124" spans="1:66" ht="12.75">
      <c r="A124" s="79" t="s">
        <v>650</v>
      </c>
      <c r="B124" s="79" t="s">
        <v>333</v>
      </c>
      <c r="C124" s="79" t="s">
        <v>216</v>
      </c>
      <c r="D124" s="99">
        <v>13258</v>
      </c>
      <c r="E124" s="99">
        <v>2348</v>
      </c>
      <c r="F124" s="99" t="s">
        <v>440</v>
      </c>
      <c r="G124" s="99">
        <v>58</v>
      </c>
      <c r="H124" s="99">
        <v>32</v>
      </c>
      <c r="I124" s="99">
        <v>160</v>
      </c>
      <c r="J124" s="99">
        <v>1278</v>
      </c>
      <c r="K124" s="99">
        <v>1235</v>
      </c>
      <c r="L124" s="99">
        <v>2487</v>
      </c>
      <c r="M124" s="99">
        <v>811</v>
      </c>
      <c r="N124" s="99">
        <v>384</v>
      </c>
      <c r="O124" s="99">
        <v>217</v>
      </c>
      <c r="P124" s="159">
        <v>217</v>
      </c>
      <c r="Q124" s="99">
        <v>20</v>
      </c>
      <c r="R124" s="99">
        <v>65</v>
      </c>
      <c r="S124" s="99">
        <v>52</v>
      </c>
      <c r="T124" s="99">
        <v>34</v>
      </c>
      <c r="U124" s="99">
        <v>10</v>
      </c>
      <c r="V124" s="99">
        <v>36</v>
      </c>
      <c r="W124" s="99">
        <v>80</v>
      </c>
      <c r="X124" s="99">
        <v>62</v>
      </c>
      <c r="Y124" s="99">
        <v>119</v>
      </c>
      <c r="Z124" s="99">
        <v>84</v>
      </c>
      <c r="AA124" s="99" t="s">
        <v>736</v>
      </c>
      <c r="AB124" s="99" t="s">
        <v>736</v>
      </c>
      <c r="AC124" s="99" t="s">
        <v>736</v>
      </c>
      <c r="AD124" s="98" t="s">
        <v>417</v>
      </c>
      <c r="AE124" s="100">
        <v>0.17710061849449388</v>
      </c>
      <c r="AF124" s="100">
        <v>0.08</v>
      </c>
      <c r="AG124" s="98">
        <v>437.4717151908282</v>
      </c>
      <c r="AH124" s="98">
        <v>241.36370493287072</v>
      </c>
      <c r="AI124" s="100">
        <v>0.012</v>
      </c>
      <c r="AJ124" s="100">
        <v>0.75981</v>
      </c>
      <c r="AK124" s="100">
        <v>0.751217</v>
      </c>
      <c r="AL124" s="100">
        <v>0.763352</v>
      </c>
      <c r="AM124" s="100">
        <v>0.542112</v>
      </c>
      <c r="AN124" s="100">
        <v>0.608558</v>
      </c>
      <c r="AO124" s="98">
        <v>1636.7476240760295</v>
      </c>
      <c r="AP124" s="158">
        <v>0.8549427795</v>
      </c>
      <c r="AQ124" s="100">
        <v>0.09216589861751152</v>
      </c>
      <c r="AR124" s="100">
        <v>0.3076923076923077</v>
      </c>
      <c r="AS124" s="98">
        <v>392.2160205159149</v>
      </c>
      <c r="AT124" s="98">
        <v>256.4489364911751</v>
      </c>
      <c r="AU124" s="98">
        <v>75.4261577915221</v>
      </c>
      <c r="AV124" s="98">
        <v>271.53416804947955</v>
      </c>
      <c r="AW124" s="98">
        <v>603.4092623321768</v>
      </c>
      <c r="AX124" s="98">
        <v>467.642178307437</v>
      </c>
      <c r="AY124" s="98">
        <v>897.571277719113</v>
      </c>
      <c r="AZ124" s="98">
        <v>633.5797254487857</v>
      </c>
      <c r="BA124" s="100" t="s">
        <v>736</v>
      </c>
      <c r="BB124" s="100" t="s">
        <v>736</v>
      </c>
      <c r="BC124" s="100" t="s">
        <v>736</v>
      </c>
      <c r="BD124" s="158">
        <v>0.7449681090999999</v>
      </c>
      <c r="BE124" s="158">
        <v>0.9765799713</v>
      </c>
      <c r="BF124" s="162">
        <v>1682</v>
      </c>
      <c r="BG124" s="162">
        <v>1644</v>
      </c>
      <c r="BH124" s="162">
        <v>3258</v>
      </c>
      <c r="BI124" s="162">
        <v>1496</v>
      </c>
      <c r="BJ124" s="162">
        <v>631</v>
      </c>
      <c r="BK124" s="97"/>
      <c r="BL124" s="97"/>
      <c r="BM124" s="97"/>
      <c r="BN124" s="97"/>
    </row>
    <row r="125" spans="1:66" ht="12.75">
      <c r="A125" s="79" t="s">
        <v>664</v>
      </c>
      <c r="B125" s="79" t="s">
        <v>347</v>
      </c>
      <c r="C125" s="79" t="s">
        <v>216</v>
      </c>
      <c r="D125" s="99">
        <v>11394</v>
      </c>
      <c r="E125" s="99">
        <v>1750</v>
      </c>
      <c r="F125" s="99" t="s">
        <v>440</v>
      </c>
      <c r="G125" s="99">
        <v>36</v>
      </c>
      <c r="H125" s="99">
        <v>26</v>
      </c>
      <c r="I125" s="99">
        <v>163</v>
      </c>
      <c r="J125" s="99">
        <v>866</v>
      </c>
      <c r="K125" s="99">
        <v>11</v>
      </c>
      <c r="L125" s="99">
        <v>2157</v>
      </c>
      <c r="M125" s="99">
        <v>597</v>
      </c>
      <c r="N125" s="99">
        <v>220</v>
      </c>
      <c r="O125" s="99">
        <v>167</v>
      </c>
      <c r="P125" s="159">
        <v>167</v>
      </c>
      <c r="Q125" s="99">
        <v>13</v>
      </c>
      <c r="R125" s="99">
        <v>34</v>
      </c>
      <c r="S125" s="99">
        <v>34</v>
      </c>
      <c r="T125" s="99">
        <v>26</v>
      </c>
      <c r="U125" s="99" t="s">
        <v>736</v>
      </c>
      <c r="V125" s="99">
        <v>37</v>
      </c>
      <c r="W125" s="99">
        <v>84</v>
      </c>
      <c r="X125" s="99">
        <v>58</v>
      </c>
      <c r="Y125" s="99">
        <v>157</v>
      </c>
      <c r="Z125" s="99">
        <v>60</v>
      </c>
      <c r="AA125" s="99" t="s">
        <v>736</v>
      </c>
      <c r="AB125" s="99" t="s">
        <v>736</v>
      </c>
      <c r="AC125" s="99" t="s">
        <v>736</v>
      </c>
      <c r="AD125" s="98" t="s">
        <v>417</v>
      </c>
      <c r="AE125" s="100">
        <v>0.1535896085659119</v>
      </c>
      <c r="AF125" s="100">
        <v>0.07</v>
      </c>
      <c r="AG125" s="98">
        <v>315.955766192733</v>
      </c>
      <c r="AH125" s="98">
        <v>228.1902755836405</v>
      </c>
      <c r="AI125" s="100">
        <v>0.013999999999999999</v>
      </c>
      <c r="AJ125" s="100">
        <v>0.666667</v>
      </c>
      <c r="AK125" s="100">
        <v>0.5</v>
      </c>
      <c r="AL125" s="100">
        <v>0.734673</v>
      </c>
      <c r="AM125" s="100">
        <v>0.569656</v>
      </c>
      <c r="AN125" s="100">
        <v>0.555556</v>
      </c>
      <c r="AO125" s="98">
        <v>1465.6836931718449</v>
      </c>
      <c r="AP125" s="158">
        <v>0.8144970703</v>
      </c>
      <c r="AQ125" s="100">
        <v>0.07784431137724551</v>
      </c>
      <c r="AR125" s="100">
        <v>0.38235294117647056</v>
      </c>
      <c r="AS125" s="98">
        <v>298.4026680709145</v>
      </c>
      <c r="AT125" s="98">
        <v>228.1902755836405</v>
      </c>
      <c r="AU125" s="98" t="s">
        <v>736</v>
      </c>
      <c r="AV125" s="98">
        <v>324.73231525364224</v>
      </c>
      <c r="AW125" s="98">
        <v>737.2301211163771</v>
      </c>
      <c r="AX125" s="98">
        <v>509.03984553273654</v>
      </c>
      <c r="AY125" s="98">
        <v>1377.9182025627524</v>
      </c>
      <c r="AZ125" s="98">
        <v>526.592943654555</v>
      </c>
      <c r="BA125" s="100" t="s">
        <v>736</v>
      </c>
      <c r="BB125" s="100" t="s">
        <v>736</v>
      </c>
      <c r="BC125" s="100" t="s">
        <v>736</v>
      </c>
      <c r="BD125" s="158">
        <v>0.6956473541</v>
      </c>
      <c r="BE125" s="158">
        <v>0.9478284454</v>
      </c>
      <c r="BF125" s="162">
        <v>1299</v>
      </c>
      <c r="BG125" s="162">
        <v>22</v>
      </c>
      <c r="BH125" s="162">
        <v>2936</v>
      </c>
      <c r="BI125" s="162">
        <v>1048</v>
      </c>
      <c r="BJ125" s="162">
        <v>396</v>
      </c>
      <c r="BK125" s="97"/>
      <c r="BL125" s="97"/>
      <c r="BM125" s="97"/>
      <c r="BN125" s="97"/>
    </row>
    <row r="126" spans="1:66" ht="12.75">
      <c r="A126" s="79" t="s">
        <v>716</v>
      </c>
      <c r="B126" s="79" t="s">
        <v>403</v>
      </c>
      <c r="C126" s="79" t="s">
        <v>216</v>
      </c>
      <c r="D126" s="99">
        <v>2989</v>
      </c>
      <c r="E126" s="99">
        <v>613</v>
      </c>
      <c r="F126" s="99" t="s">
        <v>438</v>
      </c>
      <c r="G126" s="99">
        <v>7</v>
      </c>
      <c r="H126" s="99">
        <v>8</v>
      </c>
      <c r="I126" s="99">
        <v>39</v>
      </c>
      <c r="J126" s="99">
        <v>217</v>
      </c>
      <c r="K126" s="99">
        <v>201</v>
      </c>
      <c r="L126" s="99">
        <v>566</v>
      </c>
      <c r="M126" s="99">
        <v>139</v>
      </c>
      <c r="N126" s="99">
        <v>66</v>
      </c>
      <c r="O126" s="99">
        <v>18</v>
      </c>
      <c r="P126" s="159">
        <v>18</v>
      </c>
      <c r="Q126" s="99" t="s">
        <v>736</v>
      </c>
      <c r="R126" s="99">
        <v>13</v>
      </c>
      <c r="S126" s="99" t="s">
        <v>736</v>
      </c>
      <c r="T126" s="99" t="s">
        <v>736</v>
      </c>
      <c r="U126" s="99" t="s">
        <v>736</v>
      </c>
      <c r="V126" s="99" t="s">
        <v>736</v>
      </c>
      <c r="W126" s="99">
        <v>9</v>
      </c>
      <c r="X126" s="99">
        <v>10</v>
      </c>
      <c r="Y126" s="99">
        <v>30</v>
      </c>
      <c r="Z126" s="99">
        <v>29</v>
      </c>
      <c r="AA126" s="99" t="s">
        <v>736</v>
      </c>
      <c r="AB126" s="99" t="s">
        <v>736</v>
      </c>
      <c r="AC126" s="99" t="s">
        <v>736</v>
      </c>
      <c r="AD126" s="98" t="s">
        <v>417</v>
      </c>
      <c r="AE126" s="100">
        <v>0.20508531281365006</v>
      </c>
      <c r="AF126" s="100">
        <v>0.09</v>
      </c>
      <c r="AG126" s="98">
        <v>234.192037470726</v>
      </c>
      <c r="AH126" s="98">
        <v>267.64804282368686</v>
      </c>
      <c r="AI126" s="100">
        <v>0.013000000000000001</v>
      </c>
      <c r="AJ126" s="100">
        <v>0.638235</v>
      </c>
      <c r="AK126" s="100">
        <v>0.640127</v>
      </c>
      <c r="AL126" s="100">
        <v>0.785021</v>
      </c>
      <c r="AM126" s="100">
        <v>0.44127</v>
      </c>
      <c r="AN126" s="100">
        <v>0.515625</v>
      </c>
      <c r="AO126" s="98">
        <v>602.2080963532954</v>
      </c>
      <c r="AP126" s="158">
        <v>0.292150116</v>
      </c>
      <c r="AQ126" s="100" t="s">
        <v>736</v>
      </c>
      <c r="AR126" s="100" t="s">
        <v>736</v>
      </c>
      <c r="AS126" s="98" t="s">
        <v>736</v>
      </c>
      <c r="AT126" s="98" t="s">
        <v>736</v>
      </c>
      <c r="AU126" s="98" t="s">
        <v>736</v>
      </c>
      <c r="AV126" s="98" t="s">
        <v>736</v>
      </c>
      <c r="AW126" s="98">
        <v>301.1040481766477</v>
      </c>
      <c r="AX126" s="98">
        <v>334.5600535296086</v>
      </c>
      <c r="AY126" s="98">
        <v>1003.6801605888257</v>
      </c>
      <c r="AZ126" s="98">
        <v>970.2241552358648</v>
      </c>
      <c r="BA126" s="100" t="s">
        <v>736</v>
      </c>
      <c r="BB126" s="100" t="s">
        <v>736</v>
      </c>
      <c r="BC126" s="100" t="s">
        <v>736</v>
      </c>
      <c r="BD126" s="158">
        <v>0.1731466866</v>
      </c>
      <c r="BE126" s="158">
        <v>0.46172313690000005</v>
      </c>
      <c r="BF126" s="162">
        <v>340</v>
      </c>
      <c r="BG126" s="162">
        <v>314</v>
      </c>
      <c r="BH126" s="162">
        <v>721</v>
      </c>
      <c r="BI126" s="162">
        <v>315</v>
      </c>
      <c r="BJ126" s="162">
        <v>128</v>
      </c>
      <c r="BK126" s="97"/>
      <c r="BL126" s="97"/>
      <c r="BM126" s="97"/>
      <c r="BN126" s="97"/>
    </row>
    <row r="127" spans="1:66" ht="12.75">
      <c r="A127" s="79" t="s">
        <v>644</v>
      </c>
      <c r="B127" s="79" t="s">
        <v>327</v>
      </c>
      <c r="C127" s="79" t="s">
        <v>216</v>
      </c>
      <c r="D127" s="99">
        <v>7393</v>
      </c>
      <c r="E127" s="99">
        <v>1302</v>
      </c>
      <c r="F127" s="99" t="s">
        <v>440</v>
      </c>
      <c r="G127" s="99">
        <v>26</v>
      </c>
      <c r="H127" s="99">
        <v>12</v>
      </c>
      <c r="I127" s="99">
        <v>166</v>
      </c>
      <c r="J127" s="99">
        <v>741</v>
      </c>
      <c r="K127" s="99">
        <v>716</v>
      </c>
      <c r="L127" s="99">
        <v>1572</v>
      </c>
      <c r="M127" s="99">
        <v>554</v>
      </c>
      <c r="N127" s="99">
        <v>240</v>
      </c>
      <c r="O127" s="99">
        <v>66</v>
      </c>
      <c r="P127" s="159">
        <v>66</v>
      </c>
      <c r="Q127" s="99">
        <v>15</v>
      </c>
      <c r="R127" s="99">
        <v>36</v>
      </c>
      <c r="S127" s="99">
        <v>20</v>
      </c>
      <c r="T127" s="99">
        <v>9</v>
      </c>
      <c r="U127" s="99" t="s">
        <v>736</v>
      </c>
      <c r="V127" s="99">
        <v>17</v>
      </c>
      <c r="W127" s="99">
        <v>43</v>
      </c>
      <c r="X127" s="99">
        <v>18</v>
      </c>
      <c r="Y127" s="99">
        <v>77</v>
      </c>
      <c r="Z127" s="99">
        <v>33</v>
      </c>
      <c r="AA127" s="99" t="s">
        <v>736</v>
      </c>
      <c r="AB127" s="99" t="s">
        <v>736</v>
      </c>
      <c r="AC127" s="99" t="s">
        <v>736</v>
      </c>
      <c r="AD127" s="98" t="s">
        <v>417</v>
      </c>
      <c r="AE127" s="100">
        <v>0.17611253888813744</v>
      </c>
      <c r="AF127" s="100">
        <v>0.05</v>
      </c>
      <c r="AG127" s="98">
        <v>351.6840254294603</v>
      </c>
      <c r="AH127" s="98">
        <v>162.3157040443663</v>
      </c>
      <c r="AI127" s="100">
        <v>0.022000000000000002</v>
      </c>
      <c r="AJ127" s="100">
        <v>0.766287</v>
      </c>
      <c r="AK127" s="100">
        <v>0.754478</v>
      </c>
      <c r="AL127" s="100">
        <v>0.823899</v>
      </c>
      <c r="AM127" s="100">
        <v>0.604144</v>
      </c>
      <c r="AN127" s="100">
        <v>0.623377</v>
      </c>
      <c r="AO127" s="98">
        <v>892.7363722440147</v>
      </c>
      <c r="AP127" s="158">
        <v>0.450520668</v>
      </c>
      <c r="AQ127" s="100">
        <v>0.22727272727272727</v>
      </c>
      <c r="AR127" s="100">
        <v>0.4166666666666667</v>
      </c>
      <c r="AS127" s="98">
        <v>270.52617340727716</v>
      </c>
      <c r="AT127" s="98">
        <v>121.73677803327472</v>
      </c>
      <c r="AU127" s="98" t="s">
        <v>736</v>
      </c>
      <c r="AV127" s="98">
        <v>229.9472473961856</v>
      </c>
      <c r="AW127" s="98">
        <v>581.6312728256459</v>
      </c>
      <c r="AX127" s="98">
        <v>243.47355606654943</v>
      </c>
      <c r="AY127" s="98">
        <v>1041.525767618017</v>
      </c>
      <c r="AZ127" s="98">
        <v>446.36818612200733</v>
      </c>
      <c r="BA127" s="100" t="s">
        <v>736</v>
      </c>
      <c r="BB127" s="100" t="s">
        <v>736</v>
      </c>
      <c r="BC127" s="100" t="s">
        <v>736</v>
      </c>
      <c r="BD127" s="158">
        <v>0.34843265529999995</v>
      </c>
      <c r="BE127" s="158">
        <v>0.57317276</v>
      </c>
      <c r="BF127" s="162">
        <v>967</v>
      </c>
      <c r="BG127" s="162">
        <v>949</v>
      </c>
      <c r="BH127" s="162">
        <v>1908</v>
      </c>
      <c r="BI127" s="162">
        <v>917</v>
      </c>
      <c r="BJ127" s="162">
        <v>385</v>
      </c>
      <c r="BK127" s="97"/>
      <c r="BL127" s="97"/>
      <c r="BM127" s="97"/>
      <c r="BN127" s="97"/>
    </row>
    <row r="128" spans="1:66" ht="12.75">
      <c r="A128" s="79" t="s">
        <v>699</v>
      </c>
      <c r="B128" s="79" t="s">
        <v>386</v>
      </c>
      <c r="C128" s="79" t="s">
        <v>216</v>
      </c>
      <c r="D128" s="99">
        <v>6255</v>
      </c>
      <c r="E128" s="99">
        <v>815</v>
      </c>
      <c r="F128" s="99" t="s">
        <v>440</v>
      </c>
      <c r="G128" s="99">
        <v>30</v>
      </c>
      <c r="H128" s="99">
        <v>14</v>
      </c>
      <c r="I128" s="99">
        <v>91</v>
      </c>
      <c r="J128" s="99">
        <v>492</v>
      </c>
      <c r="K128" s="99">
        <v>486</v>
      </c>
      <c r="L128" s="99">
        <v>1238</v>
      </c>
      <c r="M128" s="99">
        <v>280</v>
      </c>
      <c r="N128" s="99">
        <v>148</v>
      </c>
      <c r="O128" s="99">
        <v>107</v>
      </c>
      <c r="P128" s="159">
        <v>107</v>
      </c>
      <c r="Q128" s="99">
        <v>7</v>
      </c>
      <c r="R128" s="99">
        <v>20</v>
      </c>
      <c r="S128" s="99">
        <v>26</v>
      </c>
      <c r="T128" s="99">
        <v>14</v>
      </c>
      <c r="U128" s="99" t="s">
        <v>736</v>
      </c>
      <c r="V128" s="99">
        <v>20</v>
      </c>
      <c r="W128" s="99">
        <v>31</v>
      </c>
      <c r="X128" s="99">
        <v>19</v>
      </c>
      <c r="Y128" s="99">
        <v>54</v>
      </c>
      <c r="Z128" s="99">
        <v>27</v>
      </c>
      <c r="AA128" s="99" t="s">
        <v>736</v>
      </c>
      <c r="AB128" s="99" t="s">
        <v>736</v>
      </c>
      <c r="AC128" s="99" t="s">
        <v>736</v>
      </c>
      <c r="AD128" s="98" t="s">
        <v>417</v>
      </c>
      <c r="AE128" s="100">
        <v>0.13029576338928858</v>
      </c>
      <c r="AF128" s="100">
        <v>0.07</v>
      </c>
      <c r="AG128" s="98">
        <v>479.6163069544364</v>
      </c>
      <c r="AH128" s="98">
        <v>223.82094324540367</v>
      </c>
      <c r="AI128" s="100">
        <v>0.015</v>
      </c>
      <c r="AJ128" s="100">
        <v>0.666667</v>
      </c>
      <c r="AK128" s="100">
        <v>0.682584</v>
      </c>
      <c r="AL128" s="100">
        <v>0.77375</v>
      </c>
      <c r="AM128" s="100">
        <v>0.488656</v>
      </c>
      <c r="AN128" s="100">
        <v>0.552239</v>
      </c>
      <c r="AO128" s="98">
        <v>1710.6314948041568</v>
      </c>
      <c r="AP128" s="158">
        <v>0.986639328</v>
      </c>
      <c r="AQ128" s="100">
        <v>0.06542056074766354</v>
      </c>
      <c r="AR128" s="100">
        <v>0.35</v>
      </c>
      <c r="AS128" s="98">
        <v>415.66746602717825</v>
      </c>
      <c r="AT128" s="98">
        <v>223.82094324540367</v>
      </c>
      <c r="AU128" s="98" t="s">
        <v>736</v>
      </c>
      <c r="AV128" s="98">
        <v>319.744204636291</v>
      </c>
      <c r="AW128" s="98">
        <v>495.603517186251</v>
      </c>
      <c r="AX128" s="98">
        <v>303.7569944044764</v>
      </c>
      <c r="AY128" s="98">
        <v>863.3093525179856</v>
      </c>
      <c r="AZ128" s="98">
        <v>431.6546762589928</v>
      </c>
      <c r="BA128" s="100" t="s">
        <v>736</v>
      </c>
      <c r="BB128" s="100" t="s">
        <v>736</v>
      </c>
      <c r="BC128" s="100" t="s">
        <v>736</v>
      </c>
      <c r="BD128" s="158">
        <v>0.8085747528</v>
      </c>
      <c r="BE128" s="158">
        <v>1.192252655</v>
      </c>
      <c r="BF128" s="162">
        <v>738</v>
      </c>
      <c r="BG128" s="162">
        <v>712</v>
      </c>
      <c r="BH128" s="162">
        <v>1600</v>
      </c>
      <c r="BI128" s="162">
        <v>573</v>
      </c>
      <c r="BJ128" s="162">
        <v>268</v>
      </c>
      <c r="BK128" s="97"/>
      <c r="BL128" s="97"/>
      <c r="BM128" s="97"/>
      <c r="BN128" s="97"/>
    </row>
    <row r="129" spans="1:66" ht="12.75">
      <c r="A129" s="79" t="s">
        <v>677</v>
      </c>
      <c r="B129" s="79" t="s">
        <v>361</v>
      </c>
      <c r="C129" s="79" t="s">
        <v>216</v>
      </c>
      <c r="D129" s="99">
        <v>13673</v>
      </c>
      <c r="E129" s="99">
        <v>2217</v>
      </c>
      <c r="F129" s="99" t="s">
        <v>440</v>
      </c>
      <c r="G129" s="99">
        <v>53</v>
      </c>
      <c r="H129" s="99">
        <v>24</v>
      </c>
      <c r="I129" s="99">
        <v>261</v>
      </c>
      <c r="J129" s="99">
        <v>1119</v>
      </c>
      <c r="K129" s="99">
        <v>10</v>
      </c>
      <c r="L129" s="99">
        <v>2883</v>
      </c>
      <c r="M129" s="99">
        <v>760</v>
      </c>
      <c r="N129" s="99">
        <v>327</v>
      </c>
      <c r="O129" s="99">
        <v>240</v>
      </c>
      <c r="P129" s="159">
        <v>240</v>
      </c>
      <c r="Q129" s="99">
        <v>23</v>
      </c>
      <c r="R129" s="99">
        <v>44</v>
      </c>
      <c r="S129" s="99">
        <v>45</v>
      </c>
      <c r="T129" s="99">
        <v>43</v>
      </c>
      <c r="U129" s="99" t="s">
        <v>736</v>
      </c>
      <c r="V129" s="99">
        <v>62</v>
      </c>
      <c r="W129" s="99">
        <v>99</v>
      </c>
      <c r="X129" s="99">
        <v>75</v>
      </c>
      <c r="Y129" s="99">
        <v>145</v>
      </c>
      <c r="Z129" s="99">
        <v>71</v>
      </c>
      <c r="AA129" s="99" t="s">
        <v>736</v>
      </c>
      <c r="AB129" s="99" t="s">
        <v>736</v>
      </c>
      <c r="AC129" s="99" t="s">
        <v>736</v>
      </c>
      <c r="AD129" s="98" t="s">
        <v>417</v>
      </c>
      <c r="AE129" s="100">
        <v>0.16214437212023697</v>
      </c>
      <c r="AF129" s="100">
        <v>0.06</v>
      </c>
      <c r="AG129" s="98">
        <v>387.6252468368317</v>
      </c>
      <c r="AH129" s="98">
        <v>175.52841366196154</v>
      </c>
      <c r="AI129" s="100">
        <v>0.019</v>
      </c>
      <c r="AJ129" s="100">
        <v>0.776544</v>
      </c>
      <c r="AK129" s="100">
        <v>0.588235</v>
      </c>
      <c r="AL129" s="100">
        <v>0.792904</v>
      </c>
      <c r="AM129" s="100">
        <v>0.570143</v>
      </c>
      <c r="AN129" s="100">
        <v>0.581851</v>
      </c>
      <c r="AO129" s="98">
        <v>1755.2841366196153</v>
      </c>
      <c r="AP129" s="158">
        <v>0.950557251</v>
      </c>
      <c r="AQ129" s="100">
        <v>0.09583333333333334</v>
      </c>
      <c r="AR129" s="100">
        <v>0.5227272727272727</v>
      </c>
      <c r="AS129" s="98">
        <v>329.11577561617787</v>
      </c>
      <c r="AT129" s="98">
        <v>314.4884078110144</v>
      </c>
      <c r="AU129" s="98" t="s">
        <v>736</v>
      </c>
      <c r="AV129" s="98">
        <v>453.44840196006726</v>
      </c>
      <c r="AW129" s="98">
        <v>724.0547063555913</v>
      </c>
      <c r="AX129" s="98">
        <v>548.5262926936298</v>
      </c>
      <c r="AY129" s="98">
        <v>1060.484165874351</v>
      </c>
      <c r="AZ129" s="98">
        <v>519.2715570833028</v>
      </c>
      <c r="BA129" s="100" t="s">
        <v>736</v>
      </c>
      <c r="BB129" s="100" t="s">
        <v>736</v>
      </c>
      <c r="BC129" s="100" t="s">
        <v>736</v>
      </c>
      <c r="BD129" s="158">
        <v>0.8340914917000001</v>
      </c>
      <c r="BE129" s="158">
        <v>1.078734436</v>
      </c>
      <c r="BF129" s="162">
        <v>1441</v>
      </c>
      <c r="BG129" s="162">
        <v>17</v>
      </c>
      <c r="BH129" s="162">
        <v>3636</v>
      </c>
      <c r="BI129" s="162">
        <v>1333</v>
      </c>
      <c r="BJ129" s="162">
        <v>562</v>
      </c>
      <c r="BK129" s="97"/>
      <c r="BL129" s="97"/>
      <c r="BM129" s="97"/>
      <c r="BN129" s="97"/>
    </row>
    <row r="130" spans="1:66" ht="12.75">
      <c r="A130" s="79" t="s">
        <v>694</v>
      </c>
      <c r="B130" s="79" t="s">
        <v>381</v>
      </c>
      <c r="C130" s="79" t="s">
        <v>216</v>
      </c>
      <c r="D130" s="99">
        <v>6269</v>
      </c>
      <c r="E130" s="99">
        <v>1006</v>
      </c>
      <c r="F130" s="99" t="s">
        <v>440</v>
      </c>
      <c r="G130" s="99">
        <v>18</v>
      </c>
      <c r="H130" s="99">
        <v>29</v>
      </c>
      <c r="I130" s="99">
        <v>115</v>
      </c>
      <c r="J130" s="99">
        <v>509</v>
      </c>
      <c r="K130" s="99">
        <v>483</v>
      </c>
      <c r="L130" s="99">
        <v>1247</v>
      </c>
      <c r="M130" s="99">
        <v>353</v>
      </c>
      <c r="N130" s="99">
        <v>176</v>
      </c>
      <c r="O130" s="99">
        <v>79</v>
      </c>
      <c r="P130" s="159">
        <v>79</v>
      </c>
      <c r="Q130" s="99">
        <v>13</v>
      </c>
      <c r="R130" s="99">
        <v>34</v>
      </c>
      <c r="S130" s="99">
        <v>12</v>
      </c>
      <c r="T130" s="99">
        <v>14</v>
      </c>
      <c r="U130" s="99" t="s">
        <v>736</v>
      </c>
      <c r="V130" s="99">
        <v>10</v>
      </c>
      <c r="W130" s="99">
        <v>55</v>
      </c>
      <c r="X130" s="99">
        <v>30</v>
      </c>
      <c r="Y130" s="99">
        <v>62</v>
      </c>
      <c r="Z130" s="99">
        <v>30</v>
      </c>
      <c r="AA130" s="99" t="s">
        <v>736</v>
      </c>
      <c r="AB130" s="99" t="s">
        <v>736</v>
      </c>
      <c r="AC130" s="99" t="s">
        <v>736</v>
      </c>
      <c r="AD130" s="98" t="s">
        <v>417</v>
      </c>
      <c r="AE130" s="100">
        <v>0.16047216461955655</v>
      </c>
      <c r="AF130" s="100">
        <v>0.08</v>
      </c>
      <c r="AG130" s="98">
        <v>287.1271335141171</v>
      </c>
      <c r="AH130" s="98">
        <v>462.5937151060775</v>
      </c>
      <c r="AI130" s="100">
        <v>0.018000000000000002</v>
      </c>
      <c r="AJ130" s="100">
        <v>0.68691</v>
      </c>
      <c r="AK130" s="100">
        <v>0.670833</v>
      </c>
      <c r="AL130" s="100">
        <v>0.769753</v>
      </c>
      <c r="AM130" s="100">
        <v>0.537291</v>
      </c>
      <c r="AN130" s="100">
        <v>0.615385</v>
      </c>
      <c r="AO130" s="98">
        <v>1260.169085978625</v>
      </c>
      <c r="AP130" s="158">
        <v>0.6667608643</v>
      </c>
      <c r="AQ130" s="100">
        <v>0.16455696202531644</v>
      </c>
      <c r="AR130" s="100">
        <v>0.38235294117647056</v>
      </c>
      <c r="AS130" s="98">
        <v>191.4180890094114</v>
      </c>
      <c r="AT130" s="98">
        <v>223.32110384431328</v>
      </c>
      <c r="AU130" s="98" t="s">
        <v>736</v>
      </c>
      <c r="AV130" s="98">
        <v>159.5150741745095</v>
      </c>
      <c r="AW130" s="98">
        <v>877.3329079598022</v>
      </c>
      <c r="AX130" s="98">
        <v>478.5452225235285</v>
      </c>
      <c r="AY130" s="98">
        <v>988.9934598819589</v>
      </c>
      <c r="AZ130" s="98">
        <v>478.5452225235285</v>
      </c>
      <c r="BA130" s="100" t="s">
        <v>736</v>
      </c>
      <c r="BB130" s="100" t="s">
        <v>736</v>
      </c>
      <c r="BC130" s="100" t="s">
        <v>736</v>
      </c>
      <c r="BD130" s="158">
        <v>0.5278808212</v>
      </c>
      <c r="BE130" s="158">
        <v>0.8309828949</v>
      </c>
      <c r="BF130" s="162">
        <v>741</v>
      </c>
      <c r="BG130" s="162">
        <v>720</v>
      </c>
      <c r="BH130" s="162">
        <v>1620</v>
      </c>
      <c r="BI130" s="162">
        <v>657</v>
      </c>
      <c r="BJ130" s="162">
        <v>286</v>
      </c>
      <c r="BK130" s="97"/>
      <c r="BL130" s="97"/>
      <c r="BM130" s="97"/>
      <c r="BN130" s="97"/>
    </row>
    <row r="131" spans="1:66" ht="12.75">
      <c r="A131" s="79" t="s">
        <v>639</v>
      </c>
      <c r="B131" s="79" t="s">
        <v>322</v>
      </c>
      <c r="C131" s="79" t="s">
        <v>216</v>
      </c>
      <c r="D131" s="99">
        <v>4315</v>
      </c>
      <c r="E131" s="99">
        <v>725</v>
      </c>
      <c r="F131" s="99" t="s">
        <v>440</v>
      </c>
      <c r="G131" s="99">
        <v>26</v>
      </c>
      <c r="H131" s="99">
        <v>13</v>
      </c>
      <c r="I131" s="99">
        <v>90</v>
      </c>
      <c r="J131" s="99">
        <v>462</v>
      </c>
      <c r="K131" s="99">
        <v>6</v>
      </c>
      <c r="L131" s="99">
        <v>872</v>
      </c>
      <c r="M131" s="99">
        <v>335</v>
      </c>
      <c r="N131" s="99">
        <v>152</v>
      </c>
      <c r="O131" s="99">
        <v>68</v>
      </c>
      <c r="P131" s="159">
        <v>68</v>
      </c>
      <c r="Q131" s="99">
        <v>11</v>
      </c>
      <c r="R131" s="99">
        <v>26</v>
      </c>
      <c r="S131" s="99">
        <v>11</v>
      </c>
      <c r="T131" s="99" t="s">
        <v>736</v>
      </c>
      <c r="U131" s="99" t="s">
        <v>736</v>
      </c>
      <c r="V131" s="99">
        <v>17</v>
      </c>
      <c r="W131" s="99">
        <v>14</v>
      </c>
      <c r="X131" s="99">
        <v>16</v>
      </c>
      <c r="Y131" s="99">
        <v>31</v>
      </c>
      <c r="Z131" s="99">
        <v>29</v>
      </c>
      <c r="AA131" s="99" t="s">
        <v>736</v>
      </c>
      <c r="AB131" s="99" t="s">
        <v>736</v>
      </c>
      <c r="AC131" s="99" t="s">
        <v>736</v>
      </c>
      <c r="AD131" s="98" t="s">
        <v>417</v>
      </c>
      <c r="AE131" s="100">
        <v>0.16801853997682503</v>
      </c>
      <c r="AF131" s="100">
        <v>0.07</v>
      </c>
      <c r="AG131" s="98">
        <v>602.5492468134415</v>
      </c>
      <c r="AH131" s="98">
        <v>301.27462340672076</v>
      </c>
      <c r="AI131" s="100">
        <v>0.021</v>
      </c>
      <c r="AJ131" s="100">
        <v>0.767442</v>
      </c>
      <c r="AK131" s="100">
        <v>0.5</v>
      </c>
      <c r="AL131" s="100">
        <v>0.802208</v>
      </c>
      <c r="AM131" s="100">
        <v>0.614679</v>
      </c>
      <c r="AN131" s="100">
        <v>0.638655</v>
      </c>
      <c r="AO131" s="98">
        <v>1575.8980301274623</v>
      </c>
      <c r="AP131" s="158">
        <v>0.8087944031000001</v>
      </c>
      <c r="AQ131" s="100">
        <v>0.16176470588235295</v>
      </c>
      <c r="AR131" s="100">
        <v>0.4230769230769231</v>
      </c>
      <c r="AS131" s="98">
        <v>254.92468134414833</v>
      </c>
      <c r="AT131" s="98" t="s">
        <v>736</v>
      </c>
      <c r="AU131" s="98" t="s">
        <v>736</v>
      </c>
      <c r="AV131" s="98">
        <v>393.9745075318656</v>
      </c>
      <c r="AW131" s="98">
        <v>324.44959443800695</v>
      </c>
      <c r="AX131" s="98">
        <v>370.7995365005794</v>
      </c>
      <c r="AY131" s="98">
        <v>718.4241019698725</v>
      </c>
      <c r="AZ131" s="98">
        <v>672.0741599073001</v>
      </c>
      <c r="BA131" s="100" t="s">
        <v>736</v>
      </c>
      <c r="BB131" s="100" t="s">
        <v>736</v>
      </c>
      <c r="BC131" s="100" t="s">
        <v>736</v>
      </c>
      <c r="BD131" s="158">
        <v>0.6280604935</v>
      </c>
      <c r="BE131" s="158">
        <v>1.0253395840000001</v>
      </c>
      <c r="BF131" s="162">
        <v>602</v>
      </c>
      <c r="BG131" s="162">
        <v>12</v>
      </c>
      <c r="BH131" s="162">
        <v>1087</v>
      </c>
      <c r="BI131" s="162">
        <v>545</v>
      </c>
      <c r="BJ131" s="162">
        <v>238</v>
      </c>
      <c r="BK131" s="97"/>
      <c r="BL131" s="97"/>
      <c r="BM131" s="97"/>
      <c r="BN131" s="97"/>
    </row>
    <row r="132" spans="1:66" ht="12.75">
      <c r="A132" s="79" t="s">
        <v>641</v>
      </c>
      <c r="B132" s="79" t="s">
        <v>324</v>
      </c>
      <c r="C132" s="79" t="s">
        <v>216</v>
      </c>
      <c r="D132" s="99">
        <v>9208</v>
      </c>
      <c r="E132" s="99">
        <v>1926</v>
      </c>
      <c r="F132" s="99" t="s">
        <v>440</v>
      </c>
      <c r="G132" s="99">
        <v>40</v>
      </c>
      <c r="H132" s="99">
        <v>29</v>
      </c>
      <c r="I132" s="99">
        <v>191</v>
      </c>
      <c r="J132" s="99">
        <v>930</v>
      </c>
      <c r="K132" s="99">
        <v>8</v>
      </c>
      <c r="L132" s="99">
        <v>1871</v>
      </c>
      <c r="M132" s="99">
        <v>689</v>
      </c>
      <c r="N132" s="99">
        <v>329</v>
      </c>
      <c r="O132" s="99">
        <v>264</v>
      </c>
      <c r="P132" s="159">
        <v>264</v>
      </c>
      <c r="Q132" s="99">
        <v>24</v>
      </c>
      <c r="R132" s="99">
        <v>45</v>
      </c>
      <c r="S132" s="99">
        <v>42</v>
      </c>
      <c r="T132" s="99">
        <v>59</v>
      </c>
      <c r="U132" s="99">
        <v>10</v>
      </c>
      <c r="V132" s="99">
        <v>50</v>
      </c>
      <c r="W132" s="99">
        <v>57</v>
      </c>
      <c r="X132" s="99">
        <v>38</v>
      </c>
      <c r="Y132" s="99">
        <v>133</v>
      </c>
      <c r="Z132" s="99">
        <v>57</v>
      </c>
      <c r="AA132" s="99" t="s">
        <v>736</v>
      </c>
      <c r="AB132" s="99" t="s">
        <v>736</v>
      </c>
      <c r="AC132" s="99" t="s">
        <v>736</v>
      </c>
      <c r="AD132" s="98" t="s">
        <v>417</v>
      </c>
      <c r="AE132" s="100">
        <v>0.20916594265855779</v>
      </c>
      <c r="AF132" s="100">
        <v>0.05</v>
      </c>
      <c r="AG132" s="98">
        <v>434.4048653344918</v>
      </c>
      <c r="AH132" s="98">
        <v>314.94352736750653</v>
      </c>
      <c r="AI132" s="100">
        <v>0.021</v>
      </c>
      <c r="AJ132" s="100">
        <v>0.757946</v>
      </c>
      <c r="AK132" s="100">
        <v>0.296296</v>
      </c>
      <c r="AL132" s="100">
        <v>0.802316</v>
      </c>
      <c r="AM132" s="100">
        <v>0.604386</v>
      </c>
      <c r="AN132" s="100">
        <v>0.668699</v>
      </c>
      <c r="AO132" s="98">
        <v>2867.0721112076453</v>
      </c>
      <c r="AP132" s="158">
        <v>1.368076019</v>
      </c>
      <c r="AQ132" s="100">
        <v>0.09090909090909091</v>
      </c>
      <c r="AR132" s="100">
        <v>0.5333333333333333</v>
      </c>
      <c r="AS132" s="98">
        <v>456.1251086012163</v>
      </c>
      <c r="AT132" s="98">
        <v>640.7471763683753</v>
      </c>
      <c r="AU132" s="98">
        <v>108.60121633362294</v>
      </c>
      <c r="AV132" s="98">
        <v>543.0060816681147</v>
      </c>
      <c r="AW132" s="98">
        <v>619.0269331016507</v>
      </c>
      <c r="AX132" s="98">
        <v>412.6846220677672</v>
      </c>
      <c r="AY132" s="98">
        <v>1444.3961772371852</v>
      </c>
      <c r="AZ132" s="98">
        <v>619.0269331016507</v>
      </c>
      <c r="BA132" s="100" t="s">
        <v>736</v>
      </c>
      <c r="BB132" s="100" t="s">
        <v>736</v>
      </c>
      <c r="BC132" s="100" t="s">
        <v>736</v>
      </c>
      <c r="BD132" s="158">
        <v>1.2080101779999999</v>
      </c>
      <c r="BE132" s="158">
        <v>1.543450012</v>
      </c>
      <c r="BF132" s="162">
        <v>1227</v>
      </c>
      <c r="BG132" s="162">
        <v>27</v>
      </c>
      <c r="BH132" s="162">
        <v>2332</v>
      </c>
      <c r="BI132" s="162">
        <v>1140</v>
      </c>
      <c r="BJ132" s="162">
        <v>492</v>
      </c>
      <c r="BK132" s="97"/>
      <c r="BL132" s="97"/>
      <c r="BM132" s="97"/>
      <c r="BN132" s="97"/>
    </row>
    <row r="133" spans="1:66" ht="12.75">
      <c r="A133" s="79" t="s">
        <v>683</v>
      </c>
      <c r="B133" s="79" t="s">
        <v>370</v>
      </c>
      <c r="C133" s="79" t="s">
        <v>216</v>
      </c>
      <c r="D133" s="99">
        <v>5539</v>
      </c>
      <c r="E133" s="99">
        <v>746</v>
      </c>
      <c r="F133" s="99" t="s">
        <v>440</v>
      </c>
      <c r="G133" s="99">
        <v>17</v>
      </c>
      <c r="H133" s="99">
        <v>6</v>
      </c>
      <c r="I133" s="99">
        <v>84</v>
      </c>
      <c r="J133" s="99">
        <v>476</v>
      </c>
      <c r="K133" s="99">
        <v>457</v>
      </c>
      <c r="L133" s="99">
        <v>1138</v>
      </c>
      <c r="M133" s="99">
        <v>307</v>
      </c>
      <c r="N133" s="99">
        <v>135</v>
      </c>
      <c r="O133" s="99">
        <v>127</v>
      </c>
      <c r="P133" s="159">
        <v>127</v>
      </c>
      <c r="Q133" s="99">
        <v>8</v>
      </c>
      <c r="R133" s="99">
        <v>17</v>
      </c>
      <c r="S133" s="99">
        <v>21</v>
      </c>
      <c r="T133" s="99">
        <v>21</v>
      </c>
      <c r="U133" s="99" t="s">
        <v>736</v>
      </c>
      <c r="V133" s="99">
        <v>32</v>
      </c>
      <c r="W133" s="99">
        <v>68</v>
      </c>
      <c r="X133" s="99">
        <v>30</v>
      </c>
      <c r="Y133" s="99">
        <v>71</v>
      </c>
      <c r="Z133" s="99">
        <v>29</v>
      </c>
      <c r="AA133" s="99" t="s">
        <v>736</v>
      </c>
      <c r="AB133" s="99" t="s">
        <v>736</v>
      </c>
      <c r="AC133" s="99" t="s">
        <v>736</v>
      </c>
      <c r="AD133" s="98" t="s">
        <v>417</v>
      </c>
      <c r="AE133" s="100">
        <v>0.1346813504242643</v>
      </c>
      <c r="AF133" s="100">
        <v>0.08</v>
      </c>
      <c r="AG133" s="98">
        <v>306.9146055244629</v>
      </c>
      <c r="AH133" s="98">
        <v>108.32280194981044</v>
      </c>
      <c r="AI133" s="100">
        <v>0.015</v>
      </c>
      <c r="AJ133" s="100">
        <v>0.785479</v>
      </c>
      <c r="AK133" s="100">
        <v>0.774576</v>
      </c>
      <c r="AL133" s="100">
        <v>0.771003</v>
      </c>
      <c r="AM133" s="100">
        <v>0.563303</v>
      </c>
      <c r="AN133" s="100">
        <v>0.579399</v>
      </c>
      <c r="AO133" s="98">
        <v>2292.8326412709876</v>
      </c>
      <c r="AP133" s="158">
        <v>1.349219971</v>
      </c>
      <c r="AQ133" s="100">
        <v>0.06299212598425197</v>
      </c>
      <c r="AR133" s="100">
        <v>0.47058823529411764</v>
      </c>
      <c r="AS133" s="98">
        <v>379.1298068243365</v>
      </c>
      <c r="AT133" s="98">
        <v>379.1298068243365</v>
      </c>
      <c r="AU133" s="98" t="s">
        <v>736</v>
      </c>
      <c r="AV133" s="98">
        <v>577.721610398989</v>
      </c>
      <c r="AW133" s="98">
        <v>1227.6584220978516</v>
      </c>
      <c r="AX133" s="98">
        <v>541.6140097490522</v>
      </c>
      <c r="AY133" s="98">
        <v>1281.819823072757</v>
      </c>
      <c r="AZ133" s="98">
        <v>523.5602094240837</v>
      </c>
      <c r="BA133" s="100" t="s">
        <v>736</v>
      </c>
      <c r="BB133" s="100" t="s">
        <v>736</v>
      </c>
      <c r="BC133" s="100" t="s">
        <v>736</v>
      </c>
      <c r="BD133" s="158">
        <v>1.124783936</v>
      </c>
      <c r="BE133" s="158">
        <v>1.605315857</v>
      </c>
      <c r="BF133" s="162">
        <v>606</v>
      </c>
      <c r="BG133" s="162">
        <v>590</v>
      </c>
      <c r="BH133" s="162">
        <v>1476</v>
      </c>
      <c r="BI133" s="162">
        <v>545</v>
      </c>
      <c r="BJ133" s="162">
        <v>233</v>
      </c>
      <c r="BK133" s="97"/>
      <c r="BL133" s="97"/>
      <c r="BM133" s="97"/>
      <c r="BN133" s="97"/>
    </row>
    <row r="134" spans="1:66" ht="12.75">
      <c r="A134" s="79" t="s">
        <v>624</v>
      </c>
      <c r="B134" s="79" t="s">
        <v>307</v>
      </c>
      <c r="C134" s="79" t="s">
        <v>216</v>
      </c>
      <c r="D134" s="99">
        <v>9453</v>
      </c>
      <c r="E134" s="99">
        <v>1429</v>
      </c>
      <c r="F134" s="99" t="s">
        <v>440</v>
      </c>
      <c r="G134" s="99">
        <v>33</v>
      </c>
      <c r="H134" s="99">
        <v>19</v>
      </c>
      <c r="I134" s="99">
        <v>192</v>
      </c>
      <c r="J134" s="99">
        <v>813</v>
      </c>
      <c r="K134" s="99">
        <v>7</v>
      </c>
      <c r="L134" s="99">
        <v>1876</v>
      </c>
      <c r="M134" s="99">
        <v>565</v>
      </c>
      <c r="N134" s="99">
        <v>244</v>
      </c>
      <c r="O134" s="99">
        <v>143</v>
      </c>
      <c r="P134" s="159">
        <v>143</v>
      </c>
      <c r="Q134" s="99">
        <v>10</v>
      </c>
      <c r="R134" s="99">
        <v>34</v>
      </c>
      <c r="S134" s="99">
        <v>48</v>
      </c>
      <c r="T134" s="99">
        <v>13</v>
      </c>
      <c r="U134" s="99" t="s">
        <v>736</v>
      </c>
      <c r="V134" s="99">
        <v>24</v>
      </c>
      <c r="W134" s="99">
        <v>55</v>
      </c>
      <c r="X134" s="99">
        <v>32</v>
      </c>
      <c r="Y134" s="99">
        <v>110</v>
      </c>
      <c r="Z134" s="99">
        <v>40</v>
      </c>
      <c r="AA134" s="99" t="s">
        <v>736</v>
      </c>
      <c r="AB134" s="99" t="s">
        <v>736</v>
      </c>
      <c r="AC134" s="99" t="s">
        <v>736</v>
      </c>
      <c r="AD134" s="98" t="s">
        <v>417</v>
      </c>
      <c r="AE134" s="100">
        <v>0.15116894107690682</v>
      </c>
      <c r="AF134" s="100">
        <v>0.06</v>
      </c>
      <c r="AG134" s="98">
        <v>349.0955252300857</v>
      </c>
      <c r="AH134" s="98">
        <v>200.99439331429176</v>
      </c>
      <c r="AI134" s="100">
        <v>0.02</v>
      </c>
      <c r="AJ134" s="100">
        <v>0.713158</v>
      </c>
      <c r="AK134" s="100">
        <v>0.5</v>
      </c>
      <c r="AL134" s="100">
        <v>0.817073</v>
      </c>
      <c r="AM134" s="100">
        <v>0.581276</v>
      </c>
      <c r="AN134" s="100">
        <v>0.598039</v>
      </c>
      <c r="AO134" s="98">
        <v>1512.747275997038</v>
      </c>
      <c r="AP134" s="158">
        <v>0.8415190887</v>
      </c>
      <c r="AQ134" s="100">
        <v>0.06993006993006994</v>
      </c>
      <c r="AR134" s="100">
        <v>0.29411764705882354</v>
      </c>
      <c r="AS134" s="98">
        <v>507.77530942557917</v>
      </c>
      <c r="AT134" s="98">
        <v>137.52247963609437</v>
      </c>
      <c r="AU134" s="98" t="s">
        <v>736</v>
      </c>
      <c r="AV134" s="98">
        <v>253.88765471278958</v>
      </c>
      <c r="AW134" s="98">
        <v>581.8258753834762</v>
      </c>
      <c r="AX134" s="98">
        <v>338.51687295038613</v>
      </c>
      <c r="AY134" s="98">
        <v>1163.6517507669523</v>
      </c>
      <c r="AZ134" s="98">
        <v>423.1460911879827</v>
      </c>
      <c r="BA134" s="100" t="s">
        <v>736</v>
      </c>
      <c r="BB134" s="100" t="s">
        <v>736</v>
      </c>
      <c r="BC134" s="100" t="s">
        <v>736</v>
      </c>
      <c r="BD134" s="158">
        <v>0.7092491913000001</v>
      </c>
      <c r="BE134" s="158">
        <v>0.9912973785</v>
      </c>
      <c r="BF134" s="162">
        <v>1140</v>
      </c>
      <c r="BG134" s="162">
        <v>14</v>
      </c>
      <c r="BH134" s="162">
        <v>2296</v>
      </c>
      <c r="BI134" s="162">
        <v>972</v>
      </c>
      <c r="BJ134" s="162">
        <v>408</v>
      </c>
      <c r="BK134" s="97"/>
      <c r="BL134" s="97"/>
      <c r="BM134" s="97"/>
      <c r="BN134" s="97"/>
    </row>
    <row r="135" spans="1:66" ht="12.75">
      <c r="A135" s="79" t="s">
        <v>636</v>
      </c>
      <c r="B135" s="79" t="s">
        <v>319</v>
      </c>
      <c r="C135" s="79" t="s">
        <v>216</v>
      </c>
      <c r="D135" s="99">
        <v>10489</v>
      </c>
      <c r="E135" s="99">
        <v>2186</v>
      </c>
      <c r="F135" s="99" t="s">
        <v>440</v>
      </c>
      <c r="G135" s="99">
        <v>40</v>
      </c>
      <c r="H135" s="99">
        <v>28</v>
      </c>
      <c r="I135" s="99">
        <v>292</v>
      </c>
      <c r="J135" s="99">
        <v>1025</v>
      </c>
      <c r="K135" s="99">
        <v>19</v>
      </c>
      <c r="L135" s="99">
        <v>2015</v>
      </c>
      <c r="M135" s="99">
        <v>778</v>
      </c>
      <c r="N135" s="99">
        <v>345</v>
      </c>
      <c r="O135" s="99">
        <v>213</v>
      </c>
      <c r="P135" s="159">
        <v>213</v>
      </c>
      <c r="Q135" s="99">
        <v>23</v>
      </c>
      <c r="R135" s="99">
        <v>44</v>
      </c>
      <c r="S135" s="99">
        <v>29</v>
      </c>
      <c r="T135" s="99">
        <v>25</v>
      </c>
      <c r="U135" s="99">
        <v>8</v>
      </c>
      <c r="V135" s="99">
        <v>72</v>
      </c>
      <c r="W135" s="99">
        <v>66</v>
      </c>
      <c r="X135" s="99">
        <v>35</v>
      </c>
      <c r="Y135" s="99">
        <v>123</v>
      </c>
      <c r="Z135" s="99">
        <v>63</v>
      </c>
      <c r="AA135" s="99" t="s">
        <v>736</v>
      </c>
      <c r="AB135" s="99" t="s">
        <v>736</v>
      </c>
      <c r="AC135" s="99" t="s">
        <v>736</v>
      </c>
      <c r="AD135" s="98" t="s">
        <v>417</v>
      </c>
      <c r="AE135" s="100">
        <v>0.2084088092287158</v>
      </c>
      <c r="AF135" s="100">
        <v>0.05</v>
      </c>
      <c r="AG135" s="98">
        <v>381.3518924587663</v>
      </c>
      <c r="AH135" s="98">
        <v>266.9463247211364</v>
      </c>
      <c r="AI135" s="100">
        <v>0.027999999999999997</v>
      </c>
      <c r="AJ135" s="100">
        <v>0.735822</v>
      </c>
      <c r="AK135" s="100">
        <v>0.558824</v>
      </c>
      <c r="AL135" s="100">
        <v>0.804712</v>
      </c>
      <c r="AM135" s="100">
        <v>0.612116</v>
      </c>
      <c r="AN135" s="100">
        <v>0.637708</v>
      </c>
      <c r="AO135" s="98">
        <v>2030.6988273429306</v>
      </c>
      <c r="AP135" s="158">
        <v>0.9748052979</v>
      </c>
      <c r="AQ135" s="100">
        <v>0.107981220657277</v>
      </c>
      <c r="AR135" s="100">
        <v>0.5227272727272727</v>
      </c>
      <c r="AS135" s="98">
        <v>276.4801220326056</v>
      </c>
      <c r="AT135" s="98">
        <v>238.34493278672895</v>
      </c>
      <c r="AU135" s="98">
        <v>76.27037849175326</v>
      </c>
      <c r="AV135" s="98">
        <v>686.4334064257794</v>
      </c>
      <c r="AW135" s="98">
        <v>629.2306225569645</v>
      </c>
      <c r="AX135" s="98">
        <v>333.68290590142055</v>
      </c>
      <c r="AY135" s="98">
        <v>1172.6570693107064</v>
      </c>
      <c r="AZ135" s="98">
        <v>600.629230622557</v>
      </c>
      <c r="BA135" s="100" t="s">
        <v>736</v>
      </c>
      <c r="BB135" s="100" t="s">
        <v>736</v>
      </c>
      <c r="BC135" s="100" t="s">
        <v>736</v>
      </c>
      <c r="BD135" s="158">
        <v>0.8482813263</v>
      </c>
      <c r="BE135" s="158">
        <v>1.114879227</v>
      </c>
      <c r="BF135" s="162">
        <v>1393</v>
      </c>
      <c r="BG135" s="162">
        <v>34</v>
      </c>
      <c r="BH135" s="162">
        <v>2504</v>
      </c>
      <c r="BI135" s="162">
        <v>1271</v>
      </c>
      <c r="BJ135" s="162">
        <v>541</v>
      </c>
      <c r="BK135" s="97"/>
      <c r="BL135" s="97"/>
      <c r="BM135" s="97"/>
      <c r="BN135" s="97"/>
    </row>
    <row r="136" spans="1:66" ht="12.75">
      <c r="A136" s="79" t="s">
        <v>678</v>
      </c>
      <c r="B136" s="79" t="s">
        <v>362</v>
      </c>
      <c r="C136" s="79" t="s">
        <v>216</v>
      </c>
      <c r="D136" s="99">
        <v>11335</v>
      </c>
      <c r="E136" s="99">
        <v>1393</v>
      </c>
      <c r="F136" s="99" t="s">
        <v>438</v>
      </c>
      <c r="G136" s="99">
        <v>53</v>
      </c>
      <c r="H136" s="99">
        <v>26</v>
      </c>
      <c r="I136" s="99">
        <v>139</v>
      </c>
      <c r="J136" s="99">
        <v>793</v>
      </c>
      <c r="K136" s="99">
        <v>13</v>
      </c>
      <c r="L136" s="99">
        <v>2100</v>
      </c>
      <c r="M136" s="99">
        <v>485</v>
      </c>
      <c r="N136" s="99">
        <v>223</v>
      </c>
      <c r="O136" s="99">
        <v>130</v>
      </c>
      <c r="P136" s="159">
        <v>130</v>
      </c>
      <c r="Q136" s="99">
        <v>18</v>
      </c>
      <c r="R136" s="99">
        <v>39</v>
      </c>
      <c r="S136" s="99">
        <v>39</v>
      </c>
      <c r="T136" s="99">
        <v>22</v>
      </c>
      <c r="U136" s="99" t="s">
        <v>736</v>
      </c>
      <c r="V136" s="99">
        <v>14</v>
      </c>
      <c r="W136" s="99">
        <v>65</v>
      </c>
      <c r="X136" s="99">
        <v>29</v>
      </c>
      <c r="Y136" s="99">
        <v>147</v>
      </c>
      <c r="Z136" s="99">
        <v>59</v>
      </c>
      <c r="AA136" s="99" t="s">
        <v>736</v>
      </c>
      <c r="AB136" s="99" t="s">
        <v>736</v>
      </c>
      <c r="AC136" s="99" t="s">
        <v>736</v>
      </c>
      <c r="AD136" s="98" t="s">
        <v>417</v>
      </c>
      <c r="AE136" s="100">
        <v>0.12289369210410234</v>
      </c>
      <c r="AF136" s="100">
        <v>0.09</v>
      </c>
      <c r="AG136" s="98">
        <v>467.57829730921924</v>
      </c>
      <c r="AH136" s="98">
        <v>229.3780326422585</v>
      </c>
      <c r="AI136" s="100">
        <v>0.012</v>
      </c>
      <c r="AJ136" s="100">
        <v>0.753086</v>
      </c>
      <c r="AK136" s="100">
        <v>0.590909</v>
      </c>
      <c r="AL136" s="100">
        <v>0.72314</v>
      </c>
      <c r="AM136" s="100">
        <v>0.533553</v>
      </c>
      <c r="AN136" s="100">
        <v>0.57772</v>
      </c>
      <c r="AO136" s="98">
        <v>1146.8901632112925</v>
      </c>
      <c r="AP136" s="158">
        <v>0.7101257324</v>
      </c>
      <c r="AQ136" s="100">
        <v>0.13846153846153847</v>
      </c>
      <c r="AR136" s="100">
        <v>0.46153846153846156</v>
      </c>
      <c r="AS136" s="98">
        <v>344.0670489633877</v>
      </c>
      <c r="AT136" s="98">
        <v>194.08910454344948</v>
      </c>
      <c r="AU136" s="98" t="s">
        <v>736</v>
      </c>
      <c r="AV136" s="98">
        <v>123.51124834583149</v>
      </c>
      <c r="AW136" s="98">
        <v>573.4450816056462</v>
      </c>
      <c r="AX136" s="98">
        <v>255.84472871636524</v>
      </c>
      <c r="AY136" s="98">
        <v>1296.8681076312307</v>
      </c>
      <c r="AZ136" s="98">
        <v>520.5116894574327</v>
      </c>
      <c r="BA136" s="100" t="s">
        <v>736</v>
      </c>
      <c r="BB136" s="100" t="s">
        <v>736</v>
      </c>
      <c r="BC136" s="100" t="s">
        <v>736</v>
      </c>
      <c r="BD136" s="158">
        <v>0.5933081818</v>
      </c>
      <c r="BE136" s="158">
        <v>0.843216629</v>
      </c>
      <c r="BF136" s="162">
        <v>1053</v>
      </c>
      <c r="BG136" s="162">
        <v>22</v>
      </c>
      <c r="BH136" s="162">
        <v>2904</v>
      </c>
      <c r="BI136" s="162">
        <v>909</v>
      </c>
      <c r="BJ136" s="162">
        <v>386</v>
      </c>
      <c r="BK136" s="97"/>
      <c r="BL136" s="97"/>
      <c r="BM136" s="97"/>
      <c r="BN136" s="97"/>
    </row>
    <row r="137" spans="1:66" ht="12.75">
      <c r="A137" s="79" t="s">
        <v>649</v>
      </c>
      <c r="B137" s="79" t="s">
        <v>332</v>
      </c>
      <c r="C137" s="79" t="s">
        <v>216</v>
      </c>
      <c r="D137" s="99">
        <v>9302</v>
      </c>
      <c r="E137" s="99">
        <v>1169</v>
      </c>
      <c r="F137" s="99" t="s">
        <v>440</v>
      </c>
      <c r="G137" s="99">
        <v>34</v>
      </c>
      <c r="H137" s="99">
        <v>26</v>
      </c>
      <c r="I137" s="99">
        <v>172</v>
      </c>
      <c r="J137" s="99">
        <v>708</v>
      </c>
      <c r="K137" s="99" t="s">
        <v>736</v>
      </c>
      <c r="L137" s="99">
        <v>1767</v>
      </c>
      <c r="M137" s="99">
        <v>472</v>
      </c>
      <c r="N137" s="99">
        <v>212</v>
      </c>
      <c r="O137" s="99">
        <v>230</v>
      </c>
      <c r="P137" s="159">
        <v>230</v>
      </c>
      <c r="Q137" s="99">
        <v>25</v>
      </c>
      <c r="R137" s="99">
        <v>36</v>
      </c>
      <c r="S137" s="99">
        <v>34</v>
      </c>
      <c r="T137" s="99">
        <v>40</v>
      </c>
      <c r="U137" s="99">
        <v>7</v>
      </c>
      <c r="V137" s="99">
        <v>46</v>
      </c>
      <c r="W137" s="99">
        <v>72</v>
      </c>
      <c r="X137" s="99">
        <v>43</v>
      </c>
      <c r="Y137" s="99">
        <v>97</v>
      </c>
      <c r="Z137" s="99">
        <v>57</v>
      </c>
      <c r="AA137" s="99" t="s">
        <v>736</v>
      </c>
      <c r="AB137" s="99" t="s">
        <v>736</v>
      </c>
      <c r="AC137" s="99" t="s">
        <v>736</v>
      </c>
      <c r="AD137" s="98" t="s">
        <v>417</v>
      </c>
      <c r="AE137" s="100">
        <v>0.12567189851644808</v>
      </c>
      <c r="AF137" s="100">
        <v>0.07</v>
      </c>
      <c r="AG137" s="98">
        <v>365.51279294775316</v>
      </c>
      <c r="AH137" s="98">
        <v>279.5097828423995</v>
      </c>
      <c r="AI137" s="100">
        <v>0.018000000000000002</v>
      </c>
      <c r="AJ137" s="100">
        <v>0.720244</v>
      </c>
      <c r="AK137" s="100" t="s">
        <v>736</v>
      </c>
      <c r="AL137" s="100">
        <v>0.723884</v>
      </c>
      <c r="AM137" s="100">
        <v>0.527964</v>
      </c>
      <c r="AN137" s="100">
        <v>0.540816</v>
      </c>
      <c r="AO137" s="98">
        <v>2472.5865405289187</v>
      </c>
      <c r="AP137" s="158">
        <v>1.456136322</v>
      </c>
      <c r="AQ137" s="100">
        <v>0.10869565217391304</v>
      </c>
      <c r="AR137" s="100">
        <v>0.6944444444444444</v>
      </c>
      <c r="AS137" s="98">
        <v>365.51279294775316</v>
      </c>
      <c r="AT137" s="98">
        <v>430.01505052676845</v>
      </c>
      <c r="AU137" s="98">
        <v>75.25263384218448</v>
      </c>
      <c r="AV137" s="98">
        <v>494.5173081057837</v>
      </c>
      <c r="AW137" s="98">
        <v>774.0270909481832</v>
      </c>
      <c r="AX137" s="98">
        <v>462.26617931627607</v>
      </c>
      <c r="AY137" s="98">
        <v>1042.7864975274135</v>
      </c>
      <c r="AZ137" s="98">
        <v>612.771447000645</v>
      </c>
      <c r="BA137" s="100" t="s">
        <v>736</v>
      </c>
      <c r="BB137" s="100" t="s">
        <v>736</v>
      </c>
      <c r="BC137" s="100" t="s">
        <v>736</v>
      </c>
      <c r="BD137" s="158">
        <v>1.274017181</v>
      </c>
      <c r="BE137" s="158">
        <v>1.656984558</v>
      </c>
      <c r="BF137" s="162">
        <v>983</v>
      </c>
      <c r="BG137" s="162" t="s">
        <v>736</v>
      </c>
      <c r="BH137" s="162">
        <v>2441</v>
      </c>
      <c r="BI137" s="162">
        <v>894</v>
      </c>
      <c r="BJ137" s="162">
        <v>392</v>
      </c>
      <c r="BK137" s="97"/>
      <c r="BL137" s="97"/>
      <c r="BM137" s="97"/>
      <c r="BN137" s="97"/>
    </row>
    <row r="138" spans="1:66" ht="12.75">
      <c r="A138" s="79" t="s">
        <v>217</v>
      </c>
      <c r="B138" s="94" t="s">
        <v>216</v>
      </c>
      <c r="C138" s="94" t="s">
        <v>7</v>
      </c>
      <c r="D138" s="99">
        <v>1156805</v>
      </c>
      <c r="E138" s="99">
        <v>195205</v>
      </c>
      <c r="F138" s="99">
        <v>79311.62999999999</v>
      </c>
      <c r="G138" s="99">
        <v>4906</v>
      </c>
      <c r="H138" s="99">
        <v>2670</v>
      </c>
      <c r="I138" s="99">
        <v>20728</v>
      </c>
      <c r="J138" s="99">
        <v>100021</v>
      </c>
      <c r="K138" s="99">
        <v>37971</v>
      </c>
      <c r="L138" s="99">
        <v>222636</v>
      </c>
      <c r="M138" s="99">
        <v>68887</v>
      </c>
      <c r="N138" s="99">
        <v>31569</v>
      </c>
      <c r="O138" s="99">
        <v>20119</v>
      </c>
      <c r="P138" s="99">
        <v>20119</v>
      </c>
      <c r="Q138" s="99">
        <v>2136</v>
      </c>
      <c r="R138" s="99">
        <v>4937</v>
      </c>
      <c r="S138" s="99">
        <v>4060</v>
      </c>
      <c r="T138" s="99">
        <v>3351</v>
      </c>
      <c r="U138" s="99">
        <v>769</v>
      </c>
      <c r="V138" s="99">
        <v>4184</v>
      </c>
      <c r="W138" s="99">
        <v>7246</v>
      </c>
      <c r="X138" s="99">
        <v>4049</v>
      </c>
      <c r="Y138" s="99">
        <v>11588</v>
      </c>
      <c r="Z138" s="99">
        <v>6679</v>
      </c>
      <c r="AA138" s="99">
        <v>0</v>
      </c>
      <c r="AB138" s="99">
        <v>0</v>
      </c>
      <c r="AC138" s="99">
        <v>0</v>
      </c>
      <c r="AD138" s="98">
        <v>0</v>
      </c>
      <c r="AE138" s="101">
        <v>0.168744948370728</v>
      </c>
      <c r="AF138" s="101">
        <v>0.06856093291436326</v>
      </c>
      <c r="AG138" s="98">
        <v>424.0991351178461</v>
      </c>
      <c r="AH138" s="98">
        <v>230.8081310160312</v>
      </c>
      <c r="AI138" s="101">
        <v>0.017918318126218333</v>
      </c>
      <c r="AJ138" s="101">
        <v>0.7318484806356965</v>
      </c>
      <c r="AK138" s="101">
        <v>0.7247203878306676</v>
      </c>
      <c r="AL138" s="101">
        <v>0.7654825267153526</v>
      </c>
      <c r="AM138" s="101">
        <v>0.5557958093639819</v>
      </c>
      <c r="AN138" s="101">
        <v>0.5984190772263714</v>
      </c>
      <c r="AO138" s="98">
        <v>1739.1868119518847</v>
      </c>
      <c r="AP138" s="98">
        <v>0</v>
      </c>
      <c r="AQ138" s="101">
        <v>0.106168298623192</v>
      </c>
      <c r="AR138" s="101">
        <v>0.4326514077374924</v>
      </c>
      <c r="AS138" s="98">
        <v>350.9666711329913</v>
      </c>
      <c r="AT138" s="98">
        <v>289.67717117405266</v>
      </c>
      <c r="AU138" s="98">
        <v>66.47619953233259</v>
      </c>
      <c r="AV138" s="98">
        <v>361.6858502513388</v>
      </c>
      <c r="AW138" s="98">
        <v>626.3804184802106</v>
      </c>
      <c r="AX138" s="98">
        <v>350.0157762112024</v>
      </c>
      <c r="AY138" s="98">
        <v>1001.7245776081535</v>
      </c>
      <c r="AZ138" s="98">
        <v>577.3661075116377</v>
      </c>
      <c r="BA138" s="101">
        <v>0</v>
      </c>
      <c r="BB138" s="101">
        <v>0</v>
      </c>
      <c r="BC138" s="101">
        <v>0</v>
      </c>
      <c r="BD138" s="98">
        <v>0</v>
      </c>
      <c r="BE138" s="98">
        <v>0</v>
      </c>
      <c r="BF138" s="99">
        <v>136669</v>
      </c>
      <c r="BG138" s="99">
        <v>52394</v>
      </c>
      <c r="BH138" s="99">
        <v>290844</v>
      </c>
      <c r="BI138" s="99">
        <v>123943</v>
      </c>
      <c r="BJ138" s="99">
        <v>52754</v>
      </c>
      <c r="BK138" s="97"/>
      <c r="BL138" s="97"/>
      <c r="BM138" s="97"/>
      <c r="BN138" s="97"/>
    </row>
    <row r="139" spans="1:66" ht="12.75">
      <c r="A139" s="79" t="s">
        <v>24</v>
      </c>
      <c r="B139" s="94" t="s">
        <v>7</v>
      </c>
      <c r="C139" s="94" t="s">
        <v>7</v>
      </c>
      <c r="D139" s="99">
        <v>54615830</v>
      </c>
      <c r="E139" s="99">
        <v>8737890</v>
      </c>
      <c r="F139" s="99">
        <v>8198344.169999988</v>
      </c>
      <c r="G139" s="99">
        <v>243379</v>
      </c>
      <c r="H139" s="99">
        <v>127868</v>
      </c>
      <c r="I139" s="99">
        <v>870616</v>
      </c>
      <c r="J139" s="99">
        <v>4592627</v>
      </c>
      <c r="K139" s="99">
        <v>1679592</v>
      </c>
      <c r="L139" s="99">
        <v>10150944</v>
      </c>
      <c r="M139" s="99">
        <v>2959539</v>
      </c>
      <c r="N139" s="99">
        <v>1629320</v>
      </c>
      <c r="O139" s="99">
        <v>989730</v>
      </c>
      <c r="P139" s="99">
        <v>989730</v>
      </c>
      <c r="Q139" s="99">
        <v>108072</v>
      </c>
      <c r="R139" s="99">
        <v>238330</v>
      </c>
      <c r="S139" s="99">
        <v>206300</v>
      </c>
      <c r="T139" s="99">
        <v>154264</v>
      </c>
      <c r="U139" s="99">
        <v>38486</v>
      </c>
      <c r="V139" s="99">
        <v>176535</v>
      </c>
      <c r="W139" s="99">
        <v>307276</v>
      </c>
      <c r="X139" s="99">
        <v>221506</v>
      </c>
      <c r="Y139" s="99">
        <v>578574</v>
      </c>
      <c r="Z139" s="99">
        <v>318377</v>
      </c>
      <c r="AA139" s="99">
        <v>0</v>
      </c>
      <c r="AB139" s="99">
        <v>0</v>
      </c>
      <c r="AC139" s="99">
        <v>0</v>
      </c>
      <c r="AD139" s="98">
        <v>0</v>
      </c>
      <c r="AE139" s="101">
        <v>0.1599882305185145</v>
      </c>
      <c r="AF139" s="101">
        <v>0.15010930292554353</v>
      </c>
      <c r="AG139" s="98">
        <v>445.6198871279627</v>
      </c>
      <c r="AH139" s="98">
        <v>234.12259778895606</v>
      </c>
      <c r="AI139" s="101">
        <v>0.015940726342527432</v>
      </c>
      <c r="AJ139" s="101">
        <v>0.7248631360507991</v>
      </c>
      <c r="AK139" s="101">
        <v>0.7467412166569077</v>
      </c>
      <c r="AL139" s="101">
        <v>0.7559681673907895</v>
      </c>
      <c r="AM139" s="101">
        <v>0.5147293797466616</v>
      </c>
      <c r="AN139" s="101">
        <v>0.5752927626212945</v>
      </c>
      <c r="AO139" s="98">
        <v>1812.1669120472948</v>
      </c>
      <c r="AP139" s="98">
        <v>1</v>
      </c>
      <c r="AQ139" s="101">
        <v>0.10919341638628717</v>
      </c>
      <c r="AR139" s="101">
        <v>0.4534552930810221</v>
      </c>
      <c r="AS139" s="98">
        <v>377.7293140102421</v>
      </c>
      <c r="AT139" s="98">
        <v>282.45290788403287</v>
      </c>
      <c r="AU139" s="98">
        <v>70.46674929228394</v>
      </c>
      <c r="AV139" s="98">
        <v>323.23046266988894</v>
      </c>
      <c r="AW139" s="98">
        <v>562.6134400960308</v>
      </c>
      <c r="AX139" s="98">
        <v>405.57105879375996</v>
      </c>
      <c r="AY139" s="98">
        <v>1059.3522061277838</v>
      </c>
      <c r="AZ139" s="98">
        <v>582.9390489900089</v>
      </c>
      <c r="BA139" s="101">
        <v>0</v>
      </c>
      <c r="BB139" s="101">
        <v>0</v>
      </c>
      <c r="BC139" s="101">
        <v>0</v>
      </c>
      <c r="BD139" s="98">
        <v>0</v>
      </c>
      <c r="BE139" s="98">
        <v>0</v>
      </c>
      <c r="BF139" s="99">
        <v>6335854</v>
      </c>
      <c r="BG139" s="99">
        <v>2249229</v>
      </c>
      <c r="BH139" s="99">
        <v>13427740</v>
      </c>
      <c r="BI139" s="99">
        <v>5749699</v>
      </c>
      <c r="BJ139" s="99">
        <v>2832158</v>
      </c>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466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422</v>
      </c>
      <c r="O4" s="75" t="s">
        <v>421</v>
      </c>
      <c r="P4" s="75" t="s">
        <v>548</v>
      </c>
      <c r="Q4" s="75" t="s">
        <v>549</v>
      </c>
      <c r="R4" s="75" t="s">
        <v>550</v>
      </c>
      <c r="S4" s="75" t="s">
        <v>551</v>
      </c>
      <c r="T4" s="39" t="s">
        <v>278</v>
      </c>
      <c r="U4" s="40" t="s">
        <v>279</v>
      </c>
      <c r="V4" s="41" t="s">
        <v>7</v>
      </c>
      <c r="W4" s="24" t="s">
        <v>2</v>
      </c>
      <c r="X4" s="24" t="s">
        <v>3</v>
      </c>
      <c r="Y4" s="75" t="s">
        <v>746</v>
      </c>
      <c r="Z4" s="75" t="s">
        <v>745</v>
      </c>
      <c r="AA4" s="26" t="s">
        <v>280</v>
      </c>
      <c r="AB4" s="24" t="s">
        <v>5</v>
      </c>
      <c r="AC4" s="75" t="s">
        <v>35</v>
      </c>
      <c r="AD4" s="24" t="s">
        <v>6</v>
      </c>
      <c r="AE4" s="24" t="s">
        <v>281</v>
      </c>
      <c r="AF4" s="24" t="s">
        <v>16</v>
      </c>
      <c r="AG4" s="24" t="s">
        <v>15</v>
      </c>
      <c r="AH4" s="24" t="s">
        <v>14</v>
      </c>
      <c r="AI4" s="25" t="s">
        <v>30</v>
      </c>
      <c r="AJ4" s="47" t="s">
        <v>10</v>
      </c>
      <c r="AK4" s="26" t="s">
        <v>21</v>
      </c>
      <c r="AL4" s="25" t="s">
        <v>22</v>
      </c>
      <c r="AQ4" s="102" t="s">
        <v>463</v>
      </c>
      <c r="AR4" s="102" t="s">
        <v>465</v>
      </c>
      <c r="AS4" s="102" t="s">
        <v>464</v>
      </c>
      <c r="AY4" s="102" t="s">
        <v>545</v>
      </c>
      <c r="AZ4" s="102" t="s">
        <v>546</v>
      </c>
      <c r="BA4" s="102" t="s">
        <v>547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486</v>
      </c>
      <c r="BA5" s="103" t="s">
        <v>417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471</v>
      </c>
      <c r="BA6" s="103" t="s">
        <v>417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1835</v>
      </c>
      <c r="E7" s="38">
        <f>IF(LEFT(VLOOKUP($B7,'Indicator chart'!$D$1:$J$36,5,FALSE),1)=" "," ",VLOOKUP($B7,'Indicator chart'!$D$1:$J$36,5,FALSE))</f>
        <v>0.17030162412993038</v>
      </c>
      <c r="F7" s="38">
        <f>IF(LEFT(VLOOKUP($B7,'Indicator chart'!$D$1:$J$36,6,FALSE),1)=" "," ",VLOOKUP($B7,'Indicator chart'!$D$1:$J$36,6,FALSE))</f>
        <v>0.16332173272951417</v>
      </c>
      <c r="G7" s="38">
        <f>IF(LEFT(VLOOKUP($B7,'Indicator chart'!$D$1:$J$36,7,FALSE),1)=" "," ",VLOOKUP($B7,'Indicator chart'!$D$1:$J$36,7,FALSE))</f>
        <v>0.17751652580839777</v>
      </c>
      <c r="H7" s="50">
        <f aca="true" t="shared" si="0" ref="H7:H31">IF(LEFT(F7,1)=" ",4,IF(AND(ABS(N7-E7)&gt;SQRT((E7-G7)^2+(N7-R7)^2),E7&lt;N7),1,IF(AND(ABS(N7-E7)&gt;SQRT((E7-F7)^2+(N7-S7)^2),E7&gt;N7),3,2)))</f>
        <v>2</v>
      </c>
      <c r="I7" s="38">
        <v>0.0458579882979393</v>
      </c>
      <c r="J7" s="38">
        <v>0.14407795667648315</v>
      </c>
      <c r="K7" s="38">
        <v>0.1695856750011444</v>
      </c>
      <c r="L7" s="38">
        <v>0.18983763456344604</v>
      </c>
      <c r="M7" s="38">
        <v>0.24301676452159882</v>
      </c>
      <c r="N7" s="80">
        <f>VLOOKUP('Hide - Control'!B$3,'All practice data'!A:CA,A7+29,FALSE)</f>
        <v>0.168744948370728</v>
      </c>
      <c r="O7" s="80">
        <f>VLOOKUP('Hide - Control'!C$3,'All practice data'!A:CA,A7+29,FALSE)</f>
        <v>0.1599882305185145</v>
      </c>
      <c r="P7" s="38">
        <f>VLOOKUP('Hide - Control'!$B$4,'All practice data'!B:BC,A7+2,FALSE)</f>
        <v>195205</v>
      </c>
      <c r="Q7" s="38">
        <f>VLOOKUP('Hide - Control'!$B$4,'All practice data'!B:BC,3,FALSE)</f>
        <v>1156805</v>
      </c>
      <c r="R7" s="38">
        <f>+((2*P7+1.96^2-1.96*SQRT(1.96^2+4*P7*(1-P7/Q7)))/(2*(Q7+1.96^2)))</f>
        <v>0.16806353943459842</v>
      </c>
      <c r="S7" s="38">
        <f>+((2*P7+1.96^2+1.96*SQRT(1.96^2+4*P7*(1-P7/Q7)))/(2*(Q7+1.96^2)))</f>
        <v>0.16942855741003898</v>
      </c>
      <c r="T7" s="53">
        <f>IF($C7=1,M7,I7)</f>
        <v>0.24301676452159882</v>
      </c>
      <c r="U7" s="51">
        <f aca="true" t="shared" si="1" ref="U7:U15">IF($C7=1,I7,M7)</f>
        <v>0.0458579882979393</v>
      </c>
      <c r="V7" s="7">
        <v>1</v>
      </c>
      <c r="W7" s="27">
        <f aca="true" t="shared" si="2" ref="W7:W31">IF((K7-I7)&gt;(M7-K7),I7,(K7-(M7-K7)))</f>
        <v>0.0458579882979393</v>
      </c>
      <c r="X7" s="27">
        <f aca="true" t="shared" si="3" ref="X7:X31">IF(W7=I7,K7+(K7-I7),M7)</f>
        <v>0.2933133617043495</v>
      </c>
      <c r="Y7" s="27">
        <f aca="true" t="shared" si="4" ref="Y7:Y31">IF(C7=1,W7,X7)</f>
        <v>0.0458579882979393</v>
      </c>
      <c r="Z7" s="27">
        <f aca="true" t="shared" si="5" ref="Z7:Z31">IF(C7=1,X7,W7)</f>
        <v>0.2933133617043495</v>
      </c>
      <c r="AA7" s="32">
        <f aca="true" t="shared" si="6" ref="AA7:AA31">IF(ISERROR(IF(C7=1,(I7-$Y7)/($Z7-$Y7),(U7-$Y7)/($Z7-$Y7))),"",IF(C7=1,(I7-$Y7)/($Z7-$Y7),(U7-$Y7)/($Z7-$Y7)))</f>
        <v>0</v>
      </c>
      <c r="AB7" s="33">
        <f aca="true" t="shared" si="7" ref="AB7:AB31">IF(ISERROR(IF(C7=1,(J7-$Y7)/($Z7-$Y7),(L7-$Y7)/($Z7-$Y7))),"",IF(C7=1,(J7-$Y7)/($Z7-$Y7),(L7-$Y7)/($Z7-$Y7)))</f>
        <v>0.3969199255060489</v>
      </c>
      <c r="AC7" s="33">
        <v>0.5</v>
      </c>
      <c r="AD7" s="33">
        <f aca="true" t="shared" si="8" ref="AD7:AD31">IF(ISERROR(IF(C7=1,(L7-$Y7)/($Z7-$Y7),(J7-$Y7)/($Z7-$Y7))),"",IF(C7=1,(L7-$Y7)/($Z7-$Y7),(J7-$Y7)/($Z7-$Y7)))</f>
        <v>0.5818408559229008</v>
      </c>
      <c r="AE7" s="33">
        <f aca="true" t="shared" si="9" ref="AE7:AE31">IF(ISERROR(IF(C7=1,(M7-$Y7)/($Z7-$Y7),(I7-$Y7)/($Z7-$Y7))),"",IF(C7=1,(M7-$Y7)/($Z7-$Y7),(I7-$Y7)/($Z7-$Y7)))</f>
        <v>0.7967447766828417</v>
      </c>
      <c r="AF7" s="33">
        <f aca="true" t="shared" si="10" ref="AF7:AF30">IF(E7=" ",-999,IF(H7=4,(E7-$Y7)/($Z7-$Y7),-999))</f>
        <v>-999</v>
      </c>
      <c r="AG7" s="33">
        <f aca="true" t="shared" si="11" ref="AG7:AG31">IF(E7=" ",-999,IF(H7=2,(E7-$Y7)/($Z7-$Y7),-999))</f>
        <v>0.5028932454322184</v>
      </c>
      <c r="AH7" s="33">
        <f aca="true" t="shared" si="12" ref="AH7:AH31">IF(E7=" ",-999,IF(MAX(AK7:AL7)&gt;-999,MAX(AK7:AL7),-999))</f>
        <v>-999</v>
      </c>
      <c r="AI7" s="34">
        <f aca="true" t="shared" si="13" ref="AI7:AI31">IF(ISERROR((O7-$Y7)/($Z7-$Y7)),-999,(O7-$Y7)/($Z7-$Y7))</f>
        <v>0.4612154533138083</v>
      </c>
      <c r="AJ7" s="4">
        <v>2.7020512924389086</v>
      </c>
      <c r="AK7" s="32">
        <f aca="true" t="shared" si="14" ref="AK7:AK31">IF(H7=1,(E7-$Y7)/($Z7-$Y7),-999)</f>
        <v>-999</v>
      </c>
      <c r="AL7" s="34">
        <f aca="true" t="shared" si="15" ref="AL7:AL31">IF(H7=3,(E7-$Y7)/($Z7-$Y7),-999)</f>
        <v>-999</v>
      </c>
      <c r="AQ7" s="103">
        <v>2</v>
      </c>
      <c r="AR7" s="103">
        <v>0.2422</v>
      </c>
      <c r="AS7" s="103">
        <v>7.2247</v>
      </c>
      <c r="AY7" s="103" t="s">
        <v>68</v>
      </c>
      <c r="AZ7" s="103" t="s">
        <v>470</v>
      </c>
      <c r="BA7" s="103" t="s">
        <v>417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0.08474143507903814</v>
      </c>
      <c r="G8" s="38">
        <f>IF(LEFT(VLOOKUP($B8,'Indicator chart'!$D$1:$J$36,7,FALSE),1)=" "," ",VLOOKUP($B8,'Indicator chart'!$D$1:$J$36,7,FALSE))</f>
        <v>0.09555081450741092</v>
      </c>
      <c r="H8" s="50">
        <f t="shared" si="0"/>
        <v>3</v>
      </c>
      <c r="I8" s="38">
        <v>0.029999999329447746</v>
      </c>
      <c r="J8" s="38">
        <v>0.05999999865889549</v>
      </c>
      <c r="K8" s="38">
        <v>0.07000000029802322</v>
      </c>
      <c r="L8" s="38">
        <v>0.07999999821186066</v>
      </c>
      <c r="M8" s="38">
        <v>0.1899999976158142</v>
      </c>
      <c r="N8" s="80">
        <f>VLOOKUP('Hide - Control'!B$3,'All practice data'!A:CA,A8+29,FALSE)</f>
        <v>0.06856093291436326</v>
      </c>
      <c r="O8" s="80">
        <f>VLOOKUP('Hide - Control'!C$3,'All practice data'!A:CA,A8+29,FALSE)</f>
        <v>0.15010930292554353</v>
      </c>
      <c r="P8" s="38">
        <f>VLOOKUP('Hide - Control'!$B$4,'All practice data'!B:BC,A8+2,FALSE)</f>
        <v>79311.62999999999</v>
      </c>
      <c r="Q8" s="38">
        <f>VLOOKUP('Hide - Control'!$B$4,'All practice data'!B:BC,3,FALSE)</f>
        <v>1156805</v>
      </c>
      <c r="R8" s="38">
        <f>+((2*P8+1.96^2-1.96*SQRT(1.96^2+4*P8*(1-P8/Q8)))/(2*(Q8+1.96^2)))</f>
        <v>0.06810185153588165</v>
      </c>
      <c r="S8" s="38">
        <f>+((2*P8+1.96^2+1.96*SQRT(1.96^2+4*P8*(1-P8/Q8)))/(2*(Q8+1.96^2)))</f>
        <v>0.0690228797901691</v>
      </c>
      <c r="T8" s="53">
        <f aca="true" t="shared" si="16" ref="T8:T15">IF($C8=1,M8,I8)</f>
        <v>0.1899999976158142</v>
      </c>
      <c r="U8" s="51">
        <f t="shared" si="1"/>
        <v>0.029999999329447746</v>
      </c>
      <c r="V8" s="7"/>
      <c r="W8" s="27">
        <f t="shared" si="2"/>
        <v>-0.04999999701976776</v>
      </c>
      <c r="X8" s="27">
        <f t="shared" si="3"/>
        <v>0.1899999976158142</v>
      </c>
      <c r="Y8" s="27">
        <f t="shared" si="4"/>
        <v>-0.04999999701976776</v>
      </c>
      <c r="Z8" s="27">
        <f t="shared" si="5"/>
        <v>0.1899999976158142</v>
      </c>
      <c r="AA8" s="32">
        <f t="shared" si="6"/>
        <v>0.3333333255723117</v>
      </c>
      <c r="AB8" s="33">
        <f t="shared" si="7"/>
        <v>0.4583333255723117</v>
      </c>
      <c r="AC8" s="33">
        <v>0.5</v>
      </c>
      <c r="AD8" s="33">
        <f t="shared" si="8"/>
        <v>0.541666658905645</v>
      </c>
      <c r="AE8" s="33">
        <f t="shared" si="9"/>
        <v>1</v>
      </c>
      <c r="AF8" s="33">
        <f t="shared" si="10"/>
        <v>-999</v>
      </c>
      <c r="AG8" s="33">
        <f t="shared" si="11"/>
        <v>-999</v>
      </c>
      <c r="AH8" s="33">
        <f t="shared" si="12"/>
        <v>0.583333333954215</v>
      </c>
      <c r="AI8" s="34">
        <f t="shared" si="13"/>
        <v>0.8337887684087616</v>
      </c>
      <c r="AJ8" s="4">
        <v>3.778046717820832</v>
      </c>
      <c r="AK8" s="32">
        <f t="shared" si="14"/>
        <v>-999</v>
      </c>
      <c r="AL8" s="34">
        <f t="shared" si="15"/>
        <v>0.583333333954215</v>
      </c>
      <c r="AQ8" s="103">
        <v>3</v>
      </c>
      <c r="AR8" s="103">
        <v>0.6187</v>
      </c>
      <c r="AS8" s="103">
        <v>8.7673</v>
      </c>
      <c r="AY8" s="103" t="s">
        <v>118</v>
      </c>
      <c r="AZ8" s="103" t="s">
        <v>119</v>
      </c>
      <c r="BA8" s="103" t="s">
        <v>417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44</v>
      </c>
      <c r="E9" s="38">
        <f>IF(LEFT(VLOOKUP($B9,'Indicator chart'!$D$1:$J$36,5,FALSE),1)=" "," ",VLOOKUP($B9,'Indicator chart'!$D$1:$J$36,5,FALSE))</f>
        <v>408.3526682134571</v>
      </c>
      <c r="F9" s="38">
        <f>IF(LEFT(VLOOKUP($B9,'Indicator chart'!$D$1:$J$36,6,FALSE),1)=" "," ",VLOOKUP($B9,'Indicator chart'!$D$1:$J$36,6,FALSE))</f>
        <v>296.67913008197996</v>
      </c>
      <c r="G9" s="38">
        <f>IF(LEFT(VLOOKUP($B9,'Indicator chart'!$D$1:$J$36,7,FALSE),1)=" "," ",VLOOKUP($B9,'Indicator chart'!$D$1:$J$36,7,FALSE))</f>
        <v>548.2103329399571</v>
      </c>
      <c r="H9" s="50">
        <f t="shared" si="0"/>
        <v>2</v>
      </c>
      <c r="I9" s="38">
        <v>92.60600280761719</v>
      </c>
      <c r="J9" s="38">
        <v>337.7970275878906</v>
      </c>
      <c r="K9" s="38">
        <v>418.8520812988281</v>
      </c>
      <c r="L9" s="38">
        <v>502.16497802734375</v>
      </c>
      <c r="M9" s="38">
        <v>720.52099609375</v>
      </c>
      <c r="N9" s="80">
        <f>VLOOKUP('Hide - Control'!B$3,'All practice data'!A:CA,A9+29,FALSE)</f>
        <v>424.0991351178461</v>
      </c>
      <c r="O9" s="80">
        <f>VLOOKUP('Hide - Control'!C$3,'All practice data'!A:CA,A9+29,FALSE)</f>
        <v>445.6198871279627</v>
      </c>
      <c r="P9" s="38">
        <f>VLOOKUP('Hide - Control'!$B$4,'All practice data'!B:BC,A9+2,FALSE)</f>
        <v>4906</v>
      </c>
      <c r="Q9" s="38">
        <f>VLOOKUP('Hide - Control'!$B$4,'All practice data'!B:BC,3,FALSE)</f>
        <v>1156805</v>
      </c>
      <c r="R9" s="38">
        <f>100000*(P9*(1-1/(9*P9)-1.96/(3*SQRT(P9)))^3)/Q9</f>
        <v>412.3136951471921</v>
      </c>
      <c r="S9" s="38">
        <f>100000*((P9+1)*(1-1/(9*(P9+1))+1.96/(3*SQRT(P9+1)))^3)/Q9</f>
        <v>436.1359872151192</v>
      </c>
      <c r="T9" s="53">
        <f t="shared" si="16"/>
        <v>720.52099609375</v>
      </c>
      <c r="U9" s="51">
        <f t="shared" si="1"/>
        <v>92.60600280761719</v>
      </c>
      <c r="V9" s="7"/>
      <c r="W9" s="27">
        <f t="shared" si="2"/>
        <v>92.60600280761719</v>
      </c>
      <c r="X9" s="27">
        <f t="shared" si="3"/>
        <v>745.0981597900391</v>
      </c>
      <c r="Y9" s="27">
        <f t="shared" si="4"/>
        <v>92.60600280761719</v>
      </c>
      <c r="Z9" s="27">
        <f t="shared" si="5"/>
        <v>745.0981597900391</v>
      </c>
      <c r="AA9" s="32">
        <f t="shared" si="6"/>
        <v>0</v>
      </c>
      <c r="AB9" s="33">
        <f t="shared" si="7"/>
        <v>0.3757762022982889</v>
      </c>
      <c r="AC9" s="33">
        <v>0.5</v>
      </c>
      <c r="AD9" s="33">
        <f t="shared" si="8"/>
        <v>0.627684135107175</v>
      </c>
      <c r="AE9" s="33">
        <f t="shared" si="9"/>
        <v>0.9623333959906109</v>
      </c>
      <c r="AF9" s="33">
        <f t="shared" si="10"/>
        <v>-999</v>
      </c>
      <c r="AG9" s="33">
        <f t="shared" si="11"/>
        <v>0.48390875204703204</v>
      </c>
      <c r="AH9" s="33">
        <f t="shared" si="12"/>
        <v>-999</v>
      </c>
      <c r="AI9" s="34">
        <f t="shared" si="13"/>
        <v>0.5410239503152461</v>
      </c>
      <c r="AJ9" s="4">
        <v>4.854042143202755</v>
      </c>
      <c r="AK9" s="32">
        <f t="shared" si="14"/>
        <v>-999</v>
      </c>
      <c r="AL9" s="34">
        <f t="shared" si="15"/>
        <v>-999</v>
      </c>
      <c r="AQ9" s="103">
        <v>4</v>
      </c>
      <c r="AR9" s="103">
        <v>1.0899</v>
      </c>
      <c r="AS9" s="103">
        <v>10.2416</v>
      </c>
      <c r="AY9" s="103" t="s">
        <v>90</v>
      </c>
      <c r="AZ9" s="103" t="s">
        <v>480</v>
      </c>
      <c r="BA9" s="103" t="s">
        <v>417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21</v>
      </c>
      <c r="E10" s="38">
        <f>IF(LEFT(VLOOKUP($B10,'Indicator chart'!$D$1:$J$36,5,FALSE),1)=" "," ",VLOOKUP($B10,'Indicator chart'!$D$1:$J$36,5,FALSE))</f>
        <v>194.8955916473318</v>
      </c>
      <c r="F10" s="38">
        <f>IF(LEFT(VLOOKUP($B10,'Indicator chart'!$D$1:$J$36,6,FALSE),1)=" "," ",VLOOKUP($B10,'Indicator chart'!$D$1:$J$36,6,FALSE))</f>
        <v>120.59653514850267</v>
      </c>
      <c r="G10" s="38">
        <f>IF(LEFT(VLOOKUP($B10,'Indicator chart'!$D$1:$J$36,7,FALSE),1)=" "," ",VLOOKUP($B10,'Indicator chart'!$D$1:$J$36,7,FALSE))</f>
        <v>297.9346413373153</v>
      </c>
      <c r="H10" s="50">
        <f t="shared" si="0"/>
        <v>2</v>
      </c>
      <c r="I10" s="38">
        <v>44.173431396484375</v>
      </c>
      <c r="J10" s="38">
        <v>188.68638610839844</v>
      </c>
      <c r="K10" s="38">
        <v>227.98519897460938</v>
      </c>
      <c r="L10" s="38">
        <v>269.90289306640625</v>
      </c>
      <c r="M10" s="38">
        <v>479.9191589355469</v>
      </c>
      <c r="N10" s="80">
        <f>VLOOKUP('Hide - Control'!B$3,'All practice data'!A:CA,A10+29,FALSE)</f>
        <v>230.8081310160312</v>
      </c>
      <c r="O10" s="80">
        <f>VLOOKUP('Hide - Control'!C$3,'All practice data'!A:CA,A10+29,FALSE)</f>
        <v>234.12259778895606</v>
      </c>
      <c r="P10" s="38">
        <f>VLOOKUP('Hide - Control'!$B$4,'All practice data'!B:BC,A10+2,FALSE)</f>
        <v>2670</v>
      </c>
      <c r="Q10" s="38">
        <f>VLOOKUP('Hide - Control'!$B$4,'All practice data'!B:BC,3,FALSE)</f>
        <v>1156805</v>
      </c>
      <c r="R10" s="38">
        <f>100000*(P10*(1-1/(9*P10)-1.96/(3*SQRT(P10)))^3)/Q10</f>
        <v>222.13536325736135</v>
      </c>
      <c r="S10" s="38">
        <f>100000*((P10+1)*(1-1/(9*(P10+1))+1.96/(3*SQRT(P10+1)))^3)/Q10</f>
        <v>239.73273773979633</v>
      </c>
      <c r="T10" s="53">
        <f t="shared" si="16"/>
        <v>479.9191589355469</v>
      </c>
      <c r="U10" s="51">
        <f t="shared" si="1"/>
        <v>44.173431396484375</v>
      </c>
      <c r="V10" s="7"/>
      <c r="W10" s="27">
        <f t="shared" si="2"/>
        <v>-23.948760986328125</v>
      </c>
      <c r="X10" s="27">
        <f t="shared" si="3"/>
        <v>479.9191589355469</v>
      </c>
      <c r="Y10" s="27">
        <f t="shared" si="4"/>
        <v>-23.948760986328125</v>
      </c>
      <c r="Z10" s="27">
        <f t="shared" si="5"/>
        <v>479.9191589355469</v>
      </c>
      <c r="AA10" s="32">
        <f t="shared" si="6"/>
        <v>0.13519851073943123</v>
      </c>
      <c r="AB10" s="33">
        <f t="shared" si="7"/>
        <v>0.42200572548396365</v>
      </c>
      <c r="AC10" s="33">
        <v>0.5</v>
      </c>
      <c r="AD10" s="33">
        <f t="shared" si="8"/>
        <v>0.5831918295141636</v>
      </c>
      <c r="AE10" s="33">
        <f t="shared" si="9"/>
        <v>1</v>
      </c>
      <c r="AF10" s="33">
        <f t="shared" si="10"/>
        <v>-999</v>
      </c>
      <c r="AG10" s="33">
        <f t="shared" si="11"/>
        <v>0.43432880717548333</v>
      </c>
      <c r="AH10" s="33">
        <f t="shared" si="12"/>
        <v>-999</v>
      </c>
      <c r="AI10" s="34">
        <f t="shared" si="13"/>
        <v>0.5121805706846713</v>
      </c>
      <c r="AJ10" s="4">
        <v>5.930037568584676</v>
      </c>
      <c r="AK10" s="32">
        <f t="shared" si="14"/>
        <v>-999</v>
      </c>
      <c r="AL10" s="34">
        <f t="shared" si="15"/>
        <v>-999</v>
      </c>
      <c r="AY10" s="103" t="s">
        <v>96</v>
      </c>
      <c r="AZ10" s="103" t="s">
        <v>97</v>
      </c>
      <c r="BA10" s="103" t="s">
        <v>597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148</v>
      </c>
      <c r="E11" s="38">
        <f>IF(LEFT(VLOOKUP($B11,'Indicator chart'!$D$1:$J$36,5,FALSE),1)=" "," ",VLOOKUP($B11,'Indicator chart'!$D$1:$J$36,5,FALSE))</f>
        <v>0.013999999999999999</v>
      </c>
      <c r="F11" s="38">
        <f>IF(LEFT(VLOOKUP($B11,'Indicator chart'!$D$1:$J$36,6,FALSE),1)=" "," ",VLOOKUP($B11,'Indicator chart'!$D$1:$J$36,6,FALSE))</f>
        <v>0.011704682627043946</v>
      </c>
      <c r="G11" s="38">
        <f>IF(LEFT(VLOOKUP($B11,'Indicator chart'!$D$1:$J$36,7,FALSE),1)=" "," ",VLOOKUP($B11,'Indicator chart'!$D$1:$J$36,7,FALSE))</f>
        <v>0.016112926270743365</v>
      </c>
      <c r="H11" s="50">
        <f t="shared" si="0"/>
        <v>1</v>
      </c>
      <c r="I11" s="38">
        <v>0.003000000026077032</v>
      </c>
      <c r="J11" s="38">
        <v>0.014999999664723873</v>
      </c>
      <c r="K11" s="38">
        <v>0.017999999225139618</v>
      </c>
      <c r="L11" s="38">
        <v>0.020999999716877937</v>
      </c>
      <c r="M11" s="38">
        <v>0.028999999165534973</v>
      </c>
      <c r="N11" s="80">
        <f>VLOOKUP('Hide - Control'!B$3,'All practice data'!A:CA,A11+29,FALSE)</f>
        <v>0.017918318126218333</v>
      </c>
      <c r="O11" s="80">
        <f>VLOOKUP('Hide - Control'!C$3,'All practice data'!A:CA,A11+29,FALSE)</f>
        <v>0.015940726342527432</v>
      </c>
      <c r="P11" s="38">
        <f>VLOOKUP('Hide - Control'!$B$4,'All practice data'!B:BC,A11+2,FALSE)</f>
        <v>20728</v>
      </c>
      <c r="Q11" s="38">
        <f>VLOOKUP('Hide - Control'!$B$4,'All practice data'!B:BC,3,FALSE)</f>
        <v>1156805</v>
      </c>
      <c r="R11" s="80">
        <f aca="true" t="shared" si="17" ref="R11:R16">+((2*P11+1.96^2-1.96*SQRT(1.96^2+4*P11*(1-P11/Q11)))/(2*(Q11+1.96^2)))</f>
        <v>0.017678174206964315</v>
      </c>
      <c r="S11" s="80">
        <f aca="true" t="shared" si="18" ref="S11:S16">+((2*P11+1.96^2+1.96*SQRT(1.96^2+4*P11*(1-P11/Q11)))/(2*(Q11+1.96^2)))</f>
        <v>0.0181616638968457</v>
      </c>
      <c r="T11" s="53">
        <f t="shared" si="16"/>
        <v>0.028999999165534973</v>
      </c>
      <c r="U11" s="51">
        <f t="shared" si="1"/>
        <v>0.003000000026077032</v>
      </c>
      <c r="V11" s="7"/>
      <c r="W11" s="27">
        <f t="shared" si="2"/>
        <v>0.003000000026077032</v>
      </c>
      <c r="X11" s="27">
        <f t="shared" si="3"/>
        <v>0.032999998424202204</v>
      </c>
      <c r="Y11" s="27">
        <f t="shared" si="4"/>
        <v>0.003000000026077032</v>
      </c>
      <c r="Z11" s="27">
        <f t="shared" si="5"/>
        <v>0.032999998424202204</v>
      </c>
      <c r="AA11" s="32">
        <f t="shared" si="6"/>
        <v>0</v>
      </c>
      <c r="AB11" s="33">
        <f t="shared" si="7"/>
        <v>0.40000000931322627</v>
      </c>
      <c r="AC11" s="33">
        <v>0.5</v>
      </c>
      <c r="AD11" s="33">
        <f t="shared" si="8"/>
        <v>0.6000000217308612</v>
      </c>
      <c r="AE11" s="33">
        <f t="shared" si="9"/>
        <v>0.8666666842583163</v>
      </c>
      <c r="AF11" s="33">
        <f t="shared" si="10"/>
        <v>-999</v>
      </c>
      <c r="AG11" s="33">
        <f t="shared" si="11"/>
        <v>-999</v>
      </c>
      <c r="AH11" s="33">
        <f t="shared" si="12"/>
        <v>0.36666668537590336</v>
      </c>
      <c r="AI11" s="34">
        <f t="shared" si="13"/>
        <v>0.43135756691437427</v>
      </c>
      <c r="AJ11" s="4">
        <v>7.0060329939666</v>
      </c>
      <c r="AK11" s="32">
        <f t="shared" si="14"/>
        <v>0.36666668537590336</v>
      </c>
      <c r="AL11" s="34">
        <f t="shared" si="15"/>
        <v>-999</v>
      </c>
      <c r="AY11" s="103" t="s">
        <v>214</v>
      </c>
      <c r="AZ11" s="103" t="s">
        <v>215</v>
      </c>
      <c r="BA11" s="103" t="s">
        <v>597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711</v>
      </c>
      <c r="E12" s="38">
        <f>IF(LEFT(VLOOKUP($B12,'Indicator chart'!$D$1:$J$36,5,FALSE),1)=" "," ",VLOOKUP($B12,'Indicator chart'!$D$1:$J$36,5,FALSE))</f>
        <v>0.610825</v>
      </c>
      <c r="F12" s="38">
        <f>IF(LEFT(VLOOKUP($B12,'Indicator chart'!$D$1:$J$36,6,FALSE),1)=" "," ",VLOOKUP($B12,'Indicator chart'!$D$1:$J$36,6,FALSE))</f>
        <v>0.582494084528954</v>
      </c>
      <c r="G12" s="38">
        <f>IF(LEFT(VLOOKUP($B12,'Indicator chart'!$D$1:$J$36,7,FALSE),1)=" "," ",VLOOKUP($B12,'Indicator chart'!$D$1:$J$36,7,FALSE))</f>
        <v>0.6384262868638787</v>
      </c>
      <c r="H12" s="50">
        <f t="shared" si="0"/>
        <v>1</v>
      </c>
      <c r="I12" s="38">
        <v>0.4183669984340668</v>
      </c>
      <c r="J12" s="38">
        <v>0.6925305128097534</v>
      </c>
      <c r="K12" s="38">
        <v>0.733909010887146</v>
      </c>
      <c r="L12" s="38">
        <v>0.7593305110931396</v>
      </c>
      <c r="M12" s="38">
        <v>0.816215991973877</v>
      </c>
      <c r="N12" s="80">
        <f>VLOOKUP('Hide - Control'!B$3,'All practice data'!A:CA,A12+29,FALSE)</f>
        <v>0.7318484806356965</v>
      </c>
      <c r="O12" s="80">
        <f>VLOOKUP('Hide - Control'!C$3,'All practice data'!A:CA,A12+29,FALSE)</f>
        <v>0.7248631360507991</v>
      </c>
      <c r="P12" s="38">
        <f>VLOOKUP('Hide - Control'!$B$4,'All practice data'!B:BC,A12+2,FALSE)</f>
        <v>100021</v>
      </c>
      <c r="Q12" s="38">
        <f>VLOOKUP('Hide - Control'!$B$4,'All practice data'!B:BJ,57,FALSE)</f>
        <v>136669</v>
      </c>
      <c r="R12" s="38">
        <f t="shared" si="17"/>
        <v>0.7294933189890519</v>
      </c>
      <c r="S12" s="38">
        <f t="shared" si="18"/>
        <v>0.7341906086889396</v>
      </c>
      <c r="T12" s="53">
        <f t="shared" si="16"/>
        <v>0.816215991973877</v>
      </c>
      <c r="U12" s="51">
        <f t="shared" si="1"/>
        <v>0.4183669984340668</v>
      </c>
      <c r="V12" s="7"/>
      <c r="W12" s="27">
        <f t="shared" si="2"/>
        <v>0.4183669984340668</v>
      </c>
      <c r="X12" s="27">
        <f t="shared" si="3"/>
        <v>1.0494510233402252</v>
      </c>
      <c r="Y12" s="27">
        <f t="shared" si="4"/>
        <v>0.4183669984340668</v>
      </c>
      <c r="Z12" s="27">
        <f t="shared" si="5"/>
        <v>1.0494510233402252</v>
      </c>
      <c r="AA12" s="32">
        <f t="shared" si="6"/>
        <v>0</v>
      </c>
      <c r="AB12" s="33">
        <f t="shared" si="7"/>
        <v>0.43443266436106426</v>
      </c>
      <c r="AC12" s="33">
        <v>0.5</v>
      </c>
      <c r="AD12" s="33">
        <f t="shared" si="8"/>
        <v>0.540282274947102</v>
      </c>
      <c r="AE12" s="33">
        <f t="shared" si="9"/>
        <v>0.6304215886291369</v>
      </c>
      <c r="AF12" s="33">
        <f t="shared" si="10"/>
        <v>-999</v>
      </c>
      <c r="AG12" s="33">
        <f t="shared" si="11"/>
        <v>-999</v>
      </c>
      <c r="AH12" s="33">
        <f t="shared" si="12"/>
        <v>0.30496414735668753</v>
      </c>
      <c r="AI12" s="34">
        <f t="shared" si="13"/>
        <v>0.48566613243348694</v>
      </c>
      <c r="AJ12" s="4">
        <v>8.082028419348523</v>
      </c>
      <c r="AK12" s="32">
        <f t="shared" si="14"/>
        <v>0.30496414735668753</v>
      </c>
      <c r="AL12" s="34">
        <f t="shared" si="15"/>
        <v>-999</v>
      </c>
      <c r="AY12" s="103" t="s">
        <v>261</v>
      </c>
      <c r="AZ12" s="103" t="s">
        <v>533</v>
      </c>
      <c r="BA12" s="103" t="s">
        <v>417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24</v>
      </c>
      <c r="E13" s="38">
        <f>IF(LEFT(VLOOKUP($B13,'Indicator chart'!$D$1:$J$36,5,FALSE),1)=" "," ",VLOOKUP($B13,'Indicator chart'!$D$1:$J$36,5,FALSE))</f>
        <v>0.521739</v>
      </c>
      <c r="F13" s="38">
        <f>IF(LEFT(VLOOKUP($B13,'Indicator chart'!$D$1:$J$36,6,FALSE),1)=" "," ",VLOOKUP($B13,'Indicator chart'!$D$1:$J$36,6,FALSE))</f>
        <v>0.38137172148151327</v>
      </c>
      <c r="G13" s="38">
        <f>IF(LEFT(VLOOKUP($B13,'Indicator chart'!$D$1:$J$36,7,FALSE),1)=" "," ",VLOOKUP($B13,'Indicator chart'!$D$1:$J$36,7,FALSE))</f>
        <v>0.6587554012432789</v>
      </c>
      <c r="H13" s="50">
        <f t="shared" si="0"/>
        <v>1</v>
      </c>
      <c r="I13" s="38">
        <v>0.2105260044336319</v>
      </c>
      <c r="J13" s="38">
        <v>0.5</v>
      </c>
      <c r="K13" s="38">
        <v>0.6285269856452942</v>
      </c>
      <c r="L13" s="38">
        <v>0.7431790232658386</v>
      </c>
      <c r="M13" s="38">
        <v>1</v>
      </c>
      <c r="N13" s="80">
        <f>VLOOKUP('Hide - Control'!B$3,'All practice data'!A:CA,A13+29,FALSE)</f>
        <v>0.7247203878306676</v>
      </c>
      <c r="O13" s="80">
        <f>VLOOKUP('Hide - Control'!C$3,'All practice data'!A:CA,A13+29,FALSE)</f>
        <v>0.7467412166569077</v>
      </c>
      <c r="P13" s="38">
        <f>VLOOKUP('Hide - Control'!$B$4,'All practice data'!B:BC,A13+2,FALSE)</f>
        <v>37971</v>
      </c>
      <c r="Q13" s="38">
        <f>VLOOKUP('Hide - Control'!$B$4,'All practice data'!B:BJ,58,FALSE)</f>
        <v>52394</v>
      </c>
      <c r="R13" s="38">
        <f t="shared" si="17"/>
        <v>0.7208794034204654</v>
      </c>
      <c r="S13" s="38">
        <f t="shared" si="18"/>
        <v>0.7285284210422888</v>
      </c>
      <c r="T13" s="53">
        <f t="shared" si="16"/>
        <v>1</v>
      </c>
      <c r="U13" s="51">
        <f t="shared" si="1"/>
        <v>0.2105260044336319</v>
      </c>
      <c r="V13" s="7"/>
      <c r="W13" s="27">
        <f t="shared" si="2"/>
        <v>0.2105260044336319</v>
      </c>
      <c r="X13" s="27">
        <f t="shared" si="3"/>
        <v>1.0465279668569565</v>
      </c>
      <c r="Y13" s="27">
        <f t="shared" si="4"/>
        <v>0.2105260044336319</v>
      </c>
      <c r="Z13" s="27">
        <f t="shared" si="5"/>
        <v>1.0465279668569565</v>
      </c>
      <c r="AA13" s="32">
        <f t="shared" si="6"/>
        <v>0</v>
      </c>
      <c r="AB13" s="33">
        <f t="shared" si="7"/>
        <v>0.346259947437525</v>
      </c>
      <c r="AC13" s="33">
        <v>0.5</v>
      </c>
      <c r="AD13" s="33">
        <f t="shared" si="8"/>
        <v>0.6371432637409149</v>
      </c>
      <c r="AE13" s="33">
        <f t="shared" si="9"/>
        <v>0.9443446678975662</v>
      </c>
      <c r="AF13" s="33">
        <f t="shared" si="10"/>
        <v>-999</v>
      </c>
      <c r="AG13" s="33">
        <f t="shared" si="11"/>
        <v>-999</v>
      </c>
      <c r="AH13" s="33">
        <f t="shared" si="12"/>
        <v>0.3722634749136866</v>
      </c>
      <c r="AI13" s="34">
        <f t="shared" si="13"/>
        <v>0.6414042506179592</v>
      </c>
      <c r="AJ13" s="4">
        <v>9.158023844730446</v>
      </c>
      <c r="AK13" s="32">
        <f t="shared" si="14"/>
        <v>0.3722634749136866</v>
      </c>
      <c r="AL13" s="34">
        <f t="shared" si="15"/>
        <v>-999</v>
      </c>
      <c r="AY13" s="103" t="s">
        <v>260</v>
      </c>
      <c r="AZ13" s="103" t="s">
        <v>532</v>
      </c>
      <c r="BA13" s="103" t="s">
        <v>417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2020</v>
      </c>
      <c r="E14" s="38">
        <f>IF(LEFT(VLOOKUP($B14,'Indicator chart'!$D$1:$J$36,5,FALSE),1)=" "," ",VLOOKUP($B14,'Indicator chart'!$D$1:$J$36,5,FALSE))</f>
        <v>0.749258</v>
      </c>
      <c r="F14" s="38">
        <f>IF(LEFT(VLOOKUP($B14,'Indicator chart'!$D$1:$J$36,6,FALSE),1)=" "," ",VLOOKUP($B14,'Indicator chart'!$D$1:$J$36,6,FALSE))</f>
        <v>0.7325497082404342</v>
      </c>
      <c r="G14" s="38">
        <f>IF(LEFT(VLOOKUP($B14,'Indicator chart'!$D$1:$J$36,7,FALSE),1)=" "," ",VLOOKUP($B14,'Indicator chart'!$D$1:$J$36,7,FALSE))</f>
        <v>0.7652572742136475</v>
      </c>
      <c r="H14" s="50">
        <f t="shared" si="0"/>
        <v>1</v>
      </c>
      <c r="I14" s="38">
        <v>0.5812568068504333</v>
      </c>
      <c r="J14" s="38">
        <v>0.7428927421569824</v>
      </c>
      <c r="K14" s="38">
        <v>0.7705370187759399</v>
      </c>
      <c r="L14" s="38">
        <v>0.7906367778778076</v>
      </c>
      <c r="M14" s="38">
        <v>0.8802400231361389</v>
      </c>
      <c r="N14" s="80">
        <f>VLOOKUP('Hide - Control'!B$3,'All practice data'!A:CA,A14+29,FALSE)</f>
        <v>0.7654825267153526</v>
      </c>
      <c r="O14" s="80">
        <f>VLOOKUP('Hide - Control'!C$3,'All practice data'!A:CA,A14+29,FALSE)</f>
        <v>0.7559681673907895</v>
      </c>
      <c r="P14" s="38">
        <f>VLOOKUP('Hide - Control'!$B$4,'All practice data'!B:BC,A14+2,FALSE)</f>
        <v>222636</v>
      </c>
      <c r="Q14" s="38">
        <f>VLOOKUP('Hide - Control'!$B$4,'All practice data'!B:BJ,59,FALSE)</f>
        <v>290844</v>
      </c>
      <c r="R14" s="38">
        <f t="shared" si="17"/>
        <v>0.7639391662420193</v>
      </c>
      <c r="S14" s="38">
        <f t="shared" si="18"/>
        <v>0.7670188740530957</v>
      </c>
      <c r="T14" s="53">
        <f t="shared" si="16"/>
        <v>0.8802400231361389</v>
      </c>
      <c r="U14" s="51">
        <f t="shared" si="1"/>
        <v>0.5812568068504333</v>
      </c>
      <c r="V14" s="7"/>
      <c r="W14" s="27">
        <f t="shared" si="2"/>
        <v>0.5812568068504333</v>
      </c>
      <c r="X14" s="27">
        <f t="shared" si="3"/>
        <v>0.9598172307014465</v>
      </c>
      <c r="Y14" s="27">
        <f t="shared" si="4"/>
        <v>0.5812568068504333</v>
      </c>
      <c r="Z14" s="27">
        <f t="shared" si="5"/>
        <v>0.9598172307014465</v>
      </c>
      <c r="AA14" s="32">
        <f t="shared" si="6"/>
        <v>0</v>
      </c>
      <c r="AB14" s="33">
        <f t="shared" si="7"/>
        <v>0.4269752597544712</v>
      </c>
      <c r="AC14" s="33">
        <v>0.5</v>
      </c>
      <c r="AD14" s="33">
        <f t="shared" si="8"/>
        <v>0.5530952467175443</v>
      </c>
      <c r="AE14" s="33">
        <f t="shared" si="9"/>
        <v>0.7897899448764719</v>
      </c>
      <c r="AF14" s="33">
        <f t="shared" si="10"/>
        <v>-999</v>
      </c>
      <c r="AG14" s="33">
        <f t="shared" si="11"/>
        <v>-999</v>
      </c>
      <c r="AH14" s="33">
        <f t="shared" si="12"/>
        <v>0.4437896371747656</v>
      </c>
      <c r="AI14" s="34">
        <f t="shared" si="13"/>
        <v>0.4615151229044372</v>
      </c>
      <c r="AJ14" s="4">
        <v>10.234019270112368</v>
      </c>
      <c r="AK14" s="32">
        <f t="shared" si="14"/>
        <v>0.4437896371747656</v>
      </c>
      <c r="AL14" s="34">
        <f t="shared" si="15"/>
        <v>-999</v>
      </c>
      <c r="AY14" s="103" t="s">
        <v>53</v>
      </c>
      <c r="AZ14" s="103" t="s">
        <v>540</v>
      </c>
      <c r="BA14" s="103" t="s">
        <v>597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515</v>
      </c>
      <c r="E15" s="38">
        <f>IF(LEFT(VLOOKUP($B15,'Indicator chart'!$D$1:$J$36,5,FALSE),1)=" "," ",VLOOKUP($B15,'Indicator chart'!$D$1:$J$36,5,FALSE))</f>
        <v>0.469462</v>
      </c>
      <c r="F15" s="38">
        <f>IF(LEFT(VLOOKUP($B15,'Indicator chart'!$D$1:$J$36,6,FALSE),1)=" "," ",VLOOKUP($B15,'Indicator chart'!$D$1:$J$36,6,FALSE))</f>
        <v>0.4400868709886982</v>
      </c>
      <c r="G15" s="38">
        <f>IF(LEFT(VLOOKUP($B15,'Indicator chart'!$D$1:$J$36,7,FALSE),1)=" "," ",VLOOKUP($B15,'Indicator chart'!$D$1:$J$36,7,FALSE))</f>
        <v>0.4990506034672089</v>
      </c>
      <c r="H15" s="50">
        <f t="shared" si="0"/>
        <v>1</v>
      </c>
      <c r="I15" s="38">
        <v>0.17647099494934082</v>
      </c>
      <c r="J15" s="38">
        <v>0.5188727378845215</v>
      </c>
      <c r="K15" s="38">
        <v>0.548549473285675</v>
      </c>
      <c r="L15" s="38">
        <v>0.5793744921684265</v>
      </c>
      <c r="M15" s="38">
        <v>0.6435750126838684</v>
      </c>
      <c r="N15" s="80">
        <f>VLOOKUP('Hide - Control'!B$3,'All practice data'!A:CA,A15+29,FALSE)</f>
        <v>0.5557958093639819</v>
      </c>
      <c r="O15" s="80">
        <f>VLOOKUP('Hide - Control'!C$3,'All practice data'!A:CA,A15+29,FALSE)</f>
        <v>0.5147293797466616</v>
      </c>
      <c r="P15" s="38">
        <f>VLOOKUP('Hide - Control'!$B$4,'All practice data'!B:BC,A15+2,FALSE)</f>
        <v>68887</v>
      </c>
      <c r="Q15" s="38">
        <f>VLOOKUP('Hide - Control'!$B$4,'All practice data'!B:BJ,60,FALSE)</f>
        <v>123943</v>
      </c>
      <c r="R15" s="38">
        <f t="shared" si="17"/>
        <v>0.5530278557866238</v>
      </c>
      <c r="S15" s="38">
        <f t="shared" si="18"/>
        <v>0.5585603042782795</v>
      </c>
      <c r="T15" s="53">
        <f t="shared" si="16"/>
        <v>0.6435750126838684</v>
      </c>
      <c r="U15" s="51">
        <f t="shared" si="1"/>
        <v>0.17647099494934082</v>
      </c>
      <c r="V15" s="7"/>
      <c r="W15" s="27">
        <f t="shared" si="2"/>
        <v>0.17647099494934082</v>
      </c>
      <c r="X15" s="27">
        <f t="shared" si="3"/>
        <v>0.9206279516220093</v>
      </c>
      <c r="Y15" s="27">
        <f t="shared" si="4"/>
        <v>0.17647099494934082</v>
      </c>
      <c r="Z15" s="27">
        <f t="shared" si="5"/>
        <v>0.9206279516220093</v>
      </c>
      <c r="AA15" s="32">
        <f t="shared" si="6"/>
        <v>0</v>
      </c>
      <c r="AB15" s="33">
        <f t="shared" si="7"/>
        <v>0.46012032792941093</v>
      </c>
      <c r="AC15" s="33">
        <v>0.5</v>
      </c>
      <c r="AD15" s="33">
        <f t="shared" si="8"/>
        <v>0.5414227383166297</v>
      </c>
      <c r="AE15" s="33">
        <f t="shared" si="9"/>
        <v>0.6276955601182294</v>
      </c>
      <c r="AF15" s="33">
        <f t="shared" si="10"/>
        <v>-999</v>
      </c>
      <c r="AG15" s="33">
        <f t="shared" si="11"/>
        <v>-999</v>
      </c>
      <c r="AH15" s="33">
        <f t="shared" si="12"/>
        <v>0.3937220534236527</v>
      </c>
      <c r="AI15" s="34">
        <f t="shared" si="13"/>
        <v>0.454552472787149</v>
      </c>
      <c r="AJ15" s="4">
        <v>11.310014695494289</v>
      </c>
      <c r="AK15" s="32">
        <f t="shared" si="14"/>
        <v>0.3937220534236527</v>
      </c>
      <c r="AL15" s="34">
        <f t="shared" si="15"/>
        <v>-999</v>
      </c>
      <c r="AY15" s="103" t="s">
        <v>229</v>
      </c>
      <c r="AZ15" s="103" t="s">
        <v>230</v>
      </c>
      <c r="BA15" s="103" t="s">
        <v>417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235</v>
      </c>
      <c r="E16" s="38">
        <f>IF(LEFT(VLOOKUP($B16,'Indicator chart'!$D$1:$J$36,5,FALSE),1)=" "," ",VLOOKUP($B16,'Indicator chart'!$D$1:$J$36,5,FALSE))</f>
        <v>0.497881</v>
      </c>
      <c r="F16" s="38">
        <f>IF(LEFT(VLOOKUP($B16,'Indicator chart'!$D$1:$J$36,6,FALSE),1)=" "," ",VLOOKUP($B16,'Indicator chart'!$D$1:$J$36,6,FALSE))</f>
        <v>0.4529731583763258</v>
      </c>
      <c r="G16" s="38">
        <f>IF(LEFT(VLOOKUP($B16,'Indicator chart'!$D$1:$J$36,7,FALSE),1)=" "," ",VLOOKUP($B16,'Indicator chart'!$D$1:$J$36,7,FALSE))</f>
        <v>0.5428237622796237</v>
      </c>
      <c r="H16" s="50">
        <f t="shared" si="0"/>
        <v>1</v>
      </c>
      <c r="I16" s="38">
        <v>0.21875</v>
      </c>
      <c r="J16" s="38">
        <v>0.5557345151901245</v>
      </c>
      <c r="K16" s="38">
        <v>0.5940009951591492</v>
      </c>
      <c r="L16" s="38">
        <v>0.6254649758338928</v>
      </c>
      <c r="M16" s="38">
        <v>0.6941750049591064</v>
      </c>
      <c r="N16" s="80">
        <f>VLOOKUP('Hide - Control'!B$3,'All practice data'!A:CA,A16+29,FALSE)</f>
        <v>0.5984190772263714</v>
      </c>
      <c r="O16" s="80">
        <f>VLOOKUP('Hide - Control'!C$3,'All practice data'!A:CA,A16+29,FALSE)</f>
        <v>0.5752927626212945</v>
      </c>
      <c r="P16" s="38">
        <f>VLOOKUP('Hide - Control'!$B$4,'All practice data'!B:BC,A16+2,FALSE)</f>
        <v>31569</v>
      </c>
      <c r="Q16" s="38">
        <f>VLOOKUP('Hide - Control'!$B$4,'All practice data'!B:BJ,61,FALSE)</f>
        <v>52754</v>
      </c>
      <c r="R16" s="38">
        <f t="shared" si="17"/>
        <v>0.594228770280172</v>
      </c>
      <c r="S16" s="38">
        <f t="shared" si="18"/>
        <v>0.6025950512614584</v>
      </c>
      <c r="T16" s="53">
        <f aca="true" t="shared" si="19" ref="T16:T31">IF($C16=1,M16,I16)</f>
        <v>0.6941750049591064</v>
      </c>
      <c r="U16" s="51">
        <f aca="true" t="shared" si="20" ref="U16:U31">IF($C16=1,I16,M16)</f>
        <v>0.21875</v>
      </c>
      <c r="V16" s="7"/>
      <c r="W16" s="27">
        <f t="shared" si="2"/>
        <v>0.21875</v>
      </c>
      <c r="X16" s="27">
        <f t="shared" si="3"/>
        <v>0.9692519903182983</v>
      </c>
      <c r="Y16" s="27">
        <f t="shared" si="4"/>
        <v>0.21875</v>
      </c>
      <c r="Z16" s="27">
        <f t="shared" si="5"/>
        <v>0.9692519903182983</v>
      </c>
      <c r="AA16" s="32">
        <f t="shared" si="6"/>
        <v>0</v>
      </c>
      <c r="AB16" s="33">
        <f t="shared" si="7"/>
        <v>0.449012153914748</v>
      </c>
      <c r="AC16" s="33">
        <v>0.5</v>
      </c>
      <c r="AD16" s="33">
        <f t="shared" si="8"/>
        <v>0.5419239137012806</v>
      </c>
      <c r="AE16" s="33">
        <f t="shared" si="9"/>
        <v>0.6334760081815001</v>
      </c>
      <c r="AF16" s="33">
        <f t="shared" si="10"/>
        <v>-999</v>
      </c>
      <c r="AG16" s="33">
        <f t="shared" si="11"/>
        <v>-999</v>
      </c>
      <c r="AH16" s="33">
        <f t="shared" si="12"/>
        <v>0.37192572917976763</v>
      </c>
      <c r="AI16" s="34">
        <f t="shared" si="13"/>
        <v>0.4750723745183936</v>
      </c>
      <c r="AJ16" s="4">
        <v>12.386010120876215</v>
      </c>
      <c r="AK16" s="32">
        <f t="shared" si="14"/>
        <v>0.37192572917976763</v>
      </c>
      <c r="AL16" s="34">
        <f t="shared" si="15"/>
        <v>-999</v>
      </c>
      <c r="AY16" s="103" t="s">
        <v>415</v>
      </c>
      <c r="AZ16" s="103" t="s">
        <v>436</v>
      </c>
      <c r="BA16" s="103" t="s">
        <v>597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325</v>
      </c>
      <c r="E17" s="38">
        <f>IF(LEFT(VLOOKUP($B17,'Indicator chart'!$D$1:$J$36,5,FALSE),1)=" "," ",VLOOKUP($B17,'Indicator chart'!$D$1:$J$36,5,FALSE))</f>
        <v>3016.2412993039443</v>
      </c>
      <c r="F17" s="38">
        <f>IF(LEFT(VLOOKUP($B17,'Indicator chart'!$D$1:$J$36,6,FALSE),1)=" "," ",VLOOKUP($B17,'Indicator chart'!$D$1:$J$36,6,FALSE))</f>
        <v>2697.1801464944906</v>
      </c>
      <c r="G17" s="38">
        <f>IF(LEFT(VLOOKUP($B17,'Indicator chart'!$D$1:$J$36,7,FALSE),1)=" "," ",VLOOKUP($B17,'Indicator chart'!$D$1:$J$36,7,FALSE))</f>
        <v>3362.662874371423</v>
      </c>
      <c r="H17" s="50">
        <f t="shared" si="0"/>
        <v>3</v>
      </c>
      <c r="I17" s="38">
        <v>404.76190185546875</v>
      </c>
      <c r="J17" s="38">
        <v>1196.5699462890625</v>
      </c>
      <c r="K17" s="38">
        <v>1636.386962890625</v>
      </c>
      <c r="L17" s="38">
        <v>2049.871826171875</v>
      </c>
      <c r="M17" s="38">
        <v>3427.734375</v>
      </c>
      <c r="N17" s="80">
        <f>VLOOKUP('Hide - Control'!B$3,'All practice data'!A:CA,A17+29,FALSE)</f>
        <v>1739.1868119518847</v>
      </c>
      <c r="O17" s="80">
        <f>VLOOKUP('Hide - Control'!C$3,'All practice data'!A:CA,A17+29,FALSE)</f>
        <v>1812.1669120472948</v>
      </c>
      <c r="P17" s="38">
        <f>VLOOKUP('Hide - Control'!$B$4,'All practice data'!B:BC,A17+2,FALSE)</f>
        <v>20119</v>
      </c>
      <c r="Q17" s="38">
        <f>VLOOKUP('Hide - Control'!$B$4,'All practice data'!B:BC,3,FALSE)</f>
        <v>1156805</v>
      </c>
      <c r="R17" s="38">
        <f>100000*(P17*(1-1/(9*P17)-1.96/(3*SQRT(P17)))^3)/Q17</f>
        <v>1715.2362789101105</v>
      </c>
      <c r="S17" s="38">
        <f>100000*((P17+1)*(1-1/(9*(P17+1))+1.96/(3*SQRT(P17+1)))^3)/Q17</f>
        <v>1763.3881477306768</v>
      </c>
      <c r="T17" s="53">
        <f t="shared" si="19"/>
        <v>3427.734375</v>
      </c>
      <c r="U17" s="51">
        <f t="shared" si="20"/>
        <v>404.76190185546875</v>
      </c>
      <c r="V17" s="7"/>
      <c r="W17" s="27">
        <f t="shared" si="2"/>
        <v>-154.96044921875</v>
      </c>
      <c r="X17" s="27">
        <f t="shared" si="3"/>
        <v>3427.734375</v>
      </c>
      <c r="Y17" s="27">
        <f t="shared" si="4"/>
        <v>-154.96044921875</v>
      </c>
      <c r="Z17" s="27">
        <f t="shared" si="5"/>
        <v>3427.734375</v>
      </c>
      <c r="AA17" s="32">
        <f t="shared" si="6"/>
        <v>0.15622942464720616</v>
      </c>
      <c r="AB17" s="33">
        <f t="shared" si="7"/>
        <v>0.37723849276013344</v>
      </c>
      <c r="AC17" s="33">
        <v>0.5</v>
      </c>
      <c r="AD17" s="33">
        <f t="shared" si="8"/>
        <v>0.6154116896828954</v>
      </c>
      <c r="AE17" s="33">
        <f t="shared" si="9"/>
        <v>1</v>
      </c>
      <c r="AF17" s="33">
        <f t="shared" si="10"/>
        <v>-999</v>
      </c>
      <c r="AG17" s="33">
        <f t="shared" si="11"/>
        <v>-999</v>
      </c>
      <c r="AH17" s="33">
        <f t="shared" si="12"/>
        <v>0.885144257078668</v>
      </c>
      <c r="AI17" s="34">
        <f t="shared" si="13"/>
        <v>0.5490636121079614</v>
      </c>
      <c r="AJ17" s="4">
        <v>13.462005546258133</v>
      </c>
      <c r="AK17" s="32">
        <f t="shared" si="14"/>
        <v>-999</v>
      </c>
      <c r="AL17" s="34">
        <f t="shared" si="15"/>
        <v>0.885144257078668</v>
      </c>
      <c r="AY17" s="103" t="s">
        <v>103</v>
      </c>
      <c r="AZ17" s="103" t="s">
        <v>104</v>
      </c>
      <c r="BA17" s="103" t="s">
        <v>417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325</v>
      </c>
      <c r="E18" s="80">
        <f>IF(LEFT(VLOOKUP($B18,'Indicator chart'!$D$1:$J$36,5,FALSE),1)=" "," ",VLOOKUP($B18,'Indicator chart'!$D$1:$J$36,5,FALSE))</f>
        <v>1.626524811</v>
      </c>
      <c r="F18" s="81">
        <f>IF(LEFT(VLOOKUP($B18,'Indicator chart'!$D$1:$J$36,6,FALSE),1)=" "," ",VLOOKUP($B18,'Indicator chart'!$D$1:$J$36,6,FALSE))</f>
        <v>1.454477234</v>
      </c>
      <c r="G18" s="38">
        <f>IF(LEFT(VLOOKUP($B18,'Indicator chart'!$D$1:$J$36,7,FALSE),1)=" "," ",VLOOKUP($B18,'Indicator chart'!$D$1:$J$36,7,FALSE))</f>
        <v>1.8133274840000002</v>
      </c>
      <c r="H18" s="50">
        <f>IF(LEFT(F18,1)=" ",4,IF(AND(ABS(N18-E18)&gt;SQRT((E18-G18)^2+(N18-R18)^2),E18&lt;N18),1,IF(AND(ABS(N18-E18)&gt;SQRT((E18-F18)^2+(N18-S18)^2),E18&gt;N18),3,2)))</f>
        <v>3</v>
      </c>
      <c r="I18" s="38">
        <v>0.20187512040138245</v>
      </c>
      <c r="J18" s="38"/>
      <c r="K18" s="38">
        <v>1</v>
      </c>
      <c r="L18" s="38"/>
      <c r="M18" s="38">
        <v>1.7401206493377686</v>
      </c>
      <c r="N18" s="80">
        <v>1</v>
      </c>
      <c r="O18" s="80">
        <f>VLOOKUP('Hide - Control'!C$3,'All practice data'!A:CA,A18+29,FALSE)</f>
        <v>1</v>
      </c>
      <c r="P18" s="38">
        <f>VLOOKUP('Hide - Control'!$B$4,'All practice data'!B:BC,A18+2,FALSE)</f>
        <v>20119</v>
      </c>
      <c r="Q18" s="38">
        <f>VLOOKUP('Hide - Control'!$B$4,'All practice data'!B:BC,14,FALSE)</f>
        <v>20119</v>
      </c>
      <c r="R18" s="81">
        <v>1</v>
      </c>
      <c r="S18" s="38">
        <v>1</v>
      </c>
      <c r="T18" s="53">
        <f t="shared" si="19"/>
        <v>1.7401206493377686</v>
      </c>
      <c r="U18" s="51">
        <f t="shared" si="20"/>
        <v>0.20187512040138245</v>
      </c>
      <c r="V18" s="7"/>
      <c r="W18" s="27">
        <f>IF((K18-I18)&gt;(M18-K18),I18,(K18-(M18-K18)))</f>
        <v>0.20187512040138245</v>
      </c>
      <c r="X18" s="27">
        <f t="shared" si="3"/>
        <v>1.7981248795986176</v>
      </c>
      <c r="Y18" s="27">
        <f t="shared" si="4"/>
        <v>0.20187512040138245</v>
      </c>
      <c r="Z18" s="27">
        <f t="shared" si="5"/>
        <v>1.7981248795986176</v>
      </c>
      <c r="AA18" s="32" t="s">
        <v>417</v>
      </c>
      <c r="AB18" s="33" t="s">
        <v>417</v>
      </c>
      <c r="AC18" s="33">
        <v>0.5</v>
      </c>
      <c r="AD18" s="33" t="s">
        <v>417</v>
      </c>
      <c r="AE18" s="33" t="s">
        <v>417</v>
      </c>
      <c r="AF18" s="33">
        <f t="shared" si="10"/>
        <v>-999</v>
      </c>
      <c r="AG18" s="33">
        <f t="shared" si="11"/>
        <v>-999</v>
      </c>
      <c r="AH18" s="33">
        <f t="shared" si="12"/>
        <v>0.8924979830945023</v>
      </c>
      <c r="AI18" s="34">
        <v>0.5</v>
      </c>
      <c r="AJ18" s="4">
        <v>14.538000971640056</v>
      </c>
      <c r="AK18" s="32">
        <f t="shared" si="14"/>
        <v>-999</v>
      </c>
      <c r="AL18" s="34">
        <f t="shared" si="15"/>
        <v>0.8924979830945023</v>
      </c>
      <c r="AY18" s="103" t="s">
        <v>105</v>
      </c>
      <c r="AZ18" s="103" t="s">
        <v>106</v>
      </c>
      <c r="BA18" s="103" t="s">
        <v>417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27</v>
      </c>
      <c r="E19" s="38">
        <f>IF(LEFT(VLOOKUP($B19,'Indicator chart'!$D$1:$J$36,5,FALSE),1)=" "," ",VLOOKUP($B19,'Indicator chart'!$D$1:$J$36,5,FALSE))</f>
        <v>0.08307692307692308</v>
      </c>
      <c r="F19" s="38">
        <f>IF(LEFT(VLOOKUP($B19,'Indicator chart'!$D$1:$J$36,6,FALSE),1)=" "," ",VLOOKUP($B19,'Indicator chart'!$D$1:$J$36,6,FALSE))</f>
        <v>0.05772140442467015</v>
      </c>
      <c r="G19" s="38">
        <f>IF(LEFT(VLOOKUP($B19,'Indicator chart'!$D$1:$J$36,7,FALSE),1)=" "," ",VLOOKUP($B19,'Indicator chart'!$D$1:$J$36,7,FALSE))</f>
        <v>0.11817361615666751</v>
      </c>
      <c r="H19" s="50">
        <f t="shared" si="0"/>
        <v>2</v>
      </c>
      <c r="I19" s="38">
        <v>0.02070442959666252</v>
      </c>
      <c r="J19" s="38">
        <v>0.08522618561983109</v>
      </c>
      <c r="K19" s="38">
        <v>0.10356564819812775</v>
      </c>
      <c r="L19" s="38">
        <v>0.1404436081647873</v>
      </c>
      <c r="M19" s="38">
        <v>0.42307692766189575</v>
      </c>
      <c r="N19" s="80">
        <f>VLOOKUP('Hide - Control'!B$3,'All practice data'!A:CA,A19+29,FALSE)</f>
        <v>0.106168298623192</v>
      </c>
      <c r="O19" s="80">
        <f>VLOOKUP('Hide - Control'!C$3,'All practice data'!A:CA,A19+29,FALSE)</f>
        <v>0.10919341638628717</v>
      </c>
      <c r="P19" s="38">
        <f>VLOOKUP('Hide - Control'!$B$4,'All practice data'!B:BC,A19+2,FALSE)</f>
        <v>2136</v>
      </c>
      <c r="Q19" s="38">
        <f>VLOOKUP('Hide - Control'!$B$4,'All practice data'!B:BC,15,FALSE)</f>
        <v>20119</v>
      </c>
      <c r="R19" s="38">
        <f>+((2*P19+1.96^2-1.96*SQRT(1.96^2+4*P19*(1-P19/Q19)))/(2*(Q19+1.96^2)))</f>
        <v>0.10198647600336626</v>
      </c>
      <c r="S19" s="38">
        <f>+((2*P19+1.96^2+1.96*SQRT(1.96^2+4*P19*(1-P19/Q19)))/(2*(Q19+1.96^2)))</f>
        <v>0.11050049203995421</v>
      </c>
      <c r="T19" s="53">
        <f t="shared" si="19"/>
        <v>0.42307692766189575</v>
      </c>
      <c r="U19" s="51">
        <f t="shared" si="20"/>
        <v>0.02070442959666252</v>
      </c>
      <c r="V19" s="7"/>
      <c r="W19" s="27">
        <f t="shared" si="2"/>
        <v>-0.21594563126564026</v>
      </c>
      <c r="X19" s="27">
        <f t="shared" si="3"/>
        <v>0.42307692766189575</v>
      </c>
      <c r="Y19" s="27">
        <f t="shared" si="4"/>
        <v>-0.21594563126564026</v>
      </c>
      <c r="Z19" s="27">
        <f t="shared" si="5"/>
        <v>0.42307692766189575</v>
      </c>
      <c r="AA19" s="32">
        <f t="shared" si="6"/>
        <v>0.37033130920991236</v>
      </c>
      <c r="AB19" s="33">
        <f t="shared" si="7"/>
        <v>0.47130075875713123</v>
      </c>
      <c r="AC19" s="33">
        <v>0.5</v>
      </c>
      <c r="AD19" s="33">
        <f t="shared" si="8"/>
        <v>0.5577099500658497</v>
      </c>
      <c r="AE19" s="33">
        <f t="shared" si="9"/>
        <v>1</v>
      </c>
      <c r="AF19" s="33">
        <f t="shared" si="10"/>
        <v>-999</v>
      </c>
      <c r="AG19" s="33">
        <f t="shared" si="11"/>
        <v>0.4679373993375278</v>
      </c>
      <c r="AH19" s="33">
        <f t="shared" si="12"/>
        <v>-999</v>
      </c>
      <c r="AI19" s="34">
        <f t="shared" si="13"/>
        <v>0.5088068380521721</v>
      </c>
      <c r="AJ19" s="4">
        <v>15.61399639702198</v>
      </c>
      <c r="AK19" s="32">
        <f t="shared" si="14"/>
        <v>-999</v>
      </c>
      <c r="AL19" s="34">
        <f t="shared" si="15"/>
        <v>-999</v>
      </c>
      <c r="AY19" s="103" t="s">
        <v>270</v>
      </c>
      <c r="AZ19" s="103" t="s">
        <v>536</v>
      </c>
      <c r="BA19" s="103" t="s">
        <v>417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58</v>
      </c>
      <c r="E20" s="38">
        <f>IF(LEFT(VLOOKUP($B20,'Indicator chart'!$D$1:$J$36,5,FALSE),1)=" "," ",VLOOKUP($B20,'Indicator chart'!$D$1:$J$36,5,FALSE))</f>
        <v>0.46551724137931033</v>
      </c>
      <c r="F20" s="38">
        <f>IF(LEFT(VLOOKUP($B20,'Indicator chart'!$D$1:$J$36,6,FALSE),1)=" "," ",VLOOKUP($B20,'Indicator chart'!$D$1:$J$36,6,FALSE))</f>
        <v>0.3433181535782672</v>
      </c>
      <c r="G20" s="38">
        <f>IF(LEFT(VLOOKUP($B20,'Indicator chart'!$D$1:$J$36,7,FALSE),1)=" "," ",VLOOKUP($B20,'Indicator chart'!$D$1:$J$36,7,FALSE))</f>
        <v>0.5920004668972703</v>
      </c>
      <c r="H20" s="50">
        <f t="shared" si="0"/>
        <v>2</v>
      </c>
      <c r="I20" s="38">
        <v>0.09238772839307785</v>
      </c>
      <c r="J20" s="38">
        <v>0.3582826852798462</v>
      </c>
      <c r="K20" s="38">
        <v>0.42365968227386475</v>
      </c>
      <c r="L20" s="38">
        <v>0.5</v>
      </c>
      <c r="M20" s="38">
        <v>1</v>
      </c>
      <c r="N20" s="80">
        <f>VLOOKUP('Hide - Control'!B$3,'All practice data'!A:CA,A20+29,FALSE)</f>
        <v>0.4326514077374924</v>
      </c>
      <c r="O20" s="80">
        <f>VLOOKUP('Hide - Control'!C$3,'All practice data'!A:CA,A20+29,FALSE)</f>
        <v>0.4534552930810221</v>
      </c>
      <c r="P20" s="38">
        <f>VLOOKUP('Hide - Control'!$B$4,'All practice data'!B:BC,A20+1,FALSE)</f>
        <v>2136</v>
      </c>
      <c r="Q20" s="38">
        <f>VLOOKUP('Hide - Control'!$B$4,'All practice data'!B:BC,A20+2,FALSE)</f>
        <v>4937</v>
      </c>
      <c r="R20" s="38">
        <f>+((2*P20+1.96^2-1.96*SQRT(1.96^2+4*P20*(1-P20/Q20)))/(2*(Q20+1.96^2)))</f>
        <v>0.4188887125190414</v>
      </c>
      <c r="S20" s="38">
        <f>+((2*P20+1.96^2+1.96*SQRT(1.96^2+4*P20*(1-P20/Q20)))/(2*(Q20+1.96^2)))</f>
        <v>0.44651883262468467</v>
      </c>
      <c r="T20" s="53">
        <f t="shared" si="19"/>
        <v>1</v>
      </c>
      <c r="U20" s="51">
        <f t="shared" si="20"/>
        <v>0.09238772839307785</v>
      </c>
      <c r="V20" s="7"/>
      <c r="W20" s="27">
        <f t="shared" si="2"/>
        <v>-0.1526806354522705</v>
      </c>
      <c r="X20" s="27">
        <f t="shared" si="3"/>
        <v>1</v>
      </c>
      <c r="Y20" s="27">
        <f t="shared" si="4"/>
        <v>-0.1526806354522705</v>
      </c>
      <c r="Z20" s="27">
        <f t="shared" si="5"/>
        <v>1</v>
      </c>
      <c r="AA20" s="32">
        <f t="shared" si="6"/>
        <v>0.21260734006275062</v>
      </c>
      <c r="AB20" s="33">
        <f t="shared" si="7"/>
        <v>0.4432826448339119</v>
      </c>
      <c r="AC20" s="33">
        <v>0.5</v>
      </c>
      <c r="AD20" s="33">
        <f t="shared" si="8"/>
        <v>0.5662285071668459</v>
      </c>
      <c r="AE20" s="33">
        <f t="shared" si="9"/>
        <v>1</v>
      </c>
      <c r="AF20" s="33">
        <f t="shared" si="10"/>
        <v>-999</v>
      </c>
      <c r="AG20" s="33">
        <f t="shared" si="11"/>
        <v>0.5363132317990422</v>
      </c>
      <c r="AH20" s="33">
        <f t="shared" si="12"/>
        <v>-999</v>
      </c>
      <c r="AI20" s="34">
        <f t="shared" si="13"/>
        <v>0.5258489731593926</v>
      </c>
      <c r="AJ20" s="4">
        <v>16.689991822403904</v>
      </c>
      <c r="AK20" s="32">
        <f t="shared" si="14"/>
        <v>-999</v>
      </c>
      <c r="AL20" s="34">
        <f t="shared" si="15"/>
        <v>-999</v>
      </c>
      <c r="AY20" s="103" t="s">
        <v>211</v>
      </c>
      <c r="AZ20" s="103" t="s">
        <v>517</v>
      </c>
      <c r="BA20" s="103" t="s">
        <v>417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58</v>
      </c>
      <c r="E21" s="38">
        <f>IF(LEFT(VLOOKUP($B21,'Indicator chart'!$D$1:$J$36,5,FALSE),1)=" "," ",VLOOKUP($B21,'Indicator chart'!$D$1:$J$36,5,FALSE))</f>
        <v>538.2830626450116</v>
      </c>
      <c r="F21" s="38">
        <f>IF(LEFT(VLOOKUP($B21,'Indicator chart'!$D$1:$J$36,6,FALSE),1)=" "," ",VLOOKUP($B21,'Indicator chart'!$D$1:$J$36,6,FALSE))</f>
        <v>408.71451101749176</v>
      </c>
      <c r="G21" s="38">
        <f>IF(LEFT(VLOOKUP($B21,'Indicator chart'!$D$1:$J$36,7,FALSE),1)=" "," ",VLOOKUP($B21,'Indicator chart'!$D$1:$J$36,7,FALSE))</f>
        <v>695.8711495280186</v>
      </c>
      <c r="H21" s="50">
        <f t="shared" si="0"/>
        <v>3</v>
      </c>
      <c r="I21" s="38">
        <v>61.46357345581055</v>
      </c>
      <c r="J21" s="38">
        <v>245.29867553710938</v>
      </c>
      <c r="K21" s="38">
        <v>327.6991882324219</v>
      </c>
      <c r="L21" s="38">
        <v>424.776611328125</v>
      </c>
      <c r="M21" s="38">
        <v>701.1639404296875</v>
      </c>
      <c r="N21" s="80">
        <f>VLOOKUP('Hide - Control'!B$3,'All practice data'!A:CA,A21+29,FALSE)</f>
        <v>350.9666711329913</v>
      </c>
      <c r="O21" s="80">
        <f>VLOOKUP('Hide - Control'!C$3,'All practice data'!A:CA,A21+29,FALSE)</f>
        <v>377.7293140102421</v>
      </c>
      <c r="P21" s="38">
        <f>VLOOKUP('Hide - Control'!$B$4,'All practice data'!B:BC,A21+2,FALSE)</f>
        <v>4060</v>
      </c>
      <c r="Q21" s="38">
        <f>VLOOKUP('Hide - Control'!$B$4,'All practice data'!B:BC,3,FALSE)</f>
        <v>1156805</v>
      </c>
      <c r="R21" s="38">
        <f aca="true" t="shared" si="21" ref="R21:R27">100000*(P21*(1-1/(9*P21)-1.96/(3*SQRT(P21)))^3)/Q21</f>
        <v>340.2528602136312</v>
      </c>
      <c r="S21" s="38">
        <f aca="true" t="shared" si="22" ref="S21:S27">100000*((P21+1)*(1-1/(9*(P21+1))+1.96/(3*SQRT(P21+1)))^3)/Q21</f>
        <v>361.932013447493</v>
      </c>
      <c r="T21" s="53">
        <f t="shared" si="19"/>
        <v>701.1639404296875</v>
      </c>
      <c r="U21" s="51">
        <f t="shared" si="20"/>
        <v>61.46357345581055</v>
      </c>
      <c r="V21" s="7"/>
      <c r="W21" s="27">
        <f t="shared" si="2"/>
        <v>-45.76556396484375</v>
      </c>
      <c r="X21" s="27">
        <f t="shared" si="3"/>
        <v>701.1639404296875</v>
      </c>
      <c r="Y21" s="27">
        <f t="shared" si="4"/>
        <v>-45.76556396484375</v>
      </c>
      <c r="Z21" s="27">
        <f t="shared" si="5"/>
        <v>701.1639404296875</v>
      </c>
      <c r="AA21" s="32">
        <f t="shared" si="6"/>
        <v>0.1435599166852772</v>
      </c>
      <c r="AB21" s="33">
        <f t="shared" si="7"/>
        <v>0.3896810044180713</v>
      </c>
      <c r="AC21" s="33">
        <v>0.5</v>
      </c>
      <c r="AD21" s="33">
        <f t="shared" si="8"/>
        <v>0.629968655039802</v>
      </c>
      <c r="AE21" s="33">
        <f t="shared" si="9"/>
        <v>1</v>
      </c>
      <c r="AF21" s="33">
        <f t="shared" si="10"/>
        <v>-999</v>
      </c>
      <c r="AG21" s="33">
        <f t="shared" si="11"/>
        <v>-999</v>
      </c>
      <c r="AH21" s="33">
        <f t="shared" si="12"/>
        <v>0.7819327301621204</v>
      </c>
      <c r="AI21" s="34">
        <f t="shared" si="13"/>
        <v>0.5669810544147338</v>
      </c>
      <c r="AJ21" s="4">
        <v>17.765987247785823</v>
      </c>
      <c r="AK21" s="32">
        <f t="shared" si="14"/>
        <v>-999</v>
      </c>
      <c r="AL21" s="34">
        <f t="shared" si="15"/>
        <v>0.7819327301621204</v>
      </c>
      <c r="AY21" s="103" t="s">
        <v>123</v>
      </c>
      <c r="AZ21" s="103" t="s">
        <v>491</v>
      </c>
      <c r="BA21" s="103" t="s">
        <v>417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55</v>
      </c>
      <c r="E22" s="38">
        <f>IF(LEFT(VLOOKUP($B22,'Indicator chart'!$D$1:$J$36,5,FALSE),1)=" "," ",VLOOKUP($B22,'Indicator chart'!$D$1:$J$36,5,FALSE))</f>
        <v>510.44083526682135</v>
      </c>
      <c r="F22" s="38">
        <f>IF(LEFT(VLOOKUP($B22,'Indicator chart'!$D$1:$J$36,6,FALSE),1)=" "," ",VLOOKUP($B22,'Indicator chart'!$D$1:$J$36,6,FALSE))</f>
        <v>384.50677400658725</v>
      </c>
      <c r="G22" s="38">
        <f>IF(LEFT(VLOOKUP($B22,'Indicator chart'!$D$1:$J$36,7,FALSE),1)=" "," ",VLOOKUP($B22,'Indicator chart'!$D$1:$J$36,7,FALSE))</f>
        <v>664.4244745695248</v>
      </c>
      <c r="H22" s="50">
        <f t="shared" si="0"/>
        <v>3</v>
      </c>
      <c r="I22" s="38">
        <v>18.07059669494629</v>
      </c>
      <c r="J22" s="38">
        <v>179.5220947265625</v>
      </c>
      <c r="K22" s="38">
        <v>250.69798278808594</v>
      </c>
      <c r="L22" s="38">
        <v>337.4745178222656</v>
      </c>
      <c r="M22" s="38">
        <v>776.5023803710938</v>
      </c>
      <c r="N22" s="80">
        <f>VLOOKUP('Hide - Control'!B$3,'All practice data'!A:CA,A22+29,FALSE)</f>
        <v>289.67717117405266</v>
      </c>
      <c r="O22" s="80">
        <f>VLOOKUP('Hide - Control'!C$3,'All practice data'!A:CA,A22+29,FALSE)</f>
        <v>282.45290788403287</v>
      </c>
      <c r="P22" s="38">
        <f>VLOOKUP('Hide - Control'!$B$4,'All practice data'!B:BC,A22+2,FALSE)</f>
        <v>3351</v>
      </c>
      <c r="Q22" s="38">
        <f>VLOOKUP('Hide - Control'!$B$4,'All practice data'!B:BC,3,FALSE)</f>
        <v>1156805</v>
      </c>
      <c r="R22" s="38">
        <f t="shared" si="21"/>
        <v>279.9512228027931</v>
      </c>
      <c r="S22" s="38">
        <f t="shared" si="22"/>
        <v>299.654783882071</v>
      </c>
      <c r="T22" s="53">
        <f t="shared" si="19"/>
        <v>776.5023803710938</v>
      </c>
      <c r="U22" s="51">
        <f t="shared" si="20"/>
        <v>18.07059669494629</v>
      </c>
      <c r="V22" s="7"/>
      <c r="W22" s="27">
        <f t="shared" si="2"/>
        <v>-275.1064147949219</v>
      </c>
      <c r="X22" s="27">
        <f t="shared" si="3"/>
        <v>776.5023803710938</v>
      </c>
      <c r="Y22" s="27">
        <f t="shared" si="4"/>
        <v>-275.1064147949219</v>
      </c>
      <c r="Z22" s="27">
        <f t="shared" si="5"/>
        <v>776.5023803710938</v>
      </c>
      <c r="AA22" s="32">
        <f t="shared" si="6"/>
        <v>0.2787890447831266</v>
      </c>
      <c r="AB22" s="33">
        <f t="shared" si="7"/>
        <v>0.43231714265922716</v>
      </c>
      <c r="AC22" s="33">
        <v>0.5</v>
      </c>
      <c r="AD22" s="33">
        <f t="shared" si="8"/>
        <v>0.5825178863405003</v>
      </c>
      <c r="AE22" s="33">
        <f t="shared" si="9"/>
        <v>1</v>
      </c>
      <c r="AF22" s="33">
        <f t="shared" si="10"/>
        <v>-999</v>
      </c>
      <c r="AG22" s="33">
        <f t="shared" si="11"/>
        <v>-999</v>
      </c>
      <c r="AH22" s="33">
        <f t="shared" si="12"/>
        <v>0.7469957018928605</v>
      </c>
      <c r="AI22" s="34">
        <f t="shared" si="13"/>
        <v>0.5301965191256638</v>
      </c>
      <c r="AJ22" s="4">
        <v>18.841982673167745</v>
      </c>
      <c r="AK22" s="32">
        <f t="shared" si="14"/>
        <v>-999</v>
      </c>
      <c r="AL22" s="34">
        <f t="shared" si="15"/>
        <v>0.7469957018928605</v>
      </c>
      <c r="AY22" s="103" t="s">
        <v>149</v>
      </c>
      <c r="AZ22" s="103" t="s">
        <v>501</v>
      </c>
      <c r="BA22" s="103" t="s">
        <v>417</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92.80742459396751</v>
      </c>
      <c r="F23" s="38">
        <f>IF(LEFT(VLOOKUP($B23,'Indicator chart'!$D$1:$J$36,6,FALSE),1)=" "," ",VLOOKUP($B23,'Indicator chart'!$D$1:$J$36,6,FALSE))</f>
        <v>44.43044283557867</v>
      </c>
      <c r="G23" s="38">
        <f>IF(LEFT(VLOOKUP($B23,'Indicator chart'!$D$1:$J$36,7,FALSE),1)=" "," ",VLOOKUP($B23,'Indicator chart'!$D$1:$J$36,7,FALSE))</f>
        <v>170.687952427383</v>
      </c>
      <c r="H23" s="50">
        <f t="shared" si="0"/>
        <v>2</v>
      </c>
      <c r="I23" s="38">
        <v>3.248678207397461</v>
      </c>
      <c r="J23" s="38">
        <v>31.76241683959961</v>
      </c>
      <c r="K23" s="38">
        <v>55.88959884643555</v>
      </c>
      <c r="L23" s="38">
        <v>89.69225311279297</v>
      </c>
      <c r="M23" s="38">
        <v>206.96792602539062</v>
      </c>
      <c r="N23" s="80">
        <f>VLOOKUP('Hide - Control'!B$3,'All practice data'!A:CA,A23+29,FALSE)</f>
        <v>66.47619953233259</v>
      </c>
      <c r="O23" s="80">
        <f>VLOOKUP('Hide - Control'!C$3,'All practice data'!A:CA,A23+29,FALSE)</f>
        <v>70.46674929228394</v>
      </c>
      <c r="P23" s="38">
        <f>VLOOKUP('Hide - Control'!$B$4,'All practice data'!B:BC,A23+2,FALSE)</f>
        <v>769</v>
      </c>
      <c r="Q23" s="38">
        <f>VLOOKUP('Hide - Control'!$B$4,'All practice data'!B:BC,3,FALSE)</f>
        <v>1156805</v>
      </c>
      <c r="R23" s="38">
        <f t="shared" si="21"/>
        <v>61.86005831949305</v>
      </c>
      <c r="S23" s="38">
        <f t="shared" si="22"/>
        <v>71.3455777510479</v>
      </c>
      <c r="T23" s="53">
        <f t="shared" si="19"/>
        <v>206.96792602539062</v>
      </c>
      <c r="U23" s="51">
        <f t="shared" si="20"/>
        <v>3.248678207397461</v>
      </c>
      <c r="V23" s="7"/>
      <c r="W23" s="27">
        <f t="shared" si="2"/>
        <v>-95.18872833251953</v>
      </c>
      <c r="X23" s="27">
        <f t="shared" si="3"/>
        <v>206.96792602539062</v>
      </c>
      <c r="Y23" s="27">
        <f t="shared" si="4"/>
        <v>-95.18872833251953</v>
      </c>
      <c r="Z23" s="27">
        <f t="shared" si="5"/>
        <v>206.96792602539062</v>
      </c>
      <c r="AA23" s="32">
        <f t="shared" si="6"/>
        <v>0.32578268629926005</v>
      </c>
      <c r="AB23" s="33">
        <f t="shared" si="7"/>
        <v>0.4201500888401523</v>
      </c>
      <c r="AC23" s="33">
        <v>0.5</v>
      </c>
      <c r="AD23" s="33">
        <f t="shared" si="8"/>
        <v>0.6118712885479515</v>
      </c>
      <c r="AE23" s="33">
        <f t="shared" si="9"/>
        <v>1</v>
      </c>
      <c r="AF23" s="33">
        <f t="shared" si="10"/>
        <v>-999</v>
      </c>
      <c r="AG23" s="33">
        <f t="shared" si="11"/>
        <v>0.6221810779775252</v>
      </c>
      <c r="AH23" s="33">
        <f t="shared" si="12"/>
        <v>-999</v>
      </c>
      <c r="AI23" s="34">
        <f t="shared" si="13"/>
        <v>0.548243684974687</v>
      </c>
      <c r="AJ23" s="4">
        <v>19.917978098549675</v>
      </c>
      <c r="AK23" s="32">
        <f t="shared" si="14"/>
        <v>-999</v>
      </c>
      <c r="AL23" s="34">
        <f t="shared" si="15"/>
        <v>-999</v>
      </c>
      <c r="AY23" s="103" t="s">
        <v>264</v>
      </c>
      <c r="AZ23" s="103" t="s">
        <v>265</v>
      </c>
      <c r="BA23" s="103" t="s">
        <v>417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64</v>
      </c>
      <c r="E24" s="38">
        <f>IF(LEFT(VLOOKUP($B24,'Indicator chart'!$D$1:$J$36,5,FALSE),1)=" "," ",VLOOKUP($B24,'Indicator chart'!$D$1:$J$36,5,FALSE))</f>
        <v>593.9675174013921</v>
      </c>
      <c r="F24" s="38">
        <f>IF(LEFT(VLOOKUP($B24,'Indicator chart'!$D$1:$J$36,6,FALSE),1)=" "," ",VLOOKUP($B24,'Indicator chart'!$D$1:$J$36,6,FALSE))</f>
        <v>457.4022593163488</v>
      </c>
      <c r="G24" s="38">
        <f>IF(LEFT(VLOOKUP($B24,'Indicator chart'!$D$1:$J$36,7,FALSE),1)=" "," ",VLOOKUP($B24,'Indicator chart'!$D$1:$J$36,7,FALSE))</f>
        <v>758.4985396852768</v>
      </c>
      <c r="H24" s="50">
        <f t="shared" si="0"/>
        <v>3</v>
      </c>
      <c r="I24" s="38">
        <v>27.3076171875</v>
      </c>
      <c r="J24" s="38">
        <v>212.70352172851562</v>
      </c>
      <c r="K24" s="38">
        <v>320.1014709472656</v>
      </c>
      <c r="L24" s="38">
        <v>465.13348388671875</v>
      </c>
      <c r="M24" s="38">
        <v>1103.515625</v>
      </c>
      <c r="N24" s="80">
        <f>VLOOKUP('Hide - Control'!B$3,'All practice data'!A:CA,A24+29,FALSE)</f>
        <v>361.6858502513388</v>
      </c>
      <c r="O24" s="80">
        <f>VLOOKUP('Hide - Control'!C$3,'All practice data'!A:CA,A24+29,FALSE)</f>
        <v>323.23046266988894</v>
      </c>
      <c r="P24" s="38">
        <f>VLOOKUP('Hide - Control'!$B$4,'All practice data'!B:BC,A24+2,FALSE)</f>
        <v>4184</v>
      </c>
      <c r="Q24" s="38">
        <f>VLOOKUP('Hide - Control'!$B$4,'All practice data'!B:BC,3,FALSE)</f>
        <v>1156805</v>
      </c>
      <c r="R24" s="38">
        <f t="shared" si="21"/>
        <v>350.80841264425374</v>
      </c>
      <c r="S24" s="38">
        <f t="shared" si="22"/>
        <v>372.8147995389727</v>
      </c>
      <c r="T24" s="53">
        <f t="shared" si="19"/>
        <v>1103.515625</v>
      </c>
      <c r="U24" s="51">
        <f t="shared" si="20"/>
        <v>27.3076171875</v>
      </c>
      <c r="V24" s="7"/>
      <c r="W24" s="27">
        <f t="shared" si="2"/>
        <v>-463.31268310546875</v>
      </c>
      <c r="X24" s="27">
        <f t="shared" si="3"/>
        <v>1103.515625</v>
      </c>
      <c r="Y24" s="27">
        <f t="shared" si="4"/>
        <v>-463.31268310546875</v>
      </c>
      <c r="Z24" s="27">
        <f t="shared" si="5"/>
        <v>1103.515625</v>
      </c>
      <c r="AA24" s="32">
        <f t="shared" si="6"/>
        <v>0.31312958653791656</v>
      </c>
      <c r="AB24" s="33">
        <f t="shared" si="7"/>
        <v>0.4314551896572444</v>
      </c>
      <c r="AC24" s="33">
        <v>0.5</v>
      </c>
      <c r="AD24" s="33">
        <f t="shared" si="8"/>
        <v>0.5925640749462963</v>
      </c>
      <c r="AE24" s="33">
        <f t="shared" si="9"/>
        <v>1</v>
      </c>
      <c r="AF24" s="33">
        <f t="shared" si="10"/>
        <v>-999</v>
      </c>
      <c r="AG24" s="33">
        <f t="shared" si="11"/>
        <v>-999</v>
      </c>
      <c r="AH24" s="33">
        <f t="shared" si="12"/>
        <v>0.6747900807238234</v>
      </c>
      <c r="AI24" s="34">
        <f t="shared" si="13"/>
        <v>0.5019970227155308</v>
      </c>
      <c r="AJ24" s="4">
        <v>20.99397352393159</v>
      </c>
      <c r="AK24" s="32">
        <f t="shared" si="14"/>
        <v>-999</v>
      </c>
      <c r="AL24" s="34">
        <f t="shared" si="15"/>
        <v>0.6747900807238234</v>
      </c>
      <c r="AY24" s="103" t="s">
        <v>65</v>
      </c>
      <c r="AZ24" s="103" t="s">
        <v>66</v>
      </c>
      <c r="BA24" s="103" t="s">
        <v>597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68</v>
      </c>
      <c r="E25" s="38">
        <f>IF(LEFT(VLOOKUP($B25,'Indicator chart'!$D$1:$J$36,5,FALSE),1)=" "," ",VLOOKUP($B25,'Indicator chart'!$D$1:$J$36,5,FALSE))</f>
        <v>631.0904872389791</v>
      </c>
      <c r="F25" s="38">
        <f>IF(LEFT(VLOOKUP($B25,'Indicator chart'!$D$1:$J$36,6,FALSE),1)=" "," ",VLOOKUP($B25,'Indicator chart'!$D$1:$J$36,6,FALSE))</f>
        <v>490.04209274991473</v>
      </c>
      <c r="G25" s="38">
        <f>IF(LEFT(VLOOKUP($B25,'Indicator chart'!$D$1:$J$36,7,FALSE),1)=" "," ",VLOOKUP($B25,'Indicator chart'!$D$1:$J$36,7,FALSE))</f>
        <v>800.0727322524558</v>
      </c>
      <c r="H25" s="50">
        <f t="shared" si="0"/>
        <v>2</v>
      </c>
      <c r="I25" s="38">
        <v>185.5142822265625</v>
      </c>
      <c r="J25" s="38">
        <v>502.67236328125</v>
      </c>
      <c r="K25" s="38">
        <v>620.2694091796875</v>
      </c>
      <c r="L25" s="38">
        <v>728.7254638671875</v>
      </c>
      <c r="M25" s="38">
        <v>1283.14794921875</v>
      </c>
      <c r="N25" s="80">
        <f>VLOOKUP('Hide - Control'!B$3,'All practice data'!A:CA,A25+29,FALSE)</f>
        <v>626.3804184802106</v>
      </c>
      <c r="O25" s="80">
        <f>VLOOKUP('Hide - Control'!C$3,'All practice data'!A:CA,A25+29,FALSE)</f>
        <v>562.6134400960308</v>
      </c>
      <c r="P25" s="38">
        <f>VLOOKUP('Hide - Control'!$B$4,'All practice data'!B:BC,A25+2,FALSE)</f>
        <v>7246</v>
      </c>
      <c r="Q25" s="38">
        <f>VLOOKUP('Hide - Control'!$B$4,'All practice data'!B:BC,3,FALSE)</f>
        <v>1156805</v>
      </c>
      <c r="R25" s="38">
        <f t="shared" si="21"/>
        <v>612.0398065476529</v>
      </c>
      <c r="S25" s="38">
        <f t="shared" si="22"/>
        <v>640.9722294804972</v>
      </c>
      <c r="T25" s="53">
        <f t="shared" si="19"/>
        <v>1283.14794921875</v>
      </c>
      <c r="U25" s="51">
        <f t="shared" si="20"/>
        <v>185.5142822265625</v>
      </c>
      <c r="V25" s="7"/>
      <c r="W25" s="27">
        <f t="shared" si="2"/>
        <v>-42.609130859375</v>
      </c>
      <c r="X25" s="27">
        <f t="shared" si="3"/>
        <v>1283.14794921875</v>
      </c>
      <c r="Y25" s="27">
        <f t="shared" si="4"/>
        <v>-42.609130859375</v>
      </c>
      <c r="Z25" s="27">
        <f t="shared" si="5"/>
        <v>1283.14794921875</v>
      </c>
      <c r="AA25" s="32">
        <f t="shared" si="6"/>
        <v>0.17207029591913967</v>
      </c>
      <c r="AB25" s="33">
        <f t="shared" si="7"/>
        <v>0.4112981950724278</v>
      </c>
      <c r="AC25" s="33">
        <v>0.5</v>
      </c>
      <c r="AD25" s="33">
        <f t="shared" si="8"/>
        <v>0.5818068832648503</v>
      </c>
      <c r="AE25" s="33">
        <f t="shared" si="9"/>
        <v>1</v>
      </c>
      <c r="AF25" s="33">
        <f t="shared" si="10"/>
        <v>-999</v>
      </c>
      <c r="AG25" s="33">
        <f t="shared" si="11"/>
        <v>0.508162187645005</v>
      </c>
      <c r="AH25" s="33">
        <f t="shared" si="12"/>
        <v>-999</v>
      </c>
      <c r="AI25" s="34">
        <f t="shared" si="13"/>
        <v>0.4565109099170271</v>
      </c>
      <c r="AJ25" s="4">
        <v>22.06996894931352</v>
      </c>
      <c r="AK25" s="32">
        <f t="shared" si="14"/>
        <v>-999</v>
      </c>
      <c r="AL25" s="34">
        <f t="shared" si="15"/>
        <v>-999</v>
      </c>
      <c r="AY25" s="103" t="s">
        <v>257</v>
      </c>
      <c r="AZ25" s="103" t="s">
        <v>258</v>
      </c>
      <c r="BA25" s="103" t="s">
        <v>597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52</v>
      </c>
      <c r="E26" s="38">
        <f>IF(LEFT(VLOOKUP($B26,'Indicator chart'!$D$1:$J$36,5,FALSE),1)=" "," ",VLOOKUP($B26,'Indicator chart'!$D$1:$J$36,5,FALSE))</f>
        <v>482.5986078886311</v>
      </c>
      <c r="F26" s="38">
        <f>IF(LEFT(VLOOKUP($B26,'Indicator chart'!$D$1:$J$36,6,FALSE),1)=" "," ",VLOOKUP($B26,'Indicator chart'!$D$1:$J$36,6,FALSE))</f>
        <v>360.3997974148347</v>
      </c>
      <c r="G26" s="38">
        <f>IF(LEFT(VLOOKUP($B26,'Indicator chart'!$D$1:$J$36,7,FALSE),1)=" "," ",VLOOKUP($B26,'Indicator chart'!$D$1:$J$36,7,FALSE))</f>
        <v>632.8795330034088</v>
      </c>
      <c r="H26" s="50">
        <f t="shared" si="0"/>
        <v>3</v>
      </c>
      <c r="I26" s="38">
        <v>112.1823501586914</v>
      </c>
      <c r="J26" s="38">
        <v>252.19464111328125</v>
      </c>
      <c r="K26" s="38">
        <v>333.5875244140625</v>
      </c>
      <c r="L26" s="38">
        <v>440.89056396484375</v>
      </c>
      <c r="M26" s="38">
        <v>767.1480102539062</v>
      </c>
      <c r="N26" s="80">
        <f>VLOOKUP('Hide - Control'!B$3,'All practice data'!A:CA,A26+29,FALSE)</f>
        <v>350.0157762112024</v>
      </c>
      <c r="O26" s="80">
        <f>VLOOKUP('Hide - Control'!C$3,'All practice data'!A:CA,A26+29,FALSE)</f>
        <v>405.57105879375996</v>
      </c>
      <c r="P26" s="38">
        <f>VLOOKUP('Hide - Control'!$B$4,'All practice data'!B:BC,A26+2,FALSE)</f>
        <v>4049</v>
      </c>
      <c r="Q26" s="38">
        <f>VLOOKUP('Hide - Control'!$B$4,'All practice data'!B:BC,3,FALSE)</f>
        <v>1156805</v>
      </c>
      <c r="R26" s="38">
        <f t="shared" si="21"/>
        <v>339.3166004841126</v>
      </c>
      <c r="S26" s="38">
        <f t="shared" si="22"/>
        <v>360.9664851258096</v>
      </c>
      <c r="T26" s="53">
        <f t="shared" si="19"/>
        <v>767.1480102539062</v>
      </c>
      <c r="U26" s="51">
        <f t="shared" si="20"/>
        <v>112.1823501586914</v>
      </c>
      <c r="V26" s="7"/>
      <c r="W26" s="27">
        <f t="shared" si="2"/>
        <v>-99.97296142578125</v>
      </c>
      <c r="X26" s="27">
        <f t="shared" si="3"/>
        <v>767.1480102539062</v>
      </c>
      <c r="Y26" s="27">
        <f t="shared" si="4"/>
        <v>-99.97296142578125</v>
      </c>
      <c r="Z26" s="27">
        <f t="shared" si="5"/>
        <v>767.1480102539062</v>
      </c>
      <c r="AA26" s="32">
        <f t="shared" si="6"/>
        <v>0.24466633666293375</v>
      </c>
      <c r="AB26" s="33">
        <f t="shared" si="7"/>
        <v>0.4061343388534171</v>
      </c>
      <c r="AC26" s="33">
        <v>0.5</v>
      </c>
      <c r="AD26" s="33">
        <f t="shared" si="8"/>
        <v>0.6237463318906081</v>
      </c>
      <c r="AE26" s="33">
        <f t="shared" si="9"/>
        <v>1</v>
      </c>
      <c r="AF26" s="33">
        <f t="shared" si="10"/>
        <v>-999</v>
      </c>
      <c r="AG26" s="33">
        <f t="shared" si="11"/>
        <v>-999</v>
      </c>
      <c r="AH26" s="33">
        <f t="shared" si="12"/>
        <v>0.6718457843153318</v>
      </c>
      <c r="AI26" s="34">
        <f t="shared" si="13"/>
        <v>0.5830144082898366</v>
      </c>
      <c r="AJ26" s="4">
        <v>23.145964374695435</v>
      </c>
      <c r="AK26" s="32">
        <f t="shared" si="14"/>
        <v>-999</v>
      </c>
      <c r="AL26" s="34">
        <f t="shared" si="15"/>
        <v>0.6718457843153318</v>
      </c>
      <c r="AY26" s="103" t="s">
        <v>120</v>
      </c>
      <c r="AZ26" s="103" t="s">
        <v>490</v>
      </c>
      <c r="BA26" s="103" t="s">
        <v>417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142</v>
      </c>
      <c r="E27" s="38">
        <f>IF(LEFT(VLOOKUP($B27,'Indicator chart'!$D$1:$J$36,5,FALSE),1)=" "," ",VLOOKUP($B27,'Indicator chart'!$D$1:$J$36,5,FALSE))</f>
        <v>1317.8654292343388</v>
      </c>
      <c r="F27" s="38">
        <f>IF(LEFT(VLOOKUP($B27,'Indicator chart'!$D$1:$J$36,6,FALSE),1)=" "," ",VLOOKUP($B27,'Indicator chart'!$D$1:$J$36,6,FALSE))</f>
        <v>1110.0092577863347</v>
      </c>
      <c r="G27" s="38">
        <f>IF(LEFT(VLOOKUP($B27,'Indicator chart'!$D$1:$J$36,7,FALSE),1)=" "," ",VLOOKUP($B27,'Indicator chart'!$D$1:$J$36,7,FALSE))</f>
        <v>1553.3324046652872</v>
      </c>
      <c r="H27" s="50">
        <f t="shared" si="0"/>
        <v>3</v>
      </c>
      <c r="I27" s="38">
        <v>273.2240295410156</v>
      </c>
      <c r="J27" s="38">
        <v>782.867431640625</v>
      </c>
      <c r="K27" s="38">
        <v>981.0037841796875</v>
      </c>
      <c r="L27" s="38">
        <v>1195.3824462890625</v>
      </c>
      <c r="M27" s="38">
        <v>1896.7093505859375</v>
      </c>
      <c r="N27" s="80">
        <f>VLOOKUP('Hide - Control'!B$3,'All practice data'!A:CA,A27+29,FALSE)</f>
        <v>1001.7245776081535</v>
      </c>
      <c r="O27" s="80">
        <f>VLOOKUP('Hide - Control'!C$3,'All practice data'!A:CA,A27+29,FALSE)</f>
        <v>1059.3522061277838</v>
      </c>
      <c r="P27" s="38">
        <f>VLOOKUP('Hide - Control'!$B$4,'All practice data'!B:BC,A27+2,FALSE)</f>
        <v>11588</v>
      </c>
      <c r="Q27" s="38">
        <f>VLOOKUP('Hide - Control'!$B$4,'All practice data'!B:BC,3,FALSE)</f>
        <v>1156805</v>
      </c>
      <c r="R27" s="38">
        <f t="shared" si="21"/>
        <v>983.5676197022649</v>
      </c>
      <c r="S27" s="38">
        <f t="shared" si="22"/>
        <v>1020.132527296099</v>
      </c>
      <c r="T27" s="53">
        <f t="shared" si="19"/>
        <v>1896.7093505859375</v>
      </c>
      <c r="U27" s="51">
        <f t="shared" si="20"/>
        <v>273.2240295410156</v>
      </c>
      <c r="V27" s="7"/>
      <c r="W27" s="27">
        <f t="shared" si="2"/>
        <v>65.2982177734375</v>
      </c>
      <c r="X27" s="27">
        <f t="shared" si="3"/>
        <v>1896.7093505859375</v>
      </c>
      <c r="Y27" s="27">
        <f t="shared" si="4"/>
        <v>65.2982177734375</v>
      </c>
      <c r="Z27" s="27">
        <f t="shared" si="5"/>
        <v>1896.7093505859375</v>
      </c>
      <c r="AA27" s="32">
        <f t="shared" si="6"/>
        <v>0.11353311555350558</v>
      </c>
      <c r="AB27" s="33">
        <f t="shared" si="7"/>
        <v>0.39181219389292216</v>
      </c>
      <c r="AC27" s="33">
        <v>0.5</v>
      </c>
      <c r="AD27" s="33">
        <f t="shared" si="8"/>
        <v>0.6170565463256487</v>
      </c>
      <c r="AE27" s="33">
        <f t="shared" si="9"/>
        <v>1</v>
      </c>
      <c r="AF27" s="33">
        <f t="shared" si="10"/>
        <v>-999</v>
      </c>
      <c r="AG27" s="33">
        <f t="shared" si="11"/>
        <v>-999</v>
      </c>
      <c r="AH27" s="33">
        <f t="shared" si="12"/>
        <v>0.6839355669621449</v>
      </c>
      <c r="AI27" s="34">
        <f t="shared" si="13"/>
        <v>0.5427803569304379</v>
      </c>
      <c r="AJ27" s="4">
        <v>24.221959800077364</v>
      </c>
      <c r="AK27" s="32">
        <f t="shared" si="14"/>
        <v>-999</v>
      </c>
      <c r="AL27" s="34">
        <f t="shared" si="15"/>
        <v>0.6839355669621449</v>
      </c>
      <c r="AY27" s="103" t="s">
        <v>115</v>
      </c>
      <c r="AZ27" s="103" t="s">
        <v>489</v>
      </c>
      <c r="BA27" s="103" t="s">
        <v>597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58</v>
      </c>
      <c r="E28" s="38">
        <f>IF(LEFT(VLOOKUP($B28,'Indicator chart'!$D$1:$J$36,5,FALSE),1)=" "," ",VLOOKUP($B28,'Indicator chart'!$D$1:$J$36,5,FALSE))</f>
        <v>538.2830626450116</v>
      </c>
      <c r="F28" s="38">
        <f>IF(LEFT(VLOOKUP($B28,'Indicator chart'!$D$1:$J$36,6,FALSE),1)=" "," ",VLOOKUP($B28,'Indicator chart'!$D$1:$J$36,6,FALSE))</f>
        <v>408.71451101749176</v>
      </c>
      <c r="G28" s="38">
        <f>IF(LEFT(VLOOKUP($B28,'Indicator chart'!$D$1:$J$36,7,FALSE),1)=" "," ",VLOOKUP($B28,'Indicator chart'!$D$1:$J$36,7,FALSE))</f>
        <v>695.8711495280186</v>
      </c>
      <c r="H28" s="50">
        <f t="shared" si="0"/>
        <v>2</v>
      </c>
      <c r="I28" s="38">
        <v>155.9251708984375</v>
      </c>
      <c r="J28" s="38">
        <v>453.4117431640625</v>
      </c>
      <c r="K28" s="38">
        <v>535.0936279296875</v>
      </c>
      <c r="L28" s="38">
        <v>654.1055297851562</v>
      </c>
      <c r="M28" s="38">
        <v>1363.1937255859375</v>
      </c>
      <c r="N28" s="80">
        <f>VLOOKUP('Hide - Control'!B$3,'All practice data'!A:CA,A28+29,FALSE)</f>
        <v>577.3661075116377</v>
      </c>
      <c r="O28" s="80">
        <f>VLOOKUP('Hide - Control'!C$3,'All practice data'!A:CA,A28+29,FALSE)</f>
        <v>582.9390489900089</v>
      </c>
      <c r="P28" s="38">
        <f>VLOOKUP('Hide - Control'!$B$4,'All practice data'!B:BC,A28+2,FALSE)</f>
        <v>6679</v>
      </c>
      <c r="Q28" s="38">
        <f>VLOOKUP('Hide - Control'!$B$4,'All practice data'!B:BC,3,FALSE)</f>
        <v>1156805</v>
      </c>
      <c r="R28" s="38">
        <f>100000*(P28*(1-1/(9*P28)-1.96/(3*SQRT(P28)))^3)/Q28</f>
        <v>563.6012819024827</v>
      </c>
      <c r="S28" s="38">
        <f>100000*((P28+1)*(1-1/(9*(P28+1))+1.96/(3*SQRT(P28+1)))^3)/Q28</f>
        <v>591.3821733552975</v>
      </c>
      <c r="T28" s="53">
        <f t="shared" si="19"/>
        <v>1363.1937255859375</v>
      </c>
      <c r="U28" s="51">
        <f t="shared" si="20"/>
        <v>155.9251708984375</v>
      </c>
      <c r="V28" s="7"/>
      <c r="W28" s="27">
        <f t="shared" si="2"/>
        <v>-293.0064697265625</v>
      </c>
      <c r="X28" s="27">
        <f t="shared" si="3"/>
        <v>1363.1937255859375</v>
      </c>
      <c r="Y28" s="27">
        <f t="shared" si="4"/>
        <v>-293.0064697265625</v>
      </c>
      <c r="Z28" s="27">
        <f t="shared" si="5"/>
        <v>1363.1937255859375</v>
      </c>
      <c r="AA28" s="32">
        <f t="shared" si="6"/>
        <v>0.27106121705310715</v>
      </c>
      <c r="AB28" s="33">
        <f t="shared" si="7"/>
        <v>0.4506811525582432</v>
      </c>
      <c r="AC28" s="33">
        <v>0.5</v>
      </c>
      <c r="AD28" s="33">
        <f t="shared" si="8"/>
        <v>0.5718584034661419</v>
      </c>
      <c r="AE28" s="33">
        <f t="shared" si="9"/>
        <v>1</v>
      </c>
      <c r="AF28" s="33">
        <f t="shared" si="10"/>
        <v>-999</v>
      </c>
      <c r="AG28" s="33">
        <f t="shared" si="11"/>
        <v>0.5019257543407802</v>
      </c>
      <c r="AH28" s="33">
        <f t="shared" si="12"/>
        <v>-999</v>
      </c>
      <c r="AI28" s="34">
        <f t="shared" si="13"/>
        <v>0.5288886700990237</v>
      </c>
      <c r="AJ28" s="4">
        <v>25.297955225459287</v>
      </c>
      <c r="AK28" s="32">
        <f t="shared" si="14"/>
        <v>-999</v>
      </c>
      <c r="AL28" s="34">
        <f t="shared" si="15"/>
        <v>-999</v>
      </c>
      <c r="AY28" s="103" t="s">
        <v>241</v>
      </c>
      <c r="AZ28" s="103" t="s">
        <v>242</v>
      </c>
      <c r="BA28" s="103" t="s">
        <v>597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492</v>
      </c>
      <c r="BA29" s="103" t="s">
        <v>417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417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513</v>
      </c>
      <c r="BA31" s="103" t="s">
        <v>417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472</v>
      </c>
      <c r="BA32" s="103" t="s">
        <v>417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537</v>
      </c>
      <c r="BA33" s="103" t="s">
        <v>597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417</v>
      </c>
      <c r="BB34" s="10">
        <v>532801</v>
      </c>
      <c r="BE34" s="77"/>
      <c r="BF34" s="253"/>
    </row>
    <row r="35" spans="2:58" ht="12.75">
      <c r="B35" s="17" t="s">
        <v>41</v>
      </c>
      <c r="C35" s="18"/>
      <c r="H35" s="290" t="s">
        <v>738</v>
      </c>
      <c r="I35" s="291"/>
      <c r="Y35" s="43"/>
      <c r="Z35" s="44"/>
      <c r="AA35" s="44"/>
      <c r="AB35" s="43"/>
      <c r="AC35" s="43"/>
      <c r="AY35" s="103" t="s">
        <v>159</v>
      </c>
      <c r="AZ35" s="103" t="s">
        <v>505</v>
      </c>
      <c r="BA35" s="103" t="s">
        <v>417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494</v>
      </c>
      <c r="BA36" s="103" t="s">
        <v>417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511</v>
      </c>
      <c r="BA37" s="103" t="s">
        <v>417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417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417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417</v>
      </c>
      <c r="BB40" s="10">
        <v>714731</v>
      </c>
      <c r="BF40" s="252"/>
    </row>
    <row r="41" spans="1:58" ht="12.75">
      <c r="A41" s="3"/>
      <c r="B41" s="71"/>
      <c r="C41" s="3"/>
      <c r="T41" s="13"/>
      <c r="U41" s="2"/>
      <c r="W41" s="2"/>
      <c r="X41" s="10"/>
      <c r="Y41" s="44"/>
      <c r="Z41" s="44"/>
      <c r="AA41" s="44"/>
      <c r="AB41" s="44"/>
      <c r="AC41" s="44"/>
      <c r="AD41" s="2"/>
      <c r="AE41" s="2"/>
      <c r="AY41" s="103" t="s">
        <v>272</v>
      </c>
      <c r="AZ41" s="103" t="s">
        <v>538</v>
      </c>
      <c r="BA41" s="103" t="s">
        <v>597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417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535</v>
      </c>
      <c r="BA43" s="103" t="s">
        <v>417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523</v>
      </c>
      <c r="BA44" s="103" t="s">
        <v>417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417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514</v>
      </c>
      <c r="BA46" s="103" t="s">
        <v>597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417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518</v>
      </c>
      <c r="BA48" s="103" t="s">
        <v>597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529</v>
      </c>
      <c r="BA49" s="103" t="s">
        <v>597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417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495</v>
      </c>
      <c r="BA51" s="103" t="s">
        <v>417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417</v>
      </c>
      <c r="BB52" s="10">
        <v>611636</v>
      </c>
      <c r="BF52" s="252"/>
    </row>
    <row r="53" spans="1:58" ht="12.75">
      <c r="A53" s="3"/>
      <c r="B53" s="12"/>
      <c r="C53" s="3"/>
      <c r="I53" s="11"/>
      <c r="J53" s="11"/>
      <c r="K53" s="11"/>
      <c r="L53" s="11"/>
      <c r="S53" s="11"/>
      <c r="U53" s="2"/>
      <c r="X53" s="2"/>
      <c r="Y53" s="2"/>
      <c r="Z53" s="2"/>
      <c r="AA53" s="2"/>
      <c r="AB53" s="2"/>
      <c r="AY53" s="103" t="s">
        <v>244</v>
      </c>
      <c r="AZ53" s="103" t="s">
        <v>528</v>
      </c>
      <c r="BA53" s="103" t="s">
        <v>417</v>
      </c>
      <c r="BB53" s="10">
        <v>230998</v>
      </c>
      <c r="BF53" s="252"/>
    </row>
    <row r="54" spans="1:58" ht="12.75">
      <c r="A54" s="3"/>
      <c r="B54" s="12"/>
      <c r="C54" s="3"/>
      <c r="I54" s="11"/>
      <c r="J54" s="11"/>
      <c r="K54" s="11"/>
      <c r="L54" s="11"/>
      <c r="S54" s="11"/>
      <c r="U54" s="2"/>
      <c r="X54" s="2"/>
      <c r="Y54" s="2"/>
      <c r="Z54" s="2"/>
      <c r="AA54" s="2"/>
      <c r="AB54" s="2"/>
      <c r="AY54" s="103" t="s">
        <v>67</v>
      </c>
      <c r="AZ54" s="103" t="s">
        <v>469</v>
      </c>
      <c r="BA54" s="103" t="s">
        <v>417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515</v>
      </c>
      <c r="BA55" s="103" t="s">
        <v>417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485</v>
      </c>
      <c r="BA56" s="103" t="s">
        <v>417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530</v>
      </c>
      <c r="BA57" s="103" t="s">
        <v>417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475</v>
      </c>
      <c r="BA58" s="103" t="s">
        <v>417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417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417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519</v>
      </c>
      <c r="BA61" s="103" t="s">
        <v>597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597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508</v>
      </c>
      <c r="BA63" s="103" t="s">
        <v>417</v>
      </c>
      <c r="BB63" s="10">
        <v>318405</v>
      </c>
      <c r="BE63" s="70"/>
      <c r="BF63" s="239"/>
    </row>
    <row r="64" spans="1:58" ht="12.75">
      <c r="A64" s="3"/>
      <c r="B64" s="12"/>
      <c r="C64" s="3"/>
      <c r="I64" s="11"/>
      <c r="V64" s="3"/>
      <c r="AY64" s="103" t="s">
        <v>78</v>
      </c>
      <c r="AZ64" s="103" t="s">
        <v>476</v>
      </c>
      <c r="BA64" s="103" t="s">
        <v>597</v>
      </c>
      <c r="BB64" s="10">
        <v>181285</v>
      </c>
      <c r="BE64" s="70"/>
      <c r="BF64" s="241"/>
    </row>
    <row r="65" spans="1:58" ht="12.75">
      <c r="A65" s="3"/>
      <c r="B65" s="12"/>
      <c r="C65" s="3"/>
      <c r="AY65" s="103" t="s">
        <v>586</v>
      </c>
      <c r="AZ65" s="103" t="s">
        <v>587</v>
      </c>
      <c r="BA65" s="103" t="s">
        <v>417</v>
      </c>
      <c r="BB65" s="10">
        <v>1169302</v>
      </c>
      <c r="BE65" s="70"/>
      <c r="BF65" s="241"/>
    </row>
    <row r="66" spans="1:58" ht="12.75">
      <c r="A66" s="3"/>
      <c r="B66" s="12"/>
      <c r="C66" s="3"/>
      <c r="E66" s="2"/>
      <c r="F66" s="2"/>
      <c r="G66" s="2"/>
      <c r="V66" s="2"/>
      <c r="AY66" s="103" t="s">
        <v>200</v>
      </c>
      <c r="AZ66" s="103" t="s">
        <v>516</v>
      </c>
      <c r="BA66" s="103" t="s">
        <v>417</v>
      </c>
      <c r="BB66" s="10">
        <v>217916</v>
      </c>
      <c r="BE66" s="70"/>
      <c r="BF66" s="239"/>
    </row>
    <row r="67" spans="1:58" ht="12.75">
      <c r="A67" s="3"/>
      <c r="B67" s="12"/>
      <c r="C67" s="3"/>
      <c r="AY67" s="103" t="s">
        <v>69</v>
      </c>
      <c r="AZ67" s="103" t="s">
        <v>70</v>
      </c>
      <c r="BA67" s="103" t="s">
        <v>417</v>
      </c>
      <c r="BB67" s="10">
        <v>270842</v>
      </c>
      <c r="BE67" s="70"/>
      <c r="BF67" s="239"/>
    </row>
    <row r="68" spans="1:58" ht="12.75">
      <c r="A68" s="3"/>
      <c r="B68" s="12"/>
      <c r="C68" s="3"/>
      <c r="AY68" s="103" t="s">
        <v>109</v>
      </c>
      <c r="AZ68" s="103" t="s">
        <v>110</v>
      </c>
      <c r="BA68" s="103" t="s">
        <v>417</v>
      </c>
      <c r="BB68" s="10">
        <v>251613</v>
      </c>
      <c r="BF68" s="252"/>
    </row>
    <row r="69" spans="1:58" ht="12.75">
      <c r="A69" s="3"/>
      <c r="B69" s="12"/>
      <c r="C69" s="3"/>
      <c r="AY69" s="103" t="s">
        <v>209</v>
      </c>
      <c r="AZ69" s="103" t="s">
        <v>210</v>
      </c>
      <c r="BA69" s="103" t="s">
        <v>417</v>
      </c>
      <c r="BB69" s="10">
        <v>283547</v>
      </c>
      <c r="BE69" s="70"/>
      <c r="BF69" s="241"/>
    </row>
    <row r="70" spans="1:58" ht="12.75">
      <c r="A70" s="3"/>
      <c r="B70" s="12"/>
      <c r="C70" s="3"/>
      <c r="AY70" s="103" t="s">
        <v>275</v>
      </c>
      <c r="AZ70" s="103" t="s">
        <v>539</v>
      </c>
      <c r="BA70" s="103" t="s">
        <v>596</v>
      </c>
      <c r="BB70" s="10">
        <v>141474</v>
      </c>
      <c r="BE70" s="70"/>
      <c r="BF70" s="239"/>
    </row>
    <row r="71" spans="1:58" ht="12.75">
      <c r="A71" s="3"/>
      <c r="B71" s="12"/>
      <c r="C71" s="3"/>
      <c r="AY71" s="103" t="s">
        <v>127</v>
      </c>
      <c r="AZ71" s="103" t="s">
        <v>493</v>
      </c>
      <c r="BA71" s="103" t="s">
        <v>417</v>
      </c>
      <c r="BB71" s="10">
        <v>213326</v>
      </c>
      <c r="BE71" s="70"/>
      <c r="BF71" s="239"/>
    </row>
    <row r="72" spans="1:58" ht="12.75">
      <c r="A72" s="3"/>
      <c r="B72" s="12"/>
      <c r="C72" s="3"/>
      <c r="AY72" s="103" t="s">
        <v>136</v>
      </c>
      <c r="AZ72" s="103" t="s">
        <v>137</v>
      </c>
      <c r="BA72" s="103" t="s">
        <v>417</v>
      </c>
      <c r="BB72" s="10">
        <v>183220</v>
      </c>
      <c r="BE72" s="250"/>
      <c r="BF72" s="239"/>
    </row>
    <row r="73" spans="1:58" ht="12.75">
      <c r="A73" s="3"/>
      <c r="B73" s="12"/>
      <c r="C73" s="3"/>
      <c r="AY73" s="103" t="s">
        <v>64</v>
      </c>
      <c r="AZ73" s="103" t="s">
        <v>468</v>
      </c>
      <c r="BA73" s="103" t="s">
        <v>417</v>
      </c>
      <c r="BB73" s="10">
        <v>190143</v>
      </c>
      <c r="BE73" s="70"/>
      <c r="BF73" s="239"/>
    </row>
    <row r="74" spans="1:58" ht="12.75">
      <c r="A74" s="3"/>
      <c r="B74" s="12"/>
      <c r="C74" s="3"/>
      <c r="AY74" s="103" t="s">
        <v>165</v>
      </c>
      <c r="AZ74" s="103" t="s">
        <v>166</v>
      </c>
      <c r="BA74" s="103" t="s">
        <v>597</v>
      </c>
      <c r="BB74" s="10">
        <v>419928</v>
      </c>
      <c r="BE74" s="70"/>
      <c r="BF74" s="241"/>
    </row>
    <row r="75" spans="1:58" ht="12.75">
      <c r="A75" s="3"/>
      <c r="B75" s="12"/>
      <c r="C75" s="3"/>
      <c r="AY75" s="103" t="s">
        <v>113</v>
      </c>
      <c r="AZ75" s="103" t="s">
        <v>487</v>
      </c>
      <c r="BA75" s="103" t="s">
        <v>417</v>
      </c>
      <c r="BB75" s="10">
        <v>158106</v>
      </c>
      <c r="BE75" s="70"/>
      <c r="BF75" s="241"/>
    </row>
    <row r="76" spans="1:58" ht="12.75">
      <c r="A76" s="3"/>
      <c r="B76" s="12"/>
      <c r="C76" s="3"/>
      <c r="AY76" s="103" t="s">
        <v>140</v>
      </c>
      <c r="AZ76" s="103" t="s">
        <v>141</v>
      </c>
      <c r="BA76" s="103" t="s">
        <v>417</v>
      </c>
      <c r="BB76" s="10">
        <v>377807</v>
      </c>
      <c r="BE76" s="70"/>
      <c r="BF76" s="241"/>
    </row>
    <row r="77" spans="1:58" ht="12.75">
      <c r="A77" s="3"/>
      <c r="B77" s="12"/>
      <c r="C77" s="3"/>
      <c r="AY77" s="103" t="s">
        <v>163</v>
      </c>
      <c r="AZ77" s="103" t="s">
        <v>164</v>
      </c>
      <c r="BA77" s="103" t="s">
        <v>597</v>
      </c>
      <c r="BB77" s="10">
        <v>799634</v>
      </c>
      <c r="BE77" s="70"/>
      <c r="BF77" s="249"/>
    </row>
    <row r="78" spans="1:58" ht="12.75">
      <c r="A78" s="3"/>
      <c r="B78" s="12"/>
      <c r="C78" s="3"/>
      <c r="AY78" s="103" t="s">
        <v>224</v>
      </c>
      <c r="AZ78" s="103" t="s">
        <v>225</v>
      </c>
      <c r="BA78" s="103" t="s">
        <v>417</v>
      </c>
      <c r="BB78" s="10">
        <v>362638</v>
      </c>
      <c r="BE78" s="70"/>
      <c r="BF78" s="239"/>
    </row>
    <row r="79" spans="1:58" ht="12.75">
      <c r="A79" s="3"/>
      <c r="B79" s="12"/>
      <c r="C79" s="3"/>
      <c r="AY79" s="103" t="s">
        <v>223</v>
      </c>
      <c r="AZ79" s="103" t="s">
        <v>521</v>
      </c>
      <c r="BA79" s="103" t="s">
        <v>417</v>
      </c>
      <c r="BB79" s="10">
        <v>678998</v>
      </c>
      <c r="BF79" s="239"/>
    </row>
    <row r="80" spans="1:58" ht="12.75">
      <c r="A80" s="3"/>
      <c r="B80" s="12"/>
      <c r="C80" s="3"/>
      <c r="AY80" s="103" t="s">
        <v>144</v>
      </c>
      <c r="AZ80" s="103" t="s">
        <v>145</v>
      </c>
      <c r="BA80" s="103" t="s">
        <v>417</v>
      </c>
      <c r="BB80" s="10">
        <v>290986</v>
      </c>
      <c r="BF80" s="252"/>
    </row>
    <row r="81" spans="1:58" ht="12.75">
      <c r="A81" s="3"/>
      <c r="B81" s="12"/>
      <c r="C81" s="3"/>
      <c r="AY81" s="103" t="s">
        <v>178</v>
      </c>
      <c r="AZ81" s="103" t="s">
        <v>510</v>
      </c>
      <c r="BA81" s="103" t="s">
        <v>597</v>
      </c>
      <c r="BB81" s="10">
        <v>747976</v>
      </c>
      <c r="BF81" s="252"/>
    </row>
    <row r="82" spans="1:58" ht="12.75">
      <c r="A82" s="3"/>
      <c r="B82" s="12"/>
      <c r="C82" s="3"/>
      <c r="AY82" s="103" t="s">
        <v>193</v>
      </c>
      <c r="AZ82" s="103" t="s">
        <v>194</v>
      </c>
      <c r="BA82" s="103" t="s">
        <v>417</v>
      </c>
      <c r="BB82" s="10">
        <v>489140</v>
      </c>
      <c r="BF82" s="252"/>
    </row>
    <row r="83" spans="1:58" ht="12.75">
      <c r="A83" s="3"/>
      <c r="B83" s="12"/>
      <c r="C83" s="3"/>
      <c r="AY83" s="103" t="s">
        <v>98</v>
      </c>
      <c r="AZ83" s="103" t="s">
        <v>484</v>
      </c>
      <c r="BA83" s="103" t="s">
        <v>597</v>
      </c>
      <c r="BB83" s="10">
        <v>208442</v>
      </c>
      <c r="BE83" s="70"/>
      <c r="BF83" s="241"/>
    </row>
    <row r="84" spans="1:58" ht="12.75">
      <c r="A84" s="3"/>
      <c r="B84" s="12"/>
      <c r="C84" s="3"/>
      <c r="AY84" s="103" t="s">
        <v>203</v>
      </c>
      <c r="AZ84" s="103" t="s">
        <v>204</v>
      </c>
      <c r="BA84" s="103" t="s">
        <v>597</v>
      </c>
      <c r="BB84" s="10">
        <v>545543</v>
      </c>
      <c r="BE84" s="70"/>
      <c r="BF84" s="241"/>
    </row>
    <row r="85" spans="1:58" ht="12.75">
      <c r="A85" s="3"/>
      <c r="B85" s="12"/>
      <c r="C85" s="3"/>
      <c r="AY85" s="103" t="s">
        <v>135</v>
      </c>
      <c r="AZ85" s="103" t="s">
        <v>499</v>
      </c>
      <c r="BA85" s="103" t="s">
        <v>597</v>
      </c>
      <c r="BB85" s="10">
        <v>274067</v>
      </c>
      <c r="BE85" s="70"/>
      <c r="BF85" s="241"/>
    </row>
    <row r="86" spans="1:58" ht="12.75">
      <c r="A86" s="3"/>
      <c r="B86" s="12"/>
      <c r="C86" s="3"/>
      <c r="AY86" s="103" t="s">
        <v>251</v>
      </c>
      <c r="AZ86" s="103" t="s">
        <v>252</v>
      </c>
      <c r="BA86" s="103" t="s">
        <v>597</v>
      </c>
      <c r="BB86" s="10">
        <v>374861</v>
      </c>
      <c r="BE86" s="70"/>
      <c r="BF86" s="249"/>
    </row>
    <row r="87" spans="1:58" ht="12.75">
      <c r="A87" s="3"/>
      <c r="B87" s="12"/>
      <c r="C87" s="3"/>
      <c r="AY87" s="103" t="s">
        <v>132</v>
      </c>
      <c r="AZ87" s="103" t="s">
        <v>133</v>
      </c>
      <c r="BA87" s="103" t="s">
        <v>417</v>
      </c>
      <c r="BB87" s="10">
        <v>153833</v>
      </c>
      <c r="BE87" s="70"/>
      <c r="BF87" s="249"/>
    </row>
    <row r="88" spans="1:58" ht="12.75">
      <c r="A88" s="3"/>
      <c r="B88" s="12"/>
      <c r="C88" s="3"/>
      <c r="AY88" s="103" t="s">
        <v>79</v>
      </c>
      <c r="AZ88" s="103" t="s">
        <v>80</v>
      </c>
      <c r="BA88" s="103" t="s">
        <v>597</v>
      </c>
      <c r="BB88" s="10">
        <v>258492</v>
      </c>
      <c r="BE88" s="70"/>
      <c r="BF88" s="241"/>
    </row>
    <row r="89" spans="1:58" ht="12.75">
      <c r="A89" s="3"/>
      <c r="B89" s="12"/>
      <c r="C89" s="3"/>
      <c r="AY89" s="103" t="s">
        <v>81</v>
      </c>
      <c r="AZ89" s="103" t="s">
        <v>477</v>
      </c>
      <c r="BA89" s="103" t="s">
        <v>417</v>
      </c>
      <c r="BB89" s="10">
        <v>283085</v>
      </c>
      <c r="BE89" s="70"/>
      <c r="BF89" s="241"/>
    </row>
    <row r="90" spans="1:58" ht="12.75">
      <c r="A90" s="3"/>
      <c r="B90" s="12"/>
      <c r="C90" s="3"/>
      <c r="AY90" s="103" t="s">
        <v>76</v>
      </c>
      <c r="AZ90" s="103" t="s">
        <v>474</v>
      </c>
      <c r="BA90" s="103" t="s">
        <v>417</v>
      </c>
      <c r="BB90" s="10">
        <v>357346</v>
      </c>
      <c r="BE90" s="70"/>
      <c r="BF90" s="241"/>
    </row>
    <row r="91" spans="1:58" ht="12.75">
      <c r="A91" s="3"/>
      <c r="B91" s="12"/>
      <c r="C91" s="3"/>
      <c r="AY91" s="103" t="s">
        <v>243</v>
      </c>
      <c r="AZ91" s="103" t="s">
        <v>527</v>
      </c>
      <c r="BA91" s="103" t="s">
        <v>597</v>
      </c>
      <c r="BB91" s="10">
        <v>748575</v>
      </c>
      <c r="BE91" s="247"/>
      <c r="BF91" s="249"/>
    </row>
    <row r="92" spans="1:58" ht="12.75">
      <c r="A92" s="3"/>
      <c r="B92" s="12"/>
      <c r="C92" s="3"/>
      <c r="AY92" s="103" t="s">
        <v>249</v>
      </c>
      <c r="AZ92" s="103" t="s">
        <v>250</v>
      </c>
      <c r="BA92" s="103" t="s">
        <v>597</v>
      </c>
      <c r="BB92" s="10">
        <v>322673</v>
      </c>
      <c r="BE92" s="247"/>
      <c r="BF92" s="249"/>
    </row>
    <row r="93" spans="1:58" ht="12.75">
      <c r="A93" s="3"/>
      <c r="B93" s="12"/>
      <c r="C93" s="3"/>
      <c r="AY93" s="103" t="s">
        <v>58</v>
      </c>
      <c r="AZ93" s="103" t="s">
        <v>59</v>
      </c>
      <c r="BA93" s="103" t="s">
        <v>417</v>
      </c>
      <c r="BB93" s="10">
        <v>165284</v>
      </c>
      <c r="BF93" s="252"/>
    </row>
    <row r="94" spans="1:58" ht="12.75">
      <c r="A94" s="3"/>
      <c r="B94" s="12"/>
      <c r="C94" s="3"/>
      <c r="AY94" s="103" t="s">
        <v>186</v>
      </c>
      <c r="AZ94" s="103" t="s">
        <v>512</v>
      </c>
      <c r="BA94" s="103" t="s">
        <v>417</v>
      </c>
      <c r="BB94" s="10">
        <v>339272</v>
      </c>
      <c r="BE94" s="70"/>
      <c r="BF94" s="241"/>
    </row>
    <row r="95" spans="1:58" ht="12.75">
      <c r="A95" s="3"/>
      <c r="B95" s="12"/>
      <c r="C95" s="3"/>
      <c r="AY95" s="103" t="s">
        <v>86</v>
      </c>
      <c r="AZ95" s="103" t="s">
        <v>87</v>
      </c>
      <c r="BA95" s="103" t="s">
        <v>417</v>
      </c>
      <c r="BB95" s="10">
        <v>165642</v>
      </c>
      <c r="BE95" s="247"/>
      <c r="BF95" s="249"/>
    </row>
    <row r="96" spans="1:58" ht="12.75">
      <c r="A96" s="3"/>
      <c r="B96" s="12"/>
      <c r="C96" s="3"/>
      <c r="AY96" s="103" t="s">
        <v>157</v>
      </c>
      <c r="AZ96" s="103" t="s">
        <v>158</v>
      </c>
      <c r="BA96" s="103" t="s">
        <v>417</v>
      </c>
      <c r="BB96" s="10">
        <v>208351</v>
      </c>
      <c r="BE96" s="243"/>
      <c r="BF96" s="238"/>
    </row>
    <row r="97" spans="1:58" ht="12.75">
      <c r="A97" s="3"/>
      <c r="B97" s="12"/>
      <c r="C97" s="3"/>
      <c r="AY97" s="103" t="s">
        <v>231</v>
      </c>
      <c r="AZ97" s="103" t="s">
        <v>232</v>
      </c>
      <c r="BA97" s="103" t="s">
        <v>417</v>
      </c>
      <c r="BB97" s="10">
        <v>203178</v>
      </c>
      <c r="BE97" s="243"/>
      <c r="BF97" s="238"/>
    </row>
    <row r="98" spans="1:58" ht="12.75">
      <c r="A98" s="3"/>
      <c r="B98" s="12"/>
      <c r="C98" s="3"/>
      <c r="AY98" s="103" t="s">
        <v>82</v>
      </c>
      <c r="AZ98" s="103" t="s">
        <v>478</v>
      </c>
      <c r="BA98" s="103" t="s">
        <v>417</v>
      </c>
      <c r="BB98" s="10">
        <v>214052</v>
      </c>
      <c r="BE98" s="248"/>
      <c r="BF98" s="241"/>
    </row>
    <row r="99" spans="1:58" ht="12.75">
      <c r="A99" s="3"/>
      <c r="B99" s="12"/>
      <c r="C99" s="3"/>
      <c r="AY99" s="103" t="s">
        <v>205</v>
      </c>
      <c r="AZ99" s="103" t="s">
        <v>206</v>
      </c>
      <c r="BA99" s="103" t="s">
        <v>597</v>
      </c>
      <c r="BB99" s="10">
        <v>795503</v>
      </c>
      <c r="BE99" s="70"/>
      <c r="BF99" s="249"/>
    </row>
    <row r="100" spans="1:58" ht="12.75">
      <c r="A100" s="3"/>
      <c r="B100" s="12"/>
      <c r="C100" s="3"/>
      <c r="AY100" s="103" t="s">
        <v>226</v>
      </c>
      <c r="AZ100" s="103" t="s">
        <v>522</v>
      </c>
      <c r="BA100" s="103" t="s">
        <v>417</v>
      </c>
      <c r="BB100" s="10">
        <v>648340</v>
      </c>
      <c r="BE100" s="70"/>
      <c r="BF100" s="249"/>
    </row>
    <row r="101" spans="51:58" ht="12.75">
      <c r="AY101" s="103" t="s">
        <v>51</v>
      </c>
      <c r="AZ101" s="103" t="s">
        <v>52</v>
      </c>
      <c r="BA101" s="103" t="s">
        <v>417</v>
      </c>
      <c r="BB101" s="10">
        <v>320818</v>
      </c>
      <c r="BE101" s="237"/>
      <c r="BF101" s="238"/>
    </row>
    <row r="102" spans="51:58" ht="12.75">
      <c r="AY102" s="103" t="s">
        <v>88</v>
      </c>
      <c r="AZ102" s="103" t="s">
        <v>89</v>
      </c>
      <c r="BA102" s="103" t="s">
        <v>417</v>
      </c>
      <c r="BB102" s="10">
        <v>339920</v>
      </c>
      <c r="BE102" s="237"/>
      <c r="BF102" s="238"/>
    </row>
    <row r="103" spans="51:58" ht="12.75">
      <c r="AY103" s="103" t="s">
        <v>177</v>
      </c>
      <c r="AZ103" s="103" t="s">
        <v>509</v>
      </c>
      <c r="BA103" s="103" t="s">
        <v>417</v>
      </c>
      <c r="BB103" s="10">
        <v>656875</v>
      </c>
      <c r="BE103" s="70"/>
      <c r="BF103" s="239"/>
    </row>
    <row r="104" spans="51:58" ht="12.75">
      <c r="AY104" s="103" t="s">
        <v>114</v>
      </c>
      <c r="AZ104" s="103" t="s">
        <v>488</v>
      </c>
      <c r="BA104" s="103" t="s">
        <v>417</v>
      </c>
      <c r="BB104" s="10">
        <v>236592</v>
      </c>
      <c r="BF104" s="252"/>
    </row>
    <row r="105" spans="51:58" ht="12.75">
      <c r="AY105" s="103" t="s">
        <v>259</v>
      </c>
      <c r="AZ105" s="103" t="s">
        <v>531</v>
      </c>
      <c r="BA105" s="103" t="s">
        <v>597</v>
      </c>
      <c r="BB105" s="10">
        <v>671572</v>
      </c>
      <c r="BE105" s="237"/>
      <c r="BF105" s="238"/>
    </row>
    <row r="106" spans="51:58" ht="12.75">
      <c r="AY106" s="103" t="s">
        <v>239</v>
      </c>
      <c r="AZ106" s="103" t="s">
        <v>240</v>
      </c>
      <c r="BA106" s="103" t="s">
        <v>597</v>
      </c>
      <c r="BB106" s="10">
        <v>177882</v>
      </c>
      <c r="BF106" s="252"/>
    </row>
    <row r="107" spans="51:58" ht="12.75">
      <c r="AY107" s="103" t="s">
        <v>91</v>
      </c>
      <c r="AZ107" s="103" t="s">
        <v>481</v>
      </c>
      <c r="BA107" s="103" t="s">
        <v>417</v>
      </c>
      <c r="BB107" s="10">
        <v>274443</v>
      </c>
      <c r="BF107" s="252"/>
    </row>
    <row r="108" spans="51:58" ht="12.75">
      <c r="AY108" s="103" t="s">
        <v>95</v>
      </c>
      <c r="AZ108" s="103" t="s">
        <v>483</v>
      </c>
      <c r="BA108" s="103" t="s">
        <v>417</v>
      </c>
      <c r="BB108" s="10">
        <v>213174</v>
      </c>
      <c r="BE108" s="70"/>
      <c r="BF108" s="239"/>
    </row>
    <row r="109" spans="51:58" ht="12.75">
      <c r="AY109" s="103" t="s">
        <v>179</v>
      </c>
      <c r="AZ109" s="103" t="s">
        <v>180</v>
      </c>
      <c r="BA109" s="103" t="s">
        <v>417</v>
      </c>
      <c r="BB109" s="10">
        <v>278950</v>
      </c>
      <c r="BE109" s="237"/>
      <c r="BF109" s="238"/>
    </row>
    <row r="110" spans="51:58" ht="12.75">
      <c r="AY110" s="103" t="s">
        <v>273</v>
      </c>
      <c r="AZ110" s="103" t="s">
        <v>274</v>
      </c>
      <c r="BA110" s="103" t="s">
        <v>417</v>
      </c>
      <c r="BB110" s="10">
        <v>133304</v>
      </c>
      <c r="BE110" s="70"/>
      <c r="BF110" s="249"/>
    </row>
    <row r="111" spans="51:58" ht="12.75">
      <c r="AY111" s="103" t="s">
        <v>155</v>
      </c>
      <c r="AZ111" s="103" t="s">
        <v>503</v>
      </c>
      <c r="BA111" s="103" t="s">
        <v>417</v>
      </c>
      <c r="BB111" s="10">
        <v>197060</v>
      </c>
      <c r="BE111" s="70"/>
      <c r="BF111" s="239"/>
    </row>
    <row r="112" spans="51:58" ht="12.75">
      <c r="AY112" s="103" t="s">
        <v>100</v>
      </c>
      <c r="AZ112" s="103" t="s">
        <v>101</v>
      </c>
      <c r="BA112" s="103" t="s">
        <v>417</v>
      </c>
      <c r="BB112" s="10">
        <v>253140</v>
      </c>
      <c r="BE112" s="250"/>
      <c r="BF112" s="249"/>
    </row>
    <row r="113" spans="51:58" ht="12.75">
      <c r="AY113" s="103" t="s">
        <v>92</v>
      </c>
      <c r="AZ113" s="103" t="s">
        <v>93</v>
      </c>
      <c r="BA113" s="103" t="s">
        <v>417</v>
      </c>
      <c r="BB113" s="10">
        <v>240983</v>
      </c>
      <c r="BE113" s="70"/>
      <c r="BF113" s="241"/>
    </row>
    <row r="114" spans="51:58" ht="12.75">
      <c r="AY114" s="103" t="s">
        <v>228</v>
      </c>
      <c r="AZ114" s="103" t="s">
        <v>524</v>
      </c>
      <c r="BA114" s="103" t="s">
        <v>417</v>
      </c>
      <c r="BB114" s="10">
        <v>340451</v>
      </c>
      <c r="BF114" s="241"/>
    </row>
    <row r="115" spans="51:58" ht="12.75">
      <c r="AY115" s="103" t="s">
        <v>189</v>
      </c>
      <c r="AZ115" s="103" t="s">
        <v>190</v>
      </c>
      <c r="BA115" s="103" t="s">
        <v>417</v>
      </c>
      <c r="BB115" s="10">
        <v>280673</v>
      </c>
      <c r="BE115" s="248"/>
      <c r="BF115" s="241"/>
    </row>
    <row r="116" spans="51:58" ht="12.75">
      <c r="AY116" s="103" t="s">
        <v>169</v>
      </c>
      <c r="AZ116" s="103" t="s">
        <v>170</v>
      </c>
      <c r="BA116" s="103" t="s">
        <v>417</v>
      </c>
      <c r="BB116" s="10">
        <v>565874</v>
      </c>
      <c r="BE116" s="70"/>
      <c r="BF116" s="239"/>
    </row>
    <row r="117" spans="51:58" ht="12.75">
      <c r="AY117" s="103" t="s">
        <v>152</v>
      </c>
      <c r="AZ117" s="103" t="s">
        <v>502</v>
      </c>
      <c r="BA117" s="103" t="s">
        <v>597</v>
      </c>
      <c r="BB117" s="10">
        <v>295379</v>
      </c>
      <c r="BE117" s="237"/>
      <c r="BF117" s="238"/>
    </row>
    <row r="118" spans="51:58" ht="12.75">
      <c r="AY118" s="103" t="s">
        <v>56</v>
      </c>
      <c r="AZ118" s="103" t="s">
        <v>57</v>
      </c>
      <c r="BA118" s="103" t="s">
        <v>417</v>
      </c>
      <c r="BB118" s="10">
        <v>217094</v>
      </c>
      <c r="BE118" s="70"/>
      <c r="BF118" s="239"/>
    </row>
    <row r="119" spans="51:58" ht="12.75">
      <c r="AY119" s="103" t="s">
        <v>268</v>
      </c>
      <c r="AZ119" s="103" t="s">
        <v>534</v>
      </c>
      <c r="BA119" s="103" t="s">
        <v>417</v>
      </c>
      <c r="BB119" s="10">
        <v>538131</v>
      </c>
      <c r="BE119" s="70"/>
      <c r="BF119" s="239"/>
    </row>
    <row r="120" spans="51:58" ht="12.75">
      <c r="AY120" s="103" t="s">
        <v>150</v>
      </c>
      <c r="AZ120" s="103" t="s">
        <v>151</v>
      </c>
      <c r="BA120" s="103" t="s">
        <v>597</v>
      </c>
      <c r="BB120" s="10">
        <v>389725</v>
      </c>
      <c r="BE120" s="70"/>
      <c r="BF120" s="239"/>
    </row>
    <row r="121" spans="51:58" ht="12.75">
      <c r="AY121" s="103" t="s">
        <v>212</v>
      </c>
      <c r="AZ121" s="103" t="s">
        <v>213</v>
      </c>
      <c r="BA121" s="103" t="s">
        <v>597</v>
      </c>
      <c r="BB121" s="10">
        <v>356812</v>
      </c>
      <c r="BE121" s="237"/>
      <c r="BF121" s="238"/>
    </row>
    <row r="122" spans="51:58" ht="12.75">
      <c r="AY122" s="103" t="s">
        <v>60</v>
      </c>
      <c r="AZ122" s="103" t="s">
        <v>61</v>
      </c>
      <c r="BA122" s="103" t="s">
        <v>417</v>
      </c>
      <c r="BB122" s="10">
        <v>256321</v>
      </c>
      <c r="BE122" s="70"/>
      <c r="BF122" s="249"/>
    </row>
    <row r="123" spans="51:58" ht="12.75">
      <c r="AY123" s="103" t="s">
        <v>234</v>
      </c>
      <c r="AZ123" s="103" t="s">
        <v>526</v>
      </c>
      <c r="BA123" s="103" t="s">
        <v>597</v>
      </c>
      <c r="BB123" s="10">
        <v>615835</v>
      </c>
      <c r="BF123" s="252"/>
    </row>
    <row r="124" spans="51:58" ht="12.75">
      <c r="AY124" s="103" t="s">
        <v>130</v>
      </c>
      <c r="AZ124" s="103" t="s">
        <v>496</v>
      </c>
      <c r="BA124" s="103" t="s">
        <v>417</v>
      </c>
      <c r="BB124" s="10">
        <v>150179</v>
      </c>
      <c r="BF124" s="252"/>
    </row>
    <row r="125" spans="51:58" ht="12.75">
      <c r="AY125" s="103" t="s">
        <v>253</v>
      </c>
      <c r="AZ125" s="103" t="s">
        <v>254</v>
      </c>
      <c r="BA125" s="103" t="s">
        <v>417</v>
      </c>
      <c r="BB125" s="10">
        <v>420503</v>
      </c>
      <c r="BE125" s="70"/>
      <c r="BF125" s="249"/>
    </row>
    <row r="126" spans="51:58" ht="12.75">
      <c r="AY126" s="103" t="s">
        <v>134</v>
      </c>
      <c r="AZ126" s="103" t="s">
        <v>498</v>
      </c>
      <c r="BA126" s="103" t="s">
        <v>417</v>
      </c>
      <c r="BB126" s="10">
        <v>263936</v>
      </c>
      <c r="BE126" s="70"/>
      <c r="BF126" s="239"/>
    </row>
    <row r="127" spans="51:58" ht="12.75">
      <c r="AY127" s="103" t="s">
        <v>142</v>
      </c>
      <c r="AZ127" s="103" t="s">
        <v>143</v>
      </c>
      <c r="BA127" s="103" t="s">
        <v>417</v>
      </c>
      <c r="BB127" s="10">
        <v>308593</v>
      </c>
      <c r="BF127" s="252"/>
    </row>
    <row r="128" spans="51:58" ht="12.75">
      <c r="AY128" s="103" t="s">
        <v>94</v>
      </c>
      <c r="AZ128" s="103" t="s">
        <v>482</v>
      </c>
      <c r="BA128" s="103" t="s">
        <v>597</v>
      </c>
      <c r="BB128" s="10">
        <v>298190</v>
      </c>
      <c r="BE128" s="250"/>
      <c r="BF128" s="249"/>
    </row>
    <row r="129" spans="51:58" ht="12.75">
      <c r="AY129" s="103" t="s">
        <v>85</v>
      </c>
      <c r="AZ129" s="103" t="s">
        <v>479</v>
      </c>
      <c r="BA129" s="103" t="s">
        <v>417</v>
      </c>
      <c r="BB129" s="10">
        <v>191885</v>
      </c>
      <c r="BE129" s="70"/>
      <c r="BF129" s="249"/>
    </row>
    <row r="130" spans="51:58" ht="12.75">
      <c r="AY130" s="103" t="s">
        <v>233</v>
      </c>
      <c r="AZ130" s="103" t="s">
        <v>525</v>
      </c>
      <c r="BA130" s="103" t="s">
        <v>417</v>
      </c>
      <c r="BB130" s="10">
        <v>268223</v>
      </c>
      <c r="BE130" s="70"/>
      <c r="BF130" s="249"/>
    </row>
    <row r="131" spans="51:58" ht="12.75">
      <c r="AY131" s="103" t="s">
        <v>245</v>
      </c>
      <c r="AZ131" s="103" t="s">
        <v>246</v>
      </c>
      <c r="BA131" s="103" t="s">
        <v>597</v>
      </c>
      <c r="BB131" s="10">
        <v>616983</v>
      </c>
      <c r="BE131" s="247"/>
      <c r="BF131" s="249"/>
    </row>
    <row r="132" spans="51:58" ht="12.75">
      <c r="AY132" s="103" t="s">
        <v>131</v>
      </c>
      <c r="AZ132" s="103" t="s">
        <v>497</v>
      </c>
      <c r="BA132" s="103" t="s">
        <v>417</v>
      </c>
      <c r="BB132" s="10">
        <v>283991</v>
      </c>
      <c r="BE132" s="247"/>
      <c r="BF132" s="249"/>
    </row>
    <row r="133" spans="51:58" ht="12.75">
      <c r="AY133" s="103" t="s">
        <v>216</v>
      </c>
      <c r="AZ133" s="103" t="s">
        <v>217</v>
      </c>
      <c r="BA133" s="103" t="s">
        <v>417</v>
      </c>
      <c r="BB133" s="10">
        <v>1156805</v>
      </c>
      <c r="BE133" s="247"/>
      <c r="BF133" s="251"/>
    </row>
    <row r="134" spans="51:58" ht="12.75">
      <c r="AY134" s="103" t="s">
        <v>156</v>
      </c>
      <c r="AZ134" s="103" t="s">
        <v>504</v>
      </c>
      <c r="BA134" s="103" t="s">
        <v>417</v>
      </c>
      <c r="BB134" s="10">
        <v>390971</v>
      </c>
      <c r="BE134" s="243"/>
      <c r="BF134" s="238"/>
    </row>
    <row r="135" spans="51:58" ht="12.75">
      <c r="AY135" s="103" t="s">
        <v>121</v>
      </c>
      <c r="AZ135" s="103" t="s">
        <v>122</v>
      </c>
      <c r="BA135" s="103" t="s">
        <v>596</v>
      </c>
      <c r="BB135" s="10">
        <v>218182</v>
      </c>
      <c r="BE135" s="250"/>
      <c r="BF135" s="249"/>
    </row>
    <row r="136" spans="51:58" ht="12.75">
      <c r="AY136" s="103" t="s">
        <v>148</v>
      </c>
      <c r="AZ136" s="103" t="s">
        <v>500</v>
      </c>
      <c r="BA136" s="103" t="s">
        <v>597</v>
      </c>
      <c r="BB136" s="10">
        <v>236598</v>
      </c>
      <c r="BE136" s="237"/>
      <c r="BF136" s="238"/>
    </row>
    <row r="137" spans="51:58" ht="12.75">
      <c r="AY137" s="103" t="s">
        <v>160</v>
      </c>
      <c r="AZ137" s="103" t="s">
        <v>506</v>
      </c>
      <c r="BA137" s="103" t="s">
        <v>597</v>
      </c>
      <c r="BB137" s="10">
        <v>165993</v>
      </c>
      <c r="BF137" s="252"/>
    </row>
    <row r="138" spans="51:58" ht="12.75">
      <c r="AY138" s="103" t="s">
        <v>54</v>
      </c>
      <c r="AZ138" s="103" t="s">
        <v>55</v>
      </c>
      <c r="BA138" s="103" t="s">
        <v>417</v>
      </c>
      <c r="BB138" s="10">
        <v>145889</v>
      </c>
      <c r="BE138" s="70"/>
      <c r="BF138" s="239"/>
    </row>
    <row r="139" spans="51:58" ht="12.75">
      <c r="AY139" s="103" t="s">
        <v>75</v>
      </c>
      <c r="AZ139" s="103" t="s">
        <v>473</v>
      </c>
      <c r="BA139" s="103" t="s">
        <v>417</v>
      </c>
      <c r="BB139" s="10">
        <v>267393</v>
      </c>
      <c r="BE139" s="237"/>
      <c r="BF139" s="238"/>
    </row>
    <row r="140" spans="51:58" ht="12.75">
      <c r="AY140" s="103" t="s">
        <v>201</v>
      </c>
      <c r="AZ140" s="103" t="s">
        <v>202</v>
      </c>
      <c r="BA140" s="103" t="s">
        <v>597</v>
      </c>
      <c r="BB140" s="10">
        <v>232551</v>
      </c>
      <c r="BE140" s="70"/>
      <c r="BF140" s="239"/>
    </row>
    <row r="141" spans="51:58" ht="12.75">
      <c r="AY141" s="103" t="s">
        <v>167</v>
      </c>
      <c r="AZ141" s="103" t="s">
        <v>168</v>
      </c>
      <c r="BA141" s="103" t="s">
        <v>597</v>
      </c>
      <c r="BB141" s="10">
        <v>350958</v>
      </c>
      <c r="BE141" s="70"/>
      <c r="BF141" s="239"/>
    </row>
    <row r="142" spans="51:58" ht="12.75">
      <c r="AY142" s="103" t="s">
        <v>153</v>
      </c>
      <c r="AZ142" s="103" t="s">
        <v>154</v>
      </c>
      <c r="BA142" s="103" t="s">
        <v>417</v>
      </c>
      <c r="BB142" s="10">
        <v>265654</v>
      </c>
      <c r="BE142" s="70"/>
      <c r="BF142" s="241"/>
    </row>
    <row r="143" spans="51:58" ht="12.75">
      <c r="AY143" s="103" t="s">
        <v>181</v>
      </c>
      <c r="AZ143" s="103" t="s">
        <v>182</v>
      </c>
      <c r="BA143" s="103" t="s">
        <v>417</v>
      </c>
      <c r="BB143" s="10">
        <v>284466</v>
      </c>
      <c r="BE143" s="70"/>
      <c r="BF143" s="249"/>
    </row>
    <row r="144" spans="51:58" ht="12.75">
      <c r="AY144" s="103" t="s">
        <v>146</v>
      </c>
      <c r="AZ144" s="103" t="s">
        <v>147</v>
      </c>
      <c r="BA144" s="103" t="s">
        <v>417</v>
      </c>
      <c r="BB144" s="10">
        <v>319933</v>
      </c>
      <c r="BE144" s="70"/>
      <c r="BF144" s="241"/>
    </row>
    <row r="145" spans="51:58" ht="12.75">
      <c r="AY145" s="103" t="s">
        <v>111</v>
      </c>
      <c r="AZ145" s="103" t="s">
        <v>112</v>
      </c>
      <c r="BA145" s="103" t="s">
        <v>417</v>
      </c>
      <c r="BB145" s="10">
        <v>192336</v>
      </c>
      <c r="BE145" s="248"/>
      <c r="BF145" s="249"/>
    </row>
    <row r="146" spans="51:58" ht="12.75">
      <c r="AY146" s="103" t="s">
        <v>237</v>
      </c>
      <c r="AZ146" s="103" t="s">
        <v>238</v>
      </c>
      <c r="BA146" s="103" t="s">
        <v>417</v>
      </c>
      <c r="BB146" s="10">
        <v>548313</v>
      </c>
      <c r="BF146" s="252"/>
    </row>
    <row r="147" spans="51:58" ht="12.75">
      <c r="AY147" s="103" t="s">
        <v>247</v>
      </c>
      <c r="AZ147" s="103" t="s">
        <v>248</v>
      </c>
      <c r="BA147" s="103" t="s">
        <v>417</v>
      </c>
      <c r="BB147" s="10">
        <v>287229</v>
      </c>
      <c r="BF147" s="252"/>
    </row>
    <row r="148" spans="51:58" ht="12.75">
      <c r="AY148" s="103" t="s">
        <v>222</v>
      </c>
      <c r="AZ148" s="103" t="s">
        <v>520</v>
      </c>
      <c r="BA148" s="103" t="s">
        <v>597</v>
      </c>
      <c r="BB148" s="10">
        <v>707573</v>
      </c>
      <c r="BF148" s="252"/>
    </row>
    <row r="149" spans="51:58" ht="12.75">
      <c r="AY149" s="103" t="s">
        <v>218</v>
      </c>
      <c r="AZ149" s="103" t="s">
        <v>219</v>
      </c>
      <c r="BA149" s="103" t="s">
        <v>597</v>
      </c>
      <c r="BB149" s="10">
        <v>825533</v>
      </c>
      <c r="BE149" s="248"/>
      <c r="BF149" s="249"/>
    </row>
    <row r="150" spans="51:58" ht="12.75">
      <c r="AY150" s="103" t="s">
        <v>196</v>
      </c>
      <c r="AZ150" s="103" t="s">
        <v>197</v>
      </c>
      <c r="BA150" s="103" t="s">
        <v>417</v>
      </c>
      <c r="BB150" s="10">
        <v>259945</v>
      </c>
      <c r="BF150" s="252"/>
    </row>
    <row r="151" spans="51:58" ht="12.75">
      <c r="AY151" s="103" t="s">
        <v>138</v>
      </c>
      <c r="AZ151" s="103" t="s">
        <v>139</v>
      </c>
      <c r="BA151" s="103" t="s">
        <v>417</v>
      </c>
      <c r="BB151" s="10">
        <v>246573</v>
      </c>
      <c r="BF151" s="252"/>
    </row>
    <row r="152" spans="51:58" ht="12.75">
      <c r="AY152" s="103" t="s">
        <v>266</v>
      </c>
      <c r="AZ152" s="103" t="s">
        <v>267</v>
      </c>
      <c r="BA152" s="103" t="s">
        <v>597</v>
      </c>
      <c r="BB152" s="10">
        <v>462395</v>
      </c>
      <c r="BE152" s="250"/>
      <c r="BF152" s="239"/>
    </row>
    <row r="153" spans="51:58" ht="12.75">
      <c r="AY153" s="103" t="s">
        <v>191</v>
      </c>
      <c r="AZ153" s="103" t="s">
        <v>192</v>
      </c>
      <c r="BA153" s="103" t="s">
        <v>417</v>
      </c>
      <c r="BB153" s="10">
        <v>332176</v>
      </c>
      <c r="BF153" s="252"/>
    </row>
    <row r="154" spans="51:58" ht="12.75">
      <c r="AY154" s="103" t="s">
        <v>161</v>
      </c>
      <c r="AZ154" s="103" t="s">
        <v>507</v>
      </c>
      <c r="BA154" s="103" t="s">
        <v>417</v>
      </c>
      <c r="BB154" s="10">
        <v>246213</v>
      </c>
      <c r="BE154" s="237"/>
      <c r="BF154" s="238"/>
    </row>
    <row r="155" spans="51:58" ht="12.75">
      <c r="AY155" s="103" t="s">
        <v>235</v>
      </c>
      <c r="AZ155" s="103" t="s">
        <v>236</v>
      </c>
      <c r="BA155" s="103" t="s">
        <v>597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626</v>
      </c>
      <c r="B3" s="56" t="s">
        <v>217</v>
      </c>
      <c r="C3" s="56" t="s">
        <v>24</v>
      </c>
    </row>
    <row r="4" spans="1:2" ht="12.75">
      <c r="A4" s="76">
        <v>1</v>
      </c>
      <c r="B4" s="78" t="s">
        <v>216</v>
      </c>
    </row>
    <row r="5" ht="12.75">
      <c r="A5" s="280" t="s">
        <v>626</v>
      </c>
    </row>
    <row r="6" ht="12.75">
      <c r="A6" s="280" t="s">
        <v>742</v>
      </c>
    </row>
    <row r="7" ht="12.75">
      <c r="A7" s="280" t="s">
        <v>611</v>
      </c>
    </row>
    <row r="8" ht="12.75">
      <c r="A8" s="280" t="s">
        <v>660</v>
      </c>
    </row>
    <row r="9" ht="12.75">
      <c r="A9" s="280" t="s">
        <v>724</v>
      </c>
    </row>
    <row r="10" ht="12.75">
      <c r="A10" s="280" t="s">
        <v>693</v>
      </c>
    </row>
    <row r="11" ht="12.75">
      <c r="A11" s="280" t="s">
        <v>605</v>
      </c>
    </row>
    <row r="12" ht="12.75">
      <c r="A12" s="280" t="s">
        <v>619</v>
      </c>
    </row>
    <row r="13" ht="12.75">
      <c r="A13" s="280" t="s">
        <v>630</v>
      </c>
    </row>
    <row r="14" ht="12.75">
      <c r="A14" s="280" t="s">
        <v>645</v>
      </c>
    </row>
    <row r="15" ht="12.75">
      <c r="A15" s="280" t="s">
        <v>670</v>
      </c>
    </row>
    <row r="16" ht="12.75">
      <c r="A16" s="280" t="s">
        <v>688</v>
      </c>
    </row>
    <row r="17" ht="12.75">
      <c r="A17" s="280" t="s">
        <v>638</v>
      </c>
    </row>
    <row r="18" ht="12.75">
      <c r="A18" s="280" t="s">
        <v>723</v>
      </c>
    </row>
    <row r="19" ht="12.75">
      <c r="A19" s="280" t="s">
        <v>615</v>
      </c>
    </row>
    <row r="20" ht="12.75">
      <c r="A20" s="280" t="s">
        <v>741</v>
      </c>
    </row>
    <row r="21" ht="12.75">
      <c r="A21" s="280" t="s">
        <v>662</v>
      </c>
    </row>
    <row r="22" ht="12.75">
      <c r="A22" s="280" t="s">
        <v>656</v>
      </c>
    </row>
    <row r="23" ht="12.75">
      <c r="A23" s="280" t="s">
        <v>712</v>
      </c>
    </row>
    <row r="24" ht="12.75">
      <c r="A24" s="280" t="s">
        <v>643</v>
      </c>
    </row>
    <row r="25" ht="12.75">
      <c r="A25" s="280" t="s">
        <v>635</v>
      </c>
    </row>
    <row r="26" ht="12.75">
      <c r="A26" s="280" t="s">
        <v>622</v>
      </c>
    </row>
    <row r="27" ht="12.75">
      <c r="A27" s="280" t="s">
        <v>740</v>
      </c>
    </row>
    <row r="28" ht="12.75">
      <c r="A28" s="280" t="s">
        <v>642</v>
      </c>
    </row>
    <row r="29" ht="12.75">
      <c r="A29" s="280" t="s">
        <v>676</v>
      </c>
    </row>
    <row r="30" ht="12.75">
      <c r="A30" s="280" t="s">
        <v>702</v>
      </c>
    </row>
    <row r="31" ht="12.75">
      <c r="A31" s="280" t="s">
        <v>725</v>
      </c>
    </row>
    <row r="32" ht="12.75">
      <c r="A32" s="280" t="s">
        <v>728</v>
      </c>
    </row>
    <row r="33" ht="12.75">
      <c r="A33" s="280" t="s">
        <v>672</v>
      </c>
    </row>
    <row r="34" ht="12.75">
      <c r="A34" s="280" t="s">
        <v>684</v>
      </c>
    </row>
    <row r="35" ht="12.75">
      <c r="A35" s="280" t="s">
        <v>692</v>
      </c>
    </row>
    <row r="36" ht="12.75">
      <c r="A36" s="280" t="s">
        <v>681</v>
      </c>
    </row>
    <row r="37" ht="12.75">
      <c r="A37" s="280" t="s">
        <v>610</v>
      </c>
    </row>
    <row r="38" ht="12.75">
      <c r="A38" s="280" t="s">
        <v>653</v>
      </c>
    </row>
    <row r="39" ht="12.75">
      <c r="A39" s="280" t="s">
        <v>708</v>
      </c>
    </row>
    <row r="40" ht="12.75">
      <c r="A40" s="280" t="s">
        <v>648</v>
      </c>
    </row>
    <row r="41" ht="12.75">
      <c r="A41" s="280" t="s">
        <v>613</v>
      </c>
    </row>
    <row r="42" ht="12.75">
      <c r="A42" s="280" t="s">
        <v>718</v>
      </c>
    </row>
    <row r="43" ht="12.75">
      <c r="A43" s="280" t="s">
        <v>609</v>
      </c>
    </row>
    <row r="44" ht="12.75">
      <c r="A44" s="280" t="s">
        <v>680</v>
      </c>
    </row>
    <row r="45" ht="12.75">
      <c r="A45" s="280" t="s">
        <v>697</v>
      </c>
    </row>
    <row r="46" ht="12.75">
      <c r="A46" s="280" t="s">
        <v>666</v>
      </c>
    </row>
    <row r="47" ht="12.75">
      <c r="A47" s="280" t="s">
        <v>617</v>
      </c>
    </row>
    <row r="48" ht="12.75">
      <c r="A48" s="280" t="s">
        <v>665</v>
      </c>
    </row>
    <row r="49" ht="12.75">
      <c r="A49" s="280" t="s">
        <v>623</v>
      </c>
    </row>
    <row r="50" ht="12.75">
      <c r="A50" s="280" t="s">
        <v>655</v>
      </c>
    </row>
    <row r="51" ht="12.75">
      <c r="A51" s="280" t="s">
        <v>703</v>
      </c>
    </row>
    <row r="52" ht="12.75">
      <c r="A52" s="280" t="s">
        <v>607</v>
      </c>
    </row>
    <row r="53" ht="12.75">
      <c r="A53" s="280" t="s">
        <v>652</v>
      </c>
    </row>
    <row r="54" ht="12.75">
      <c r="A54" s="280" t="s">
        <v>646</v>
      </c>
    </row>
    <row r="55" ht="12.75">
      <c r="A55" s="280" t="s">
        <v>625</v>
      </c>
    </row>
    <row r="56" ht="12.75">
      <c r="A56" s="280" t="s">
        <v>659</v>
      </c>
    </row>
    <row r="57" ht="12.75">
      <c r="A57" s="280" t="s">
        <v>710</v>
      </c>
    </row>
    <row r="58" ht="12.75">
      <c r="A58" s="280" t="s">
        <v>654</v>
      </c>
    </row>
    <row r="59" ht="12.75">
      <c r="A59" s="280" t="s">
        <v>651</v>
      </c>
    </row>
    <row r="60" ht="12.75">
      <c r="A60" s="280" t="s">
        <v>689</v>
      </c>
    </row>
    <row r="61" ht="12.75">
      <c r="A61" s="280" t="s">
        <v>640</v>
      </c>
    </row>
    <row r="62" ht="12.75">
      <c r="A62" s="280" t="s">
        <v>695</v>
      </c>
    </row>
    <row r="63" ht="12.75">
      <c r="A63" s="280" t="s">
        <v>713</v>
      </c>
    </row>
    <row r="64" ht="12.75">
      <c r="A64" s="280" t="s">
        <v>601</v>
      </c>
    </row>
    <row r="65" ht="12.75">
      <c r="A65" s="280" t="s">
        <v>727</v>
      </c>
    </row>
    <row r="66" ht="12.75">
      <c r="A66" s="280" t="s">
        <v>691</v>
      </c>
    </row>
    <row r="67" ht="12.75">
      <c r="A67" s="280" t="s">
        <v>701</v>
      </c>
    </row>
    <row r="68" ht="12.75">
      <c r="A68" s="280" t="s">
        <v>616</v>
      </c>
    </row>
    <row r="69" ht="12.75">
      <c r="A69" s="280" t="s">
        <v>631</v>
      </c>
    </row>
    <row r="70" ht="12.75">
      <c r="A70" s="280" t="s">
        <v>668</v>
      </c>
    </row>
    <row r="71" ht="12.75">
      <c r="A71" s="280" t="s">
        <v>627</v>
      </c>
    </row>
    <row r="72" ht="12.75">
      <c r="A72" s="280" t="s">
        <v>717</v>
      </c>
    </row>
    <row r="73" ht="12.75">
      <c r="A73" s="280" t="s">
        <v>661</v>
      </c>
    </row>
    <row r="74" ht="12.75">
      <c r="A74" s="280" t="s">
        <v>743</v>
      </c>
    </row>
    <row r="75" ht="12.75">
      <c r="A75" s="280" t="s">
        <v>628</v>
      </c>
    </row>
    <row r="76" ht="12.75">
      <c r="A76" s="280" t="s">
        <v>671</v>
      </c>
    </row>
    <row r="77" ht="12.75">
      <c r="A77" s="280" t="s">
        <v>709</v>
      </c>
    </row>
    <row r="78" ht="12.75">
      <c r="A78" s="280" t="s">
        <v>621</v>
      </c>
    </row>
    <row r="79" ht="12.75">
      <c r="A79" s="280" t="s">
        <v>719</v>
      </c>
    </row>
    <row r="80" ht="12.75">
      <c r="A80" s="280" t="s">
        <v>722</v>
      </c>
    </row>
    <row r="81" ht="12.75">
      <c r="A81" s="280" t="s">
        <v>608</v>
      </c>
    </row>
    <row r="82" ht="12.75">
      <c r="A82" s="280" t="s">
        <v>686</v>
      </c>
    </row>
    <row r="83" ht="12.75">
      <c r="A83" s="280" t="s">
        <v>744</v>
      </c>
    </row>
    <row r="84" ht="12.75">
      <c r="A84" s="280" t="s">
        <v>711</v>
      </c>
    </row>
    <row r="85" ht="12.75">
      <c r="A85" s="280" t="s">
        <v>700</v>
      </c>
    </row>
    <row r="86" ht="12.75">
      <c r="A86" s="280" t="s">
        <v>687</v>
      </c>
    </row>
    <row r="87" ht="12.75">
      <c r="A87" s="280" t="s">
        <v>647</v>
      </c>
    </row>
    <row r="88" ht="12.75">
      <c r="A88" s="280" t="s">
        <v>690</v>
      </c>
    </row>
    <row r="89" ht="12.75">
      <c r="A89" s="280" t="s">
        <v>629</v>
      </c>
    </row>
    <row r="90" ht="12.75">
      <c r="A90" s="280" t="s">
        <v>632</v>
      </c>
    </row>
    <row r="91" ht="12.75">
      <c r="A91" s="280" t="s">
        <v>658</v>
      </c>
    </row>
    <row r="92" ht="12.75">
      <c r="A92" s="280" t="s">
        <v>604</v>
      </c>
    </row>
    <row r="93" ht="12.75">
      <c r="A93" s="280" t="s">
        <v>706</v>
      </c>
    </row>
    <row r="94" ht="12.75">
      <c r="A94" s="280" t="s">
        <v>721</v>
      </c>
    </row>
    <row r="95" ht="12.75">
      <c r="A95" s="280" t="s">
        <v>696</v>
      </c>
    </row>
    <row r="96" ht="12.75">
      <c r="A96" s="280" t="s">
        <v>603</v>
      </c>
    </row>
    <row r="97" ht="12.75">
      <c r="A97" s="280" t="s">
        <v>739</v>
      </c>
    </row>
    <row r="98" ht="12.75">
      <c r="A98" s="280" t="s">
        <v>714</v>
      </c>
    </row>
    <row r="99" ht="12.75">
      <c r="A99" s="280" t="s">
        <v>726</v>
      </c>
    </row>
    <row r="100" ht="12.75">
      <c r="A100" s="280" t="s">
        <v>634</v>
      </c>
    </row>
    <row r="101" ht="12.75">
      <c r="A101" s="280" t="s">
        <v>679</v>
      </c>
    </row>
    <row r="102" ht="12.75">
      <c r="A102" s="280" t="s">
        <v>637</v>
      </c>
    </row>
    <row r="103" ht="12.75">
      <c r="A103" s="280" t="s">
        <v>675</v>
      </c>
    </row>
    <row r="104" ht="12.75">
      <c r="A104" s="280" t="s">
        <v>618</v>
      </c>
    </row>
    <row r="105" ht="12.75">
      <c r="A105" s="280" t="s">
        <v>673</v>
      </c>
    </row>
    <row r="106" ht="12.75">
      <c r="A106" s="280" t="s">
        <v>720</v>
      </c>
    </row>
    <row r="107" ht="12.75">
      <c r="A107" s="280" t="s">
        <v>663</v>
      </c>
    </row>
    <row r="108" ht="12.75">
      <c r="A108" s="280" t="s">
        <v>705</v>
      </c>
    </row>
    <row r="109" ht="12.75">
      <c r="A109" s="280" t="s">
        <v>667</v>
      </c>
    </row>
    <row r="110" ht="12.75">
      <c r="A110" s="280" t="s">
        <v>685</v>
      </c>
    </row>
    <row r="111" ht="12.75">
      <c r="A111" s="280" t="s">
        <v>633</v>
      </c>
    </row>
    <row r="112" ht="12.75">
      <c r="A112" s="70" t="s">
        <v>682</v>
      </c>
    </row>
    <row r="113" ht="12.75">
      <c r="A113" s="70" t="s">
        <v>707</v>
      </c>
    </row>
    <row r="114" ht="12.75">
      <c r="A114" s="70" t="s">
        <v>606</v>
      </c>
    </row>
    <row r="115" ht="12.75">
      <c r="A115" s="70" t="s">
        <v>602</v>
      </c>
    </row>
    <row r="116" ht="12.75">
      <c r="A116" s="70" t="s">
        <v>612</v>
      </c>
    </row>
    <row r="117" ht="12.75">
      <c r="A117" s="70" t="s">
        <v>669</v>
      </c>
    </row>
    <row r="118" ht="12.75">
      <c r="A118" s="70" t="s">
        <v>657</v>
      </c>
    </row>
    <row r="119" ht="12.75">
      <c r="A119" s="70" t="s">
        <v>698</v>
      </c>
    </row>
    <row r="120" ht="12.75">
      <c r="A120" s="70" t="s">
        <v>620</v>
      </c>
    </row>
    <row r="121" ht="12.75">
      <c r="A121" s="70" t="s">
        <v>704</v>
      </c>
    </row>
    <row r="122" ht="12.75">
      <c r="A122" s="70" t="s">
        <v>614</v>
      </c>
    </row>
    <row r="123" ht="12.75">
      <c r="A123" s="70" t="s">
        <v>715</v>
      </c>
    </row>
    <row r="124" ht="12.75">
      <c r="A124" s="70" t="s">
        <v>674</v>
      </c>
    </row>
    <row r="125" ht="12.75">
      <c r="A125" s="70" t="s">
        <v>650</v>
      </c>
    </row>
    <row r="126" ht="12.75">
      <c r="A126" s="70" t="s">
        <v>664</v>
      </c>
    </row>
    <row r="127" ht="12.75">
      <c r="A127" s="70" t="s">
        <v>716</v>
      </c>
    </row>
    <row r="128" ht="12.75">
      <c r="A128" s="70" t="s">
        <v>644</v>
      </c>
    </row>
    <row r="129" ht="12.75">
      <c r="A129" s="70" t="s">
        <v>699</v>
      </c>
    </row>
    <row r="130" ht="12.75">
      <c r="A130" s="70" t="s">
        <v>677</v>
      </c>
    </row>
    <row r="131" ht="12.75">
      <c r="A131" s="70" t="s">
        <v>694</v>
      </c>
    </row>
    <row r="132" ht="12.75">
      <c r="A132" s="70" t="s">
        <v>639</v>
      </c>
    </row>
    <row r="133" ht="12.75">
      <c r="A133" s="70" t="s">
        <v>641</v>
      </c>
    </row>
    <row r="134" ht="12.75">
      <c r="A134" s="70" t="s">
        <v>683</v>
      </c>
    </row>
    <row r="135" ht="12.75">
      <c r="A135" s="70" t="s">
        <v>624</v>
      </c>
    </row>
    <row r="136" ht="12.75">
      <c r="A136" s="70" t="s">
        <v>636</v>
      </c>
    </row>
    <row r="137" ht="12.75">
      <c r="A137" s="70" t="s">
        <v>678</v>
      </c>
    </row>
    <row r="138" ht="12.75">
      <c r="A138" s="70" t="s">
        <v>649</v>
      </c>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